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2407B6E-B7CC-485A-B019-271323CED24A}" xr6:coauthVersionLast="45" xr6:coauthVersionMax="45" xr10:uidLastSave="{00000000-0000-0000-0000-000000000000}"/>
  <bookViews>
    <workbookView xWindow="1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Death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277" i="1" l="1"/>
  <c r="D22" i="6"/>
  <c r="C22" i="6"/>
  <c r="AK305" i="1"/>
  <c r="D34" i="6" l="1"/>
  <c r="D33" i="6"/>
  <c r="D37" i="6"/>
  <c r="D38" i="6"/>
  <c r="D41" i="6"/>
  <c r="D35" i="6"/>
  <c r="D36" i="6"/>
  <c r="D39" i="6"/>
  <c r="D40" i="6"/>
  <c r="D42" i="6"/>
  <c r="D43" i="6"/>
  <c r="O3" i="6"/>
  <c r="P3" i="6" s="1"/>
  <c r="R3" i="6" s="1"/>
  <c r="S3" i="6" s="1"/>
  <c r="C19" i="6"/>
  <c r="C20" i="6"/>
  <c r="C21" i="6"/>
  <c r="C23" i="6"/>
  <c r="C24" i="6"/>
  <c r="C25" i="6"/>
  <c r="C26" i="6"/>
  <c r="C27" i="6"/>
  <c r="C28" i="6"/>
  <c r="C29" i="6"/>
  <c r="D20" i="6"/>
  <c r="D21" i="6"/>
  <c r="D23" i="6"/>
  <c r="D24" i="6"/>
  <c r="D25" i="6"/>
  <c r="D26" i="6"/>
  <c r="D27" i="6"/>
  <c r="D28" i="6"/>
  <c r="D29" i="6"/>
  <c r="D19" i="6"/>
  <c r="AK210" i="1" l="1"/>
  <c r="AH144" i="1"/>
  <c r="B265" i="1" l="1"/>
  <c r="P282" i="1" l="1"/>
  <c r="AJ305" i="1" l="1"/>
  <c r="AI305" i="1" l="1"/>
  <c r="AM302" i="1" l="1"/>
  <c r="AR302" i="1" l="1"/>
  <c r="AG305" i="1"/>
  <c r="AH305" i="1"/>
  <c r="AW302" i="1" l="1"/>
  <c r="AF305" i="1"/>
  <c r="AE305" i="1" l="1"/>
  <c r="V72" i="1" l="1"/>
  <c r="BF278" i="1" l="1"/>
  <c r="Q305" i="1"/>
  <c r="R305" i="1"/>
  <c r="S305" i="1"/>
  <c r="T305" i="1"/>
  <c r="U305" i="1"/>
  <c r="V305" i="1"/>
  <c r="W305" i="1"/>
  <c r="X305" i="1"/>
  <c r="Y305" i="1"/>
  <c r="Z305" i="1"/>
  <c r="AA305" i="1"/>
  <c r="AB305" i="1"/>
  <c r="AC305" i="1"/>
  <c r="AD305" i="1"/>
  <c r="P305" i="1"/>
  <c r="E34" i="4" l="1"/>
  <c r="C45" i="4"/>
  <c r="BH282" i="1" l="1"/>
  <c r="BH279" i="1"/>
  <c r="BH278" i="1" s="1"/>
  <c r="BH286" i="1" s="1"/>
  <c r="BE282" i="1"/>
  <c r="BF282" i="1"/>
  <c r="BD282" i="1"/>
  <c r="BH284" i="1" l="1"/>
  <c r="BH283" i="1"/>
  <c r="C5" i="5"/>
  <c r="C4" i="5"/>
  <c r="B326" i="1"/>
  <c r="B322" i="1"/>
  <c r="B324" i="1"/>
  <c r="B320" i="1"/>
  <c r="B318" i="1"/>
  <c r="B316" i="1"/>
  <c r="B314" i="1"/>
  <c r="B312" i="1"/>
  <c r="B310"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277" i="1"/>
  <c r="P301" i="1"/>
  <c r="R277" i="1" l="1"/>
  <c r="Q303" i="1"/>
  <c r="S277" i="1" l="1"/>
  <c r="Q301" i="1"/>
  <c r="P303" i="1"/>
  <c r="P300" i="1"/>
  <c r="T277" i="1" l="1"/>
  <c r="R301" i="1"/>
  <c r="P288" i="1"/>
  <c r="P289" i="1" s="1"/>
  <c r="P290" i="1"/>
  <c r="P291" i="1" s="1"/>
  <c r="U277" i="1" l="1"/>
  <c r="S301" i="1"/>
  <c r="P286" i="1"/>
  <c r="P287" i="1" s="1"/>
  <c r="P284" i="1"/>
  <c r="P285" i="1" s="1"/>
  <c r="C12" i="5"/>
  <c r="C7" i="5"/>
  <c r="C8" i="5" s="1"/>
  <c r="C9" i="5" s="1"/>
  <c r="C21" i="5"/>
  <c r="C18" i="5"/>
  <c r="C15" i="5"/>
  <c r="C24" i="5"/>
  <c r="C3" i="5"/>
  <c r="V277" i="1" l="1"/>
  <c r="C30" i="5"/>
  <c r="P283" i="1"/>
  <c r="T301" i="1"/>
  <c r="P280" i="1"/>
  <c r="P281" i="1" s="1"/>
  <c r="C34" i="5"/>
  <c r="W277" i="1" l="1"/>
  <c r="U301" i="1"/>
  <c r="C13" i="5"/>
  <c r="C14" i="5" s="1"/>
  <c r="BG278" i="1"/>
  <c r="P296" i="1"/>
  <c r="P294" i="1"/>
  <c r="P297" i="1"/>
  <c r="P295" i="1"/>
  <c r="BH302" i="1" l="1"/>
  <c r="BG302" i="1"/>
  <c r="X277" i="1"/>
  <c r="BG335" i="1"/>
  <c r="BG336" i="1" s="1"/>
  <c r="BG333" i="1"/>
  <c r="BG339" i="1"/>
  <c r="BG340" i="1" s="1"/>
  <c r="BG343" i="1"/>
  <c r="BG337" i="1"/>
  <c r="BG338" i="1" s="1"/>
  <c r="BG341" i="1"/>
  <c r="BG342" i="1" s="1"/>
  <c r="V301" i="1"/>
  <c r="BG279" i="1"/>
  <c r="BH292" i="1"/>
  <c r="BH290" i="1"/>
  <c r="BH288" i="1"/>
  <c r="BG286" i="1"/>
  <c r="BG282" i="1"/>
  <c r="BG284" i="1" s="1"/>
  <c r="C22" i="5"/>
  <c r="C23" i="5" s="1"/>
  <c r="C35" i="5"/>
  <c r="C40" i="5" s="1"/>
  <c r="C25" i="5"/>
  <c r="C19" i="5"/>
  <c r="C20" i="5" s="1"/>
  <c r="C16" i="5"/>
  <c r="C17" i="5" s="1"/>
  <c r="C31" i="5"/>
  <c r="AP25" i="4"/>
  <c r="E31" i="4"/>
  <c r="B17" i="4" s="1"/>
  <c r="K20" i="4" l="1"/>
  <c r="B18" i="4"/>
  <c r="B19" i="4" s="1"/>
  <c r="Y277" i="1"/>
  <c r="BG334" i="1"/>
  <c r="BG346" i="1" s="1"/>
  <c r="BG34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77" i="1"/>
  <c r="E18" i="4"/>
  <c r="K21" i="4" s="1"/>
  <c r="N20" i="4"/>
  <c r="H17" i="4"/>
  <c r="P333" i="1"/>
  <c r="P334" i="1" s="1"/>
  <c r="AA277" i="1" l="1"/>
  <c r="E19" i="4"/>
  <c r="Q20" i="4"/>
  <c r="H18" i="4"/>
  <c r="N22" i="4" s="1"/>
  <c r="K17" i="4"/>
  <c r="Y24" i="4"/>
  <c r="B14" i="3"/>
  <c r="AB277" i="1" l="1"/>
  <c r="H19" i="4"/>
  <c r="T20" i="4"/>
  <c r="K18" i="4"/>
  <c r="K19" i="4" s="1"/>
  <c r="N21" i="4"/>
  <c r="AB24" i="4" s="1"/>
  <c r="N17" i="4"/>
  <c r="AC277" i="1" l="1"/>
  <c r="Q17" i="4"/>
  <c r="T17" i="4" s="1"/>
  <c r="W20" i="4"/>
  <c r="N18" i="4"/>
  <c r="N19" i="4" s="1"/>
  <c r="Q21" i="4"/>
  <c r="AE24" i="4" s="1"/>
  <c r="Q22" i="4"/>
  <c r="AD277" i="1" l="1"/>
  <c r="T18" i="4"/>
  <c r="T19" i="4" s="1"/>
  <c r="AC20" i="4"/>
  <c r="Z20" i="4"/>
  <c r="Q18" i="4"/>
  <c r="Q19" i="4" s="1"/>
  <c r="T21" i="4"/>
  <c r="AH24" i="4" s="1"/>
  <c r="T22" i="4"/>
  <c r="T23" i="4"/>
  <c r="W17" i="4"/>
  <c r="W21" i="4" l="1"/>
  <c r="AK24" i="4" s="1"/>
  <c r="W23" i="4"/>
  <c r="AH277" i="1"/>
  <c r="W18" i="4"/>
  <c r="W19" i="4" s="1"/>
  <c r="AF20" i="4"/>
  <c r="W22" i="4"/>
  <c r="Z21" i="4"/>
  <c r="AN24" i="4" s="1"/>
  <c r="Z23" i="4"/>
  <c r="Z22" i="4"/>
  <c r="Z17" i="4"/>
  <c r="C343" i="1"/>
  <c r="C341" i="1"/>
  <c r="C339" i="1"/>
  <c r="C337" i="1"/>
  <c r="C335" i="1"/>
  <c r="C333" i="1"/>
  <c r="P292" i="1"/>
  <c r="C5" i="3"/>
  <c r="D312" i="1" s="1"/>
  <c r="AH303" i="1" l="1"/>
  <c r="AG277" i="1"/>
  <c r="AE277" i="1"/>
  <c r="AF277" i="1"/>
  <c r="AL277" i="1"/>
  <c r="AJ277" i="1" s="1"/>
  <c r="Z18" i="4"/>
  <c r="Z19" i="4" s="1"/>
  <c r="AI20" i="4"/>
  <c r="BG312" i="1"/>
  <c r="BG313" i="1"/>
  <c r="AC21" i="4"/>
  <c r="AC22" i="4"/>
  <c r="AC23" i="4"/>
  <c r="AC17" i="4"/>
  <c r="BG292" i="1"/>
  <c r="C7" i="3"/>
  <c r="D316" i="1" s="1"/>
  <c r="C4" i="3"/>
  <c r="D310" i="1" s="1"/>
  <c r="C12" i="3"/>
  <c r="D326" i="1" s="1"/>
  <c r="C11" i="3"/>
  <c r="D324" i="1" s="1"/>
  <c r="C10" i="3"/>
  <c r="D322" i="1" s="1"/>
  <c r="C9" i="3"/>
  <c r="D320" i="1" s="1"/>
  <c r="C8" i="3"/>
  <c r="D318" i="1" s="1"/>
  <c r="C6" i="3"/>
  <c r="D314" i="1" s="1"/>
  <c r="C267" i="1"/>
  <c r="C10" i="5" s="1"/>
  <c r="C26" i="5" s="1"/>
  <c r="C27" i="5" s="1"/>
  <c r="C268" i="1"/>
  <c r="C11" i="5" s="1"/>
  <c r="C28" i="5" s="1"/>
  <c r="C29" i="5" s="1"/>
  <c r="P313" i="1"/>
  <c r="P343" i="1"/>
  <c r="P341" i="1"/>
  <c r="P339" i="1"/>
  <c r="P340" i="1" s="1"/>
  <c r="P337" i="1"/>
  <c r="P338" i="1" s="1"/>
  <c r="P335" i="1"/>
  <c r="P336" i="1" s="1"/>
  <c r="C312" i="1"/>
  <c r="C314" i="1"/>
  <c r="C316" i="1"/>
  <c r="C318" i="1"/>
  <c r="C320" i="1"/>
  <c r="C322" i="1"/>
  <c r="C324" i="1"/>
  <c r="C326" i="1"/>
  <c r="C310" i="1"/>
  <c r="P279" i="1"/>
  <c r="Q278" i="1"/>
  <c r="AK277" i="1" l="1"/>
  <c r="AI277" i="1"/>
  <c r="AE300" i="1"/>
  <c r="AE301" i="1"/>
  <c r="AG301" i="1"/>
  <c r="AG300" i="1"/>
  <c r="AF301" i="1"/>
  <c r="AF300" i="1"/>
  <c r="AE303" i="1"/>
  <c r="AG303" i="1"/>
  <c r="AF303" i="1"/>
  <c r="AQ277" i="1"/>
  <c r="BG310" i="1"/>
  <c r="BG311" i="1"/>
  <c r="AL20" i="4"/>
  <c r="AC18" i="4"/>
  <c r="AC19" i="4" s="1"/>
  <c r="BG322" i="1"/>
  <c r="BG323" i="1"/>
  <c r="BG315" i="1"/>
  <c r="BG314" i="1"/>
  <c r="BG318" i="1"/>
  <c r="BG319" i="1"/>
  <c r="BG325" i="1"/>
  <c r="BG324" i="1"/>
  <c r="BG317" i="1"/>
  <c r="BG316" i="1"/>
  <c r="BG321" i="1"/>
  <c r="BG320" i="1"/>
  <c r="P327" i="1"/>
  <c r="BG327" i="1"/>
  <c r="BG326" i="1"/>
  <c r="Q290" i="1"/>
  <c r="Q291" i="1" s="1"/>
  <c r="Q286" i="1"/>
  <c r="Q287" i="1" s="1"/>
  <c r="Q294" i="1"/>
  <c r="Q297" i="1"/>
  <c r="Q300" i="1"/>
  <c r="Q295" i="1"/>
  <c r="Q296" i="1"/>
  <c r="Q282" i="1"/>
  <c r="AF22" i="4"/>
  <c r="AF23" i="4"/>
  <c r="AF21" i="4"/>
  <c r="AF17" i="4"/>
  <c r="P311" i="1"/>
  <c r="P310" i="1"/>
  <c r="P319" i="1"/>
  <c r="P318" i="1"/>
  <c r="P322" i="1"/>
  <c r="P321" i="1"/>
  <c r="P324" i="1"/>
  <c r="P314" i="1"/>
  <c r="R278" i="1"/>
  <c r="Q337" i="1"/>
  <c r="Q338" i="1" s="1"/>
  <c r="P315" i="1"/>
  <c r="Q326" i="1"/>
  <c r="Q335" i="1"/>
  <c r="Q336" i="1" s="1"/>
  <c r="P323" i="1"/>
  <c r="Q324" i="1"/>
  <c r="Q343" i="1"/>
  <c r="P312" i="1"/>
  <c r="P320" i="1"/>
  <c r="Q341" i="1"/>
  <c r="Q342" i="1" s="1"/>
  <c r="Q339" i="1"/>
  <c r="Q340" i="1" s="1"/>
  <c r="Q322" i="1"/>
  <c r="Q315" i="1"/>
  <c r="Q319" i="1"/>
  <c r="Q323" i="1"/>
  <c r="Q327" i="1"/>
  <c r="P345" i="1"/>
  <c r="Q333" i="1"/>
  <c r="Q334" i="1" s="1"/>
  <c r="P316" i="1"/>
  <c r="Q312" i="1"/>
  <c r="P317" i="1"/>
  <c r="P325" i="1"/>
  <c r="Q316" i="1"/>
  <c r="Q313" i="1"/>
  <c r="Q320" i="1"/>
  <c r="P326" i="1"/>
  <c r="Q310" i="1"/>
  <c r="Q317" i="1"/>
  <c r="Q321" i="1"/>
  <c r="Q325" i="1"/>
  <c r="Q314" i="1"/>
  <c r="Q311" i="1"/>
  <c r="Q318" i="1"/>
  <c r="P342" i="1"/>
  <c r="P346" i="1" s="1"/>
  <c r="Q279" i="1"/>
  <c r="Q292" i="1"/>
  <c r="AK301" i="1" l="1"/>
  <c r="AK300" i="1"/>
  <c r="AJ300" i="1"/>
  <c r="AJ301" i="1"/>
  <c r="AI300" i="1"/>
  <c r="AI301" i="1"/>
  <c r="AM277" i="1"/>
  <c r="AO277" i="1"/>
  <c r="AN277" i="1"/>
  <c r="AP277" i="1"/>
  <c r="R286" i="1"/>
  <c r="R287" i="1" s="1"/>
  <c r="AV277" i="1"/>
  <c r="AS277" i="1" s="1"/>
  <c r="AO20" i="4"/>
  <c r="AF18" i="4"/>
  <c r="AF19" i="4" s="1"/>
  <c r="BG329" i="1"/>
  <c r="BG328" i="1"/>
  <c r="R335" i="1"/>
  <c r="R336" i="1" s="1"/>
  <c r="R316" i="1"/>
  <c r="R290" i="1"/>
  <c r="R291" i="1" s="1"/>
  <c r="R341" i="1"/>
  <c r="R342" i="1" s="1"/>
  <c r="R312" i="1"/>
  <c r="R311" i="1"/>
  <c r="R333" i="1"/>
  <c r="R334" i="1" s="1"/>
  <c r="R313" i="1"/>
  <c r="R279" i="1"/>
  <c r="Q283" i="1"/>
  <c r="Q284" i="1"/>
  <c r="Q285" i="1" s="1"/>
  <c r="R303" i="1"/>
  <c r="S278" i="1"/>
  <c r="R282" i="1"/>
  <c r="R292" i="1"/>
  <c r="R326" i="1"/>
  <c r="R325" i="1"/>
  <c r="R337" i="1"/>
  <c r="R338" i="1" s="1"/>
  <c r="R321" i="1"/>
  <c r="R320" i="1"/>
  <c r="R296" i="1"/>
  <c r="R294" i="1"/>
  <c r="R297" i="1"/>
  <c r="R300" i="1"/>
  <c r="R295" i="1"/>
  <c r="AI23" i="4"/>
  <c r="AI21" i="4"/>
  <c r="AI22" i="4"/>
  <c r="AI17" i="4"/>
  <c r="AI18" i="4" s="1"/>
  <c r="P329" i="1"/>
  <c r="Q329" i="1"/>
  <c r="R323" i="1"/>
  <c r="R322" i="1"/>
  <c r="R318" i="1"/>
  <c r="R315" i="1"/>
  <c r="R317" i="1"/>
  <c r="R310" i="1"/>
  <c r="R319" i="1"/>
  <c r="R324" i="1"/>
  <c r="R343" i="1"/>
  <c r="R314" i="1"/>
  <c r="R339" i="1"/>
  <c r="R340" i="1" s="1"/>
  <c r="R327" i="1"/>
  <c r="Q345" i="1"/>
  <c r="P328" i="1"/>
  <c r="Q328" i="1"/>
  <c r="Q346" i="1"/>
  <c r="AS301" i="1" l="1"/>
  <c r="AS300" i="1"/>
  <c r="AM300" i="1"/>
  <c r="AM301" i="1"/>
  <c r="AM303" i="1"/>
  <c r="AR277" i="1"/>
  <c r="BA277" i="1"/>
  <c r="AW277" i="1" s="1"/>
  <c r="AP301" i="1"/>
  <c r="AP300" i="1"/>
  <c r="AT277" i="1"/>
  <c r="AO301" i="1"/>
  <c r="AO300" i="1"/>
  <c r="AN301" i="1"/>
  <c r="AN300" i="1"/>
  <c r="AU277" i="1"/>
  <c r="S286" i="1"/>
  <c r="S287" i="1" s="1"/>
  <c r="S327" i="1"/>
  <c r="S317" i="1"/>
  <c r="S315" i="1"/>
  <c r="S313" i="1"/>
  <c r="S335" i="1"/>
  <c r="S336" i="1" s="1"/>
  <c r="S323" i="1"/>
  <c r="S322" i="1"/>
  <c r="S314" i="1"/>
  <c r="S325" i="1"/>
  <c r="S320" i="1"/>
  <c r="S343" i="1"/>
  <c r="S310" i="1"/>
  <c r="S290" i="1"/>
  <c r="S291" i="1" s="1"/>
  <c r="S321" i="1"/>
  <c r="S319" i="1"/>
  <c r="S312" i="1"/>
  <c r="S333" i="1"/>
  <c r="S334" i="1" s="1"/>
  <c r="S316" i="1"/>
  <c r="T278" i="1"/>
  <c r="S326" i="1"/>
  <c r="S324" i="1"/>
  <c r="S292" i="1"/>
  <c r="S337" i="1"/>
  <c r="S338" i="1" s="1"/>
  <c r="R346" i="1"/>
  <c r="S311" i="1"/>
  <c r="S339" i="1"/>
  <c r="S340" i="1" s="1"/>
  <c r="S341" i="1"/>
  <c r="S342" i="1" s="1"/>
  <c r="S279" i="1"/>
  <c r="S318" i="1"/>
  <c r="S303" i="1"/>
  <c r="R283" i="1"/>
  <c r="R284" i="1"/>
  <c r="R285" i="1" s="1"/>
  <c r="S295" i="1"/>
  <c r="S296" i="1"/>
  <c r="S297" i="1"/>
  <c r="S300" i="1"/>
  <c r="S294" i="1"/>
  <c r="R345" i="1"/>
  <c r="S282" i="1"/>
  <c r="AL22" i="4"/>
  <c r="AL21" i="4"/>
  <c r="AL23" i="4"/>
  <c r="AL17" i="4"/>
  <c r="AL18" i="4" s="1"/>
  <c r="AI19" i="4"/>
  <c r="R328" i="1"/>
  <c r="R329" i="1"/>
  <c r="AW300" i="1" l="1"/>
  <c r="AW301" i="1"/>
  <c r="AW303" i="1"/>
  <c r="AY277" i="1"/>
  <c r="AU301" i="1"/>
  <c r="AU300" i="1"/>
  <c r="AX277" i="1"/>
  <c r="AR300" i="1"/>
  <c r="AR301" i="1"/>
  <c r="AR303" i="1"/>
  <c r="AZ277" i="1"/>
  <c r="AT300" i="1"/>
  <c r="AT301" i="1"/>
  <c r="T322" i="1"/>
  <c r="T326" i="1"/>
  <c r="T323" i="1"/>
  <c r="T335" i="1"/>
  <c r="T336" i="1" s="1"/>
  <c r="T320" i="1"/>
  <c r="T321" i="1"/>
  <c r="T312" i="1"/>
  <c r="T318" i="1"/>
  <c r="T333" i="1"/>
  <c r="T334" i="1" s="1"/>
  <c r="S329" i="1"/>
  <c r="T319" i="1"/>
  <c r="T311" i="1"/>
  <c r="T341" i="1"/>
  <c r="T342" i="1" s="1"/>
  <c r="T325" i="1"/>
  <c r="T317" i="1"/>
  <c r="T324" i="1"/>
  <c r="T339" i="1"/>
  <c r="T340" i="1" s="1"/>
  <c r="S346" i="1"/>
  <c r="T286" i="1"/>
  <c r="T279" i="1"/>
  <c r="T313" i="1"/>
  <c r="T314" i="1"/>
  <c r="T337" i="1"/>
  <c r="T338" i="1" s="1"/>
  <c r="T282" i="1"/>
  <c r="T284" i="1" s="1"/>
  <c r="T292" i="1"/>
  <c r="T316" i="1"/>
  <c r="U278" i="1"/>
  <c r="U310" i="1" s="1"/>
  <c r="T327" i="1"/>
  <c r="S328" i="1"/>
  <c r="T315" i="1"/>
  <c r="T343" i="1"/>
  <c r="S345" i="1"/>
  <c r="T310" i="1"/>
  <c r="T303" i="1"/>
  <c r="S283" i="1"/>
  <c r="S284" i="1"/>
  <c r="S285" i="1" s="1"/>
  <c r="T295" i="1"/>
  <c r="T300" i="1"/>
  <c r="T296" i="1"/>
  <c r="T297" i="1"/>
  <c r="T294" i="1"/>
  <c r="AO21" i="4"/>
  <c r="AO22" i="4"/>
  <c r="AO23" i="4"/>
  <c r="AO17" i="4"/>
  <c r="AO18" i="4" s="1"/>
  <c r="AO19" i="4" s="1"/>
  <c r="AL19" i="4"/>
  <c r="AX300" i="1" l="1"/>
  <c r="AX301" i="1"/>
  <c r="AY301" i="1"/>
  <c r="AY300" i="1"/>
  <c r="U320" i="1"/>
  <c r="AZ301" i="1"/>
  <c r="AZ300" i="1"/>
  <c r="U323" i="1"/>
  <c r="BC277" i="1"/>
  <c r="BB300" i="1"/>
  <c r="BB301" i="1"/>
  <c r="U313" i="1"/>
  <c r="T328" i="1"/>
  <c r="T346" i="1"/>
  <c r="U326" i="1"/>
  <c r="U292" i="1"/>
  <c r="V278" i="1"/>
  <c r="V282" i="1" s="1"/>
  <c r="U315" i="1"/>
  <c r="U341" i="1"/>
  <c r="U342" i="1" s="1"/>
  <c r="U321" i="1"/>
  <c r="U322" i="1"/>
  <c r="T345" i="1"/>
  <c r="U318" i="1"/>
  <c r="T329" i="1"/>
  <c r="U279" i="1"/>
  <c r="U316" i="1"/>
  <c r="U339" i="1"/>
  <c r="U340" i="1" s="1"/>
  <c r="U286" i="1"/>
  <c r="U335" i="1"/>
  <c r="U336" i="1" s="1"/>
  <c r="U317" i="1"/>
  <c r="U282" i="1"/>
  <c r="U283" i="1" s="1"/>
  <c r="U325" i="1"/>
  <c r="U324" i="1"/>
  <c r="U319" i="1"/>
  <c r="U337" i="1"/>
  <c r="U338" i="1" s="1"/>
  <c r="U312" i="1"/>
  <c r="U333" i="1"/>
  <c r="U334" i="1" s="1"/>
  <c r="U343" i="1"/>
  <c r="U314" i="1"/>
  <c r="T283" i="1"/>
  <c r="U311" i="1"/>
  <c r="U327" i="1"/>
  <c r="U303" i="1"/>
  <c r="U295" i="1"/>
  <c r="U296" i="1"/>
  <c r="U294" i="1"/>
  <c r="U297" i="1"/>
  <c r="U300" i="1"/>
  <c r="V324" i="1" l="1"/>
  <c r="V286" i="1"/>
  <c r="BD277" i="1"/>
  <c r="BC301" i="1"/>
  <c r="BC300" i="1"/>
  <c r="V292" i="1"/>
  <c r="V321" i="1"/>
  <c r="V333" i="1"/>
  <c r="V343" i="1"/>
  <c r="V318" i="1"/>
  <c r="V319" i="1"/>
  <c r="V311" i="1"/>
  <c r="V325" i="1"/>
  <c r="V312" i="1"/>
  <c r="V310" i="1"/>
  <c r="V315" i="1"/>
  <c r="V322" i="1"/>
  <c r="V323" i="1"/>
  <c r="V279" i="1"/>
  <c r="V335" i="1"/>
  <c r="V336" i="1" s="1"/>
  <c r="V320" i="1"/>
  <c r="V313" i="1"/>
  <c r="V339" i="1"/>
  <c r="V340" i="1" s="1"/>
  <c r="V337" i="1"/>
  <c r="V338" i="1" s="1"/>
  <c r="V317" i="1"/>
  <c r="V316" i="1"/>
  <c r="W278" i="1"/>
  <c r="V327" i="1"/>
  <c r="V326" i="1"/>
  <c r="V341" i="1"/>
  <c r="V342" i="1" s="1"/>
  <c r="V314" i="1"/>
  <c r="U346" i="1"/>
  <c r="U329" i="1"/>
  <c r="U345" i="1"/>
  <c r="U328" i="1"/>
  <c r="U284" i="1"/>
  <c r="V303" i="1"/>
  <c r="V283" i="1"/>
  <c r="V284" i="1"/>
  <c r="V295" i="1"/>
  <c r="V296" i="1"/>
  <c r="V297" i="1"/>
  <c r="V294" i="1"/>
  <c r="V300" i="1"/>
  <c r="V334" i="1"/>
  <c r="W320" i="1" l="1"/>
  <c r="BE277" i="1"/>
  <c r="BD300" i="1"/>
  <c r="BD301" i="1"/>
  <c r="W323" i="1"/>
  <c r="W335" i="1"/>
  <c r="W336" i="1" s="1"/>
  <c r="W310" i="1"/>
  <c r="W333" i="1"/>
  <c r="W334" i="1" s="1"/>
  <c r="W292" i="1"/>
  <c r="W321" i="1"/>
  <c r="W326" i="1"/>
  <c r="W343" i="1"/>
  <c r="W315" i="1"/>
  <c r="X278" i="1"/>
  <c r="W322" i="1"/>
  <c r="W327" i="1"/>
  <c r="W311" i="1"/>
  <c r="V328" i="1"/>
  <c r="W317" i="1"/>
  <c r="V329" i="1"/>
  <c r="V345" i="1"/>
  <c r="W313" i="1"/>
  <c r="W324" i="1"/>
  <c r="W319" i="1"/>
  <c r="W318" i="1"/>
  <c r="W337" i="1"/>
  <c r="W338" i="1" s="1"/>
  <c r="V346" i="1"/>
  <c r="W282" i="1"/>
  <c r="W283" i="1" s="1"/>
  <c r="W339" i="1"/>
  <c r="W340" i="1" s="1"/>
  <c r="W286" i="1"/>
  <c r="W279" i="1"/>
  <c r="W312" i="1"/>
  <c r="W314" i="1"/>
  <c r="W325" i="1"/>
  <c r="W341" i="1"/>
  <c r="W342" i="1" s="1"/>
  <c r="W316" i="1"/>
  <c r="X303" i="1"/>
  <c r="W303" i="1"/>
  <c r="W301" i="1"/>
  <c r="W300" i="1"/>
  <c r="W295" i="1"/>
  <c r="W297" i="1"/>
  <c r="W296" i="1"/>
  <c r="W294" i="1"/>
  <c r="X286" i="1" l="1"/>
  <c r="BF277" i="1"/>
  <c r="BE300" i="1"/>
  <c r="BE301" i="1"/>
  <c r="X323" i="1"/>
  <c r="X326" i="1"/>
  <c r="X327" i="1"/>
  <c r="X279" i="1"/>
  <c r="X341" i="1"/>
  <c r="X342" i="1" s="1"/>
  <c r="X339" i="1"/>
  <c r="X340" i="1" s="1"/>
  <c r="X337" i="1"/>
  <c r="X338" i="1" s="1"/>
  <c r="X318" i="1"/>
  <c r="X335" i="1"/>
  <c r="X336" i="1" s="1"/>
  <c r="X321" i="1"/>
  <c r="X313" i="1"/>
  <c r="X311" i="1"/>
  <c r="X310" i="1"/>
  <c r="X319" i="1"/>
  <c r="X325" i="1"/>
  <c r="X292" i="1"/>
  <c r="X312" i="1"/>
  <c r="X320" i="1"/>
  <c r="X324" i="1"/>
  <c r="X333" i="1"/>
  <c r="X334" i="1" s="1"/>
  <c r="X317" i="1"/>
  <c r="X322" i="1"/>
  <c r="X316" i="1"/>
  <c r="X315" i="1"/>
  <c r="Y278" i="1"/>
  <c r="Y316" i="1" s="1"/>
  <c r="X314" i="1"/>
  <c r="X343" i="1"/>
  <c r="X282" i="1"/>
  <c r="X283" i="1" s="1"/>
  <c r="W329" i="1"/>
  <c r="W284" i="1"/>
  <c r="W328" i="1"/>
  <c r="W345" i="1"/>
  <c r="W346" i="1"/>
  <c r="X300" i="1"/>
  <c r="X301" i="1"/>
  <c r="X295" i="1"/>
  <c r="X297" i="1"/>
  <c r="X294" i="1"/>
  <c r="X296" i="1"/>
  <c r="Y343" i="1"/>
  <c r="Y339" i="1"/>
  <c r="Y340" i="1" s="1"/>
  <c r="Y292" i="1" l="1"/>
  <c r="Y282" i="1"/>
  <c r="Y284" i="1" s="1"/>
  <c r="Y279" i="1"/>
  <c r="BG277" i="1"/>
  <c r="BF300" i="1"/>
  <c r="BF301" i="1"/>
  <c r="X346" i="1"/>
  <c r="X345" i="1"/>
  <c r="X329" i="1"/>
  <c r="X328" i="1"/>
  <c r="Y313" i="1"/>
  <c r="Y315" i="1"/>
  <c r="Y323" i="1"/>
  <c r="Y310" i="1"/>
  <c r="Z278" i="1"/>
  <c r="Y324" i="1"/>
  <c r="Y337" i="1"/>
  <c r="Y338" i="1" s="1"/>
  <c r="Y333" i="1"/>
  <c r="Y334" i="1" s="1"/>
  <c r="Y326" i="1"/>
  <c r="Y335" i="1"/>
  <c r="Y336" i="1" s="1"/>
  <c r="Y321" i="1"/>
  <c r="Y317" i="1"/>
  <c r="Y322" i="1"/>
  <c r="Y312" i="1"/>
  <c r="Y286" i="1"/>
  <c r="Y320" i="1"/>
  <c r="Y318" i="1"/>
  <c r="Y311" i="1"/>
  <c r="Y327" i="1"/>
  <c r="Y319" i="1"/>
  <c r="Y341" i="1"/>
  <c r="Y342" i="1" s="1"/>
  <c r="Y325" i="1"/>
  <c r="Y314" i="1"/>
  <c r="X284" i="1"/>
  <c r="Y283" i="1"/>
  <c r="Y303" i="1"/>
  <c r="Y301" i="1"/>
  <c r="Y300" i="1"/>
  <c r="Y296" i="1"/>
  <c r="Y297" i="1"/>
  <c r="Y294" i="1"/>
  <c r="Y295" i="1"/>
  <c r="Z286" i="1" l="1"/>
  <c r="Z315" i="1"/>
  <c r="Z320" i="1"/>
  <c r="Z318" i="1"/>
  <c r="Z335" i="1"/>
  <c r="Z336" i="1" s="1"/>
  <c r="Z322" i="1"/>
  <c r="Y328" i="1"/>
  <c r="Z326" i="1"/>
  <c r="Z333" i="1"/>
  <c r="Z334" i="1" s="1"/>
  <c r="Z312" i="1"/>
  <c r="Z319" i="1"/>
  <c r="Z292" i="1"/>
  <c r="Z337" i="1"/>
  <c r="Z338" i="1" s="1"/>
  <c r="Z324" i="1"/>
  <c r="Z321" i="1"/>
  <c r="Z327" i="1"/>
  <c r="Z313" i="1"/>
  <c r="Z317" i="1"/>
  <c r="Z339" i="1"/>
  <c r="Z340" i="1" s="1"/>
  <c r="Z325" i="1"/>
  <c r="AA278" i="1"/>
  <c r="AA324" i="1" s="1"/>
  <c r="Z310" i="1"/>
  <c r="Z282" i="1"/>
  <c r="Z284" i="1" s="1"/>
  <c r="Y329" i="1"/>
  <c r="Z323" i="1"/>
  <c r="Z316" i="1"/>
  <c r="Z341" i="1"/>
  <c r="Z342" i="1" s="1"/>
  <c r="Z311" i="1"/>
  <c r="Z314" i="1"/>
  <c r="Z343" i="1"/>
  <c r="Z279" i="1"/>
  <c r="Y345" i="1"/>
  <c r="Y346" i="1"/>
  <c r="Z303" i="1"/>
  <c r="Z301" i="1"/>
  <c r="Z300" i="1"/>
  <c r="Z297" i="1"/>
  <c r="Z294" i="1"/>
  <c r="Z296" i="1"/>
  <c r="Z295" i="1"/>
  <c r="AA337" i="1" l="1"/>
  <c r="AA338" i="1" s="1"/>
  <c r="AA322" i="1"/>
  <c r="AA279" i="1"/>
  <c r="AA315" i="1"/>
  <c r="AA341" i="1"/>
  <c r="AA342" i="1" s="1"/>
  <c r="Z283" i="1"/>
  <c r="AA343" i="1"/>
  <c r="AA327" i="1"/>
  <c r="AA317" i="1"/>
  <c r="AA318" i="1"/>
  <c r="AA316" i="1"/>
  <c r="AA313" i="1"/>
  <c r="AA326" i="1"/>
  <c r="AA310" i="1"/>
  <c r="Z345" i="1"/>
  <c r="Z328" i="1"/>
  <c r="AA320" i="1"/>
  <c r="AA325" i="1"/>
  <c r="AA292" i="1"/>
  <c r="AA323" i="1"/>
  <c r="AA286" i="1"/>
  <c r="AA314" i="1"/>
  <c r="AA312" i="1"/>
  <c r="AB278" i="1"/>
  <c r="AB343" i="1" s="1"/>
  <c r="AA311" i="1"/>
  <c r="AA282" i="1"/>
  <c r="AA284" i="1" s="1"/>
  <c r="AA321" i="1"/>
  <c r="AA339" i="1"/>
  <c r="AA340" i="1" s="1"/>
  <c r="AA319" i="1"/>
  <c r="Z329" i="1"/>
  <c r="Z346" i="1"/>
  <c r="AA335" i="1"/>
  <c r="AA336" i="1" s="1"/>
  <c r="AA333" i="1"/>
  <c r="AA334" i="1" s="1"/>
  <c r="AA301" i="1"/>
  <c r="AA303" i="1"/>
  <c r="AA294" i="1"/>
  <c r="AA296" i="1"/>
  <c r="AA300" i="1"/>
  <c r="AA295" i="1"/>
  <c r="AA297" i="1"/>
  <c r="AB318" i="1" l="1"/>
  <c r="AB335" i="1"/>
  <c r="AB336" i="1" s="1"/>
  <c r="AB324" i="1"/>
  <c r="AB317" i="1"/>
  <c r="AB314" i="1"/>
  <c r="AB286" i="1"/>
  <c r="AB320" i="1"/>
  <c r="AB337" i="1"/>
  <c r="AB338" i="1" s="1"/>
  <c r="AB322" i="1"/>
  <c r="AB321" i="1"/>
  <c r="AB325" i="1"/>
  <c r="AB312" i="1"/>
  <c r="AB282" i="1"/>
  <c r="AB283" i="1" s="1"/>
  <c r="AB339" i="1"/>
  <c r="AB340" i="1" s="1"/>
  <c r="AB279" i="1"/>
  <c r="AA329" i="1"/>
  <c r="AA328" i="1"/>
  <c r="AB310" i="1"/>
  <c r="AB311" i="1"/>
  <c r="AB319" i="1"/>
  <c r="AB315" i="1"/>
  <c r="AB313" i="1"/>
  <c r="AB316" i="1"/>
  <c r="AA283" i="1"/>
  <c r="AB326" i="1"/>
  <c r="AC278" i="1"/>
  <c r="AB341" i="1"/>
  <c r="AB342" i="1" s="1"/>
  <c r="AA345" i="1"/>
  <c r="AB333" i="1"/>
  <c r="AB334" i="1" s="1"/>
  <c r="AB323" i="1"/>
  <c r="AB327" i="1"/>
  <c r="AB292" i="1"/>
  <c r="AA346" i="1"/>
  <c r="AB301" i="1"/>
  <c r="AB303" i="1"/>
  <c r="AB294" i="1"/>
  <c r="AB296" i="1"/>
  <c r="AB297" i="1"/>
  <c r="AB300" i="1"/>
  <c r="AB295" i="1"/>
  <c r="AC286" i="1" l="1"/>
  <c r="AB284" i="1"/>
  <c r="AB329" i="1"/>
  <c r="AB328" i="1"/>
  <c r="AC311" i="1"/>
  <c r="AC312" i="1"/>
  <c r="AC324" i="1"/>
  <c r="AC327" i="1"/>
  <c r="AC310" i="1"/>
  <c r="AC321" i="1"/>
  <c r="AC343" i="1"/>
  <c r="AC319" i="1"/>
  <c r="AC316" i="1"/>
  <c r="AC314" i="1"/>
  <c r="AC335" i="1"/>
  <c r="AC336" i="1" s="1"/>
  <c r="AC317" i="1"/>
  <c r="AC313" i="1"/>
  <c r="AC323" i="1"/>
  <c r="AC320" i="1"/>
  <c r="AC315" i="1"/>
  <c r="AC279" i="1"/>
  <c r="AD278" i="1"/>
  <c r="AC282" i="1"/>
  <c r="AC283" i="1" s="1"/>
  <c r="AC337" i="1"/>
  <c r="AC338" i="1" s="1"/>
  <c r="AC322" i="1"/>
  <c r="AC292" i="1"/>
  <c r="AC326" i="1"/>
  <c r="AB346" i="1"/>
  <c r="AB345" i="1"/>
  <c r="AC333" i="1"/>
  <c r="AC334" i="1" s="1"/>
  <c r="AC318" i="1"/>
  <c r="AC325" i="1"/>
  <c r="AC341" i="1"/>
  <c r="AC342" i="1" s="1"/>
  <c r="AC339" i="1"/>
  <c r="AC340" i="1" s="1"/>
  <c r="AC301" i="1"/>
  <c r="AC303" i="1"/>
  <c r="AC297" i="1"/>
  <c r="AC296" i="1"/>
  <c r="AC294" i="1"/>
  <c r="AC300" i="1"/>
  <c r="AC295" i="1"/>
  <c r="AD286" i="1" l="1"/>
  <c r="AD317" i="1"/>
  <c r="AD316" i="1"/>
  <c r="AD318" i="1"/>
  <c r="AD322" i="1"/>
  <c r="AH278" i="1"/>
  <c r="AH322" i="1" s="1"/>
  <c r="AD313" i="1"/>
  <c r="AD292" i="1"/>
  <c r="AD315" i="1"/>
  <c r="AD341" i="1"/>
  <c r="AD342" i="1" s="1"/>
  <c r="AD321" i="1"/>
  <c r="AD279" i="1"/>
  <c r="AD319" i="1"/>
  <c r="AD335" i="1"/>
  <c r="AD336" i="1" s="1"/>
  <c r="AD282" i="1"/>
  <c r="AD283" i="1" s="1"/>
  <c r="AD311" i="1"/>
  <c r="AD343" i="1"/>
  <c r="AD337" i="1"/>
  <c r="AD338" i="1" s="1"/>
  <c r="AD339" i="1"/>
  <c r="AD340" i="1" s="1"/>
  <c r="AD323" i="1"/>
  <c r="AC329" i="1"/>
  <c r="AD325" i="1"/>
  <c r="AD324" i="1"/>
  <c r="AD326" i="1"/>
  <c r="AD320" i="1"/>
  <c r="AD310" i="1"/>
  <c r="AD327" i="1"/>
  <c r="AC328" i="1"/>
  <c r="AC284" i="1"/>
  <c r="AC346" i="1"/>
  <c r="AC345" i="1"/>
  <c r="AD312" i="1"/>
  <c r="AD314" i="1"/>
  <c r="AD333" i="1"/>
  <c r="AD334" i="1" s="1"/>
  <c r="AD301" i="1"/>
  <c r="AD303" i="1"/>
  <c r="AD297" i="1"/>
  <c r="AD294" i="1"/>
  <c r="AD296" i="1"/>
  <c r="AD300" i="1"/>
  <c r="AD295" i="1"/>
  <c r="AH319" i="1" l="1"/>
  <c r="AH317" i="1"/>
  <c r="AH312" i="1"/>
  <c r="AE278" i="1"/>
  <c r="AG278" i="1"/>
  <c r="AF278" i="1"/>
  <c r="AH339" i="1"/>
  <c r="AH340" i="1" s="1"/>
  <c r="AH313" i="1"/>
  <c r="AH341" i="1"/>
  <c r="AH342" i="1" s="1"/>
  <c r="AH310" i="1"/>
  <c r="AH320" i="1"/>
  <c r="AH325" i="1"/>
  <c r="AH335" i="1"/>
  <c r="AH336" i="1" s="1"/>
  <c r="AH324" i="1"/>
  <c r="AH327" i="1"/>
  <c r="AH314" i="1"/>
  <c r="AH326" i="1"/>
  <c r="AH279" i="1"/>
  <c r="AH286" i="1"/>
  <c r="AH311" i="1"/>
  <c r="AH323" i="1"/>
  <c r="AH315" i="1"/>
  <c r="AH282" i="1"/>
  <c r="AH283" i="1" s="1"/>
  <c r="AH321" i="1"/>
  <c r="AH337" i="1"/>
  <c r="AH338" i="1" s="1"/>
  <c r="AH343" i="1"/>
  <c r="AH316" i="1"/>
  <c r="AL278" i="1"/>
  <c r="AI278" i="1" s="1"/>
  <c r="AH318" i="1"/>
  <c r="AH333" i="1"/>
  <c r="AH334" i="1" s="1"/>
  <c r="AH292" i="1"/>
  <c r="AD346" i="1"/>
  <c r="AD329" i="1"/>
  <c r="AD284" i="1"/>
  <c r="AD328" i="1"/>
  <c r="AD345" i="1"/>
  <c r="AH301" i="1"/>
  <c r="AH294" i="1"/>
  <c r="AH296" i="1"/>
  <c r="AH300" i="1"/>
  <c r="AH295" i="1"/>
  <c r="AH297" i="1"/>
  <c r="AL302" i="1" l="1"/>
  <c r="AJ278" i="1"/>
  <c r="AK278" i="1"/>
  <c r="AL323" i="1"/>
  <c r="AQ302" i="1"/>
  <c r="AV302" i="1" s="1"/>
  <c r="BA302" i="1" s="1"/>
  <c r="BB302" i="1" s="1"/>
  <c r="AL313" i="1"/>
  <c r="AL325" i="1"/>
  <c r="AL292" i="1"/>
  <c r="AQ278" i="1"/>
  <c r="AL324" i="1"/>
  <c r="AH284" i="1"/>
  <c r="AL327" i="1"/>
  <c r="AL339" i="1"/>
  <c r="AL340" i="1" s="1"/>
  <c r="AL314" i="1"/>
  <c r="AL310" i="1"/>
  <c r="AL335" i="1"/>
  <c r="AL336" i="1" s="1"/>
  <c r="AL318" i="1"/>
  <c r="AL320" i="1"/>
  <c r="AL279" i="1"/>
  <c r="AL341" i="1"/>
  <c r="AL342" i="1" s="1"/>
  <c r="AL337" i="1"/>
  <c r="AL338" i="1" s="1"/>
  <c r="AL343" i="1"/>
  <c r="AL326" i="1"/>
  <c r="AL311" i="1"/>
  <c r="AL312" i="1"/>
  <c r="AL319" i="1"/>
  <c r="AL286" i="1"/>
  <c r="AL333" i="1"/>
  <c r="AL334" i="1" s="1"/>
  <c r="AL316" i="1"/>
  <c r="AH328" i="1"/>
  <c r="AH329" i="1"/>
  <c r="AL322" i="1"/>
  <c r="AH345" i="1"/>
  <c r="AL282" i="1"/>
  <c r="AL283" i="1" s="1"/>
  <c r="AL315" i="1"/>
  <c r="AL317" i="1"/>
  <c r="AL321" i="1"/>
  <c r="AH346" i="1"/>
  <c r="AF335" i="1"/>
  <c r="AF336" i="1" s="1"/>
  <c r="AF341" i="1"/>
  <c r="AF342" i="1" s="1"/>
  <c r="AF337" i="1"/>
  <c r="AF338" i="1" s="1"/>
  <c r="AF292" i="1"/>
  <c r="AF279" i="1"/>
  <c r="AF282" i="1"/>
  <c r="AF333" i="1"/>
  <c r="AF286" i="1"/>
  <c r="AF343" i="1"/>
  <c r="AF339" i="1"/>
  <c r="AF340" i="1" s="1"/>
  <c r="AF313" i="1"/>
  <c r="AF312" i="1"/>
  <c r="AF321" i="1"/>
  <c r="AF314" i="1"/>
  <c r="AF318" i="1"/>
  <c r="AF320" i="1"/>
  <c r="AF324" i="1"/>
  <c r="AF315" i="1"/>
  <c r="AF319" i="1"/>
  <c r="AF325" i="1"/>
  <c r="AF326" i="1"/>
  <c r="AF322" i="1"/>
  <c r="AF310" i="1"/>
  <c r="AF316" i="1"/>
  <c r="AF327" i="1"/>
  <c r="AF323" i="1"/>
  <c r="AF317" i="1"/>
  <c r="AF311" i="1"/>
  <c r="AG335" i="1"/>
  <c r="AG336" i="1" s="1"/>
  <c r="AG341" i="1"/>
  <c r="AG342" i="1" s="1"/>
  <c r="AG282" i="1"/>
  <c r="AG337" i="1"/>
  <c r="AG338" i="1" s="1"/>
  <c r="AG339" i="1"/>
  <c r="AG340" i="1" s="1"/>
  <c r="AG333" i="1"/>
  <c r="AG286" i="1"/>
  <c r="AG343" i="1"/>
  <c r="AG292" i="1"/>
  <c r="AG279" i="1"/>
  <c r="AG312" i="1"/>
  <c r="AG313" i="1"/>
  <c r="AG324" i="1"/>
  <c r="AG325" i="1"/>
  <c r="AG314" i="1"/>
  <c r="AG318" i="1"/>
  <c r="AG310" i="1"/>
  <c r="AG321" i="1"/>
  <c r="AG320" i="1"/>
  <c r="AG315" i="1"/>
  <c r="AG319" i="1"/>
  <c r="AG317" i="1"/>
  <c r="AG326" i="1"/>
  <c r="AG322" i="1"/>
  <c r="AG316" i="1"/>
  <c r="AG327" i="1"/>
  <c r="AG323" i="1"/>
  <c r="AG311" i="1"/>
  <c r="AE279" i="1"/>
  <c r="AE286" i="1"/>
  <c r="AE333" i="1"/>
  <c r="AE282" i="1"/>
  <c r="AE343" i="1"/>
  <c r="AE339" i="1"/>
  <c r="AE340" i="1" s="1"/>
  <c r="AE292" i="1"/>
  <c r="AE335" i="1"/>
  <c r="AE336" i="1" s="1"/>
  <c r="AE341" i="1"/>
  <c r="AE342" i="1" s="1"/>
  <c r="AE337" i="1"/>
  <c r="AE338" i="1" s="1"/>
  <c r="AE312" i="1"/>
  <c r="AE313" i="1"/>
  <c r="AE314" i="1"/>
  <c r="AE318" i="1"/>
  <c r="AE320" i="1"/>
  <c r="AE324" i="1"/>
  <c r="AE315" i="1"/>
  <c r="AE319" i="1"/>
  <c r="AE325" i="1"/>
  <c r="AE321" i="1"/>
  <c r="AE322" i="1"/>
  <c r="AE310" i="1"/>
  <c r="AE316" i="1"/>
  <c r="AE327" i="1"/>
  <c r="AE323" i="1"/>
  <c r="AE311" i="1"/>
  <c r="AE326" i="1"/>
  <c r="AE317" i="1"/>
  <c r="AL303" i="1"/>
  <c r="AL301" i="1"/>
  <c r="W285" i="1" s="1"/>
  <c r="AL300" i="1"/>
  <c r="AL295" i="1"/>
  <c r="AL294" i="1"/>
  <c r="AL296" i="1"/>
  <c r="AL297" i="1"/>
  <c r="AQ314" i="1"/>
  <c r="Z287" i="1" l="1"/>
  <c r="AB293" i="1"/>
  <c r="W290" i="1"/>
  <c r="W291" i="1" s="1"/>
  <c r="V285" i="1"/>
  <c r="U285" i="1"/>
  <c r="AB285" i="1"/>
  <c r="AE287" i="1"/>
  <c r="V288" i="1"/>
  <c r="V289" i="1" s="1"/>
  <c r="AX288" i="1"/>
  <c r="AX290" i="1"/>
  <c r="T288" i="1"/>
  <c r="T289" i="1" s="1"/>
  <c r="AE290" i="1"/>
  <c r="AE291" i="1" s="1"/>
  <c r="V290" i="1"/>
  <c r="V291" i="1" s="1"/>
  <c r="Y288" i="1"/>
  <c r="Y289" i="1" s="1"/>
  <c r="AA285" i="1"/>
  <c r="Y287" i="1"/>
  <c r="AJ293" i="1"/>
  <c r="AF293" i="1"/>
  <c r="Q288" i="1"/>
  <c r="Q289" i="1" s="1"/>
  <c r="Q280" i="1" s="1"/>
  <c r="Q281" i="1" s="1"/>
  <c r="AC285" i="1"/>
  <c r="V287" i="1"/>
  <c r="U287" i="1"/>
  <c r="AE293" i="1"/>
  <c r="T285" i="1"/>
  <c r="AG293" i="1"/>
  <c r="U288" i="1"/>
  <c r="U289" i="1" s="1"/>
  <c r="X290" i="1"/>
  <c r="X291" i="1" s="1"/>
  <c r="AD293" i="1"/>
  <c r="U290" i="1"/>
  <c r="U291" i="1" s="1"/>
  <c r="T287" i="1"/>
  <c r="S288" i="1"/>
  <c r="S289" i="1" s="1"/>
  <c r="S280" i="1" s="1"/>
  <c r="S281" i="1" s="1"/>
  <c r="Z285" i="1"/>
  <c r="Y290" i="1"/>
  <c r="Y291" i="1" s="1"/>
  <c r="R288" i="1"/>
  <c r="R289" i="1" s="1"/>
  <c r="R280" i="1" s="1"/>
  <c r="R281" i="1" s="1"/>
  <c r="W288" i="1"/>
  <c r="W289" i="1" s="1"/>
  <c r="AC293" i="1"/>
  <c r="Z288" i="1"/>
  <c r="Z289" i="1" s="1"/>
  <c r="X287" i="1"/>
  <c r="AI293" i="1"/>
  <c r="T290" i="1"/>
  <c r="T291" i="1" s="1"/>
  <c r="W287" i="1"/>
  <c r="Y285" i="1"/>
  <c r="X285" i="1"/>
  <c r="Z290" i="1"/>
  <c r="Z291" i="1" s="1"/>
  <c r="AK293" i="1"/>
  <c r="X288" i="1"/>
  <c r="X289" i="1" s="1"/>
  <c r="AQ286" i="1"/>
  <c r="AQ339" i="1"/>
  <c r="AQ340" i="1" s="1"/>
  <c r="AN278" i="1"/>
  <c r="AQ333" i="1"/>
  <c r="AQ334" i="1" s="1"/>
  <c r="AM278" i="1"/>
  <c r="AO278" i="1"/>
  <c r="AP278" i="1"/>
  <c r="AQ282" i="1"/>
  <c r="AQ284" i="1" s="1"/>
  <c r="AV278" i="1"/>
  <c r="AV292" i="1" s="1"/>
  <c r="AQ317" i="1"/>
  <c r="AQ292" i="1"/>
  <c r="AQ326" i="1"/>
  <c r="AQ323" i="1"/>
  <c r="AQ316" i="1"/>
  <c r="AQ318" i="1"/>
  <c r="AQ327" i="1"/>
  <c r="AQ321" i="1"/>
  <c r="AQ343" i="1"/>
  <c r="AQ311" i="1"/>
  <c r="AQ319" i="1"/>
  <c r="AQ312" i="1"/>
  <c r="AQ325" i="1"/>
  <c r="AQ337" i="1"/>
  <c r="AQ338" i="1" s="1"/>
  <c r="AQ341" i="1"/>
  <c r="AQ342" i="1" s="1"/>
  <c r="AK282" i="1"/>
  <c r="AK337" i="1"/>
  <c r="AK338" i="1" s="1"/>
  <c r="AK341" i="1"/>
  <c r="AK342" i="1" s="1"/>
  <c r="AK310" i="1"/>
  <c r="AK314" i="1"/>
  <c r="AK318" i="1"/>
  <c r="AK322" i="1"/>
  <c r="AK326" i="1"/>
  <c r="AK333" i="1"/>
  <c r="AK317" i="1"/>
  <c r="AK311" i="1"/>
  <c r="AK315" i="1"/>
  <c r="AK319" i="1"/>
  <c r="AK323" i="1"/>
  <c r="AK327" i="1"/>
  <c r="AK325" i="1"/>
  <c r="AK335" i="1"/>
  <c r="AK336" i="1" s="1"/>
  <c r="AK339" i="1"/>
  <c r="AK340" i="1" s="1"/>
  <c r="AK343" i="1"/>
  <c r="AK312" i="1"/>
  <c r="AK316" i="1"/>
  <c r="AK320" i="1"/>
  <c r="AK324" i="1"/>
  <c r="AK321" i="1"/>
  <c r="AK313" i="1"/>
  <c r="AK292" i="1"/>
  <c r="AK286" i="1"/>
  <c r="AK279" i="1"/>
  <c r="AQ315" i="1"/>
  <c r="AQ279" i="1"/>
  <c r="AJ286" i="1"/>
  <c r="AJ337" i="1"/>
  <c r="AJ338" i="1" s="1"/>
  <c r="AJ341" i="1"/>
  <c r="AJ342" i="1" s="1"/>
  <c r="AJ310" i="1"/>
  <c r="AJ314" i="1"/>
  <c r="AJ318" i="1"/>
  <c r="AJ322" i="1"/>
  <c r="AJ326" i="1"/>
  <c r="AJ339" i="1"/>
  <c r="AJ340" i="1" s="1"/>
  <c r="AJ316" i="1"/>
  <c r="AJ313" i="1"/>
  <c r="AJ333" i="1"/>
  <c r="AJ335" i="1"/>
  <c r="AJ336" i="1" s="1"/>
  <c r="AJ312" i="1"/>
  <c r="AJ324" i="1"/>
  <c r="AJ321" i="1"/>
  <c r="AJ311" i="1"/>
  <c r="AJ315" i="1"/>
  <c r="AJ319" i="1"/>
  <c r="AJ323" i="1"/>
  <c r="AJ327" i="1"/>
  <c r="AJ343" i="1"/>
  <c r="AJ320" i="1"/>
  <c r="AJ317" i="1"/>
  <c r="AJ325" i="1"/>
  <c r="AJ279" i="1"/>
  <c r="AJ282" i="1"/>
  <c r="AJ292" i="1"/>
  <c r="AQ322" i="1"/>
  <c r="AQ313" i="1"/>
  <c r="AQ320" i="1"/>
  <c r="AQ310" i="1"/>
  <c r="AQ324" i="1"/>
  <c r="AQ335" i="1"/>
  <c r="AQ336" i="1" s="1"/>
  <c r="AI292" i="1"/>
  <c r="AI333" i="1"/>
  <c r="AI321" i="1"/>
  <c r="AI314" i="1"/>
  <c r="AI318" i="1"/>
  <c r="AI311" i="1"/>
  <c r="AI315" i="1"/>
  <c r="AI319" i="1"/>
  <c r="AI323" i="1"/>
  <c r="AI327" i="1"/>
  <c r="AI313" i="1"/>
  <c r="AI337" i="1"/>
  <c r="AI338" i="1" s="1"/>
  <c r="AI322" i="1"/>
  <c r="AI326" i="1"/>
  <c r="AI335" i="1"/>
  <c r="AI336" i="1" s="1"/>
  <c r="AI339" i="1"/>
  <c r="AI340" i="1" s="1"/>
  <c r="AI343" i="1"/>
  <c r="AI312" i="1"/>
  <c r="AI316" i="1"/>
  <c r="AI320" i="1"/>
  <c r="AI324" i="1"/>
  <c r="AI325" i="1"/>
  <c r="AI310" i="1"/>
  <c r="AI317" i="1"/>
  <c r="AI341" i="1"/>
  <c r="AI342" i="1" s="1"/>
  <c r="AI279" i="1"/>
  <c r="AI286" i="1"/>
  <c r="AI282" i="1"/>
  <c r="BC302" i="1"/>
  <c r="BB303" i="1"/>
  <c r="AL284" i="1"/>
  <c r="AL345" i="1"/>
  <c r="AL328" i="1"/>
  <c r="AL346" i="1"/>
  <c r="AL329" i="1"/>
  <c r="AG329" i="1"/>
  <c r="AE329" i="1"/>
  <c r="AE283" i="1"/>
  <c r="AE284" i="1"/>
  <c r="AE285" i="1" s="1"/>
  <c r="AE345" i="1"/>
  <c r="AE334" i="1"/>
  <c r="AE346" i="1" s="1"/>
  <c r="AF328" i="1"/>
  <c r="AG334" i="1"/>
  <c r="AG346" i="1" s="1"/>
  <c r="AG345" i="1"/>
  <c r="AG328" i="1"/>
  <c r="AG283" i="1"/>
  <c r="AG284" i="1"/>
  <c r="AF334" i="1"/>
  <c r="AF346" i="1" s="1"/>
  <c r="AF345" i="1"/>
  <c r="AE328" i="1"/>
  <c r="AF283" i="1"/>
  <c r="AF284" i="1"/>
  <c r="AF329" i="1"/>
  <c r="AD285" i="1"/>
  <c r="AB287" i="1"/>
  <c r="AC287" i="1"/>
  <c r="AD287" i="1"/>
  <c r="AA287" i="1"/>
  <c r="AA290" i="1"/>
  <c r="AA291" i="1" s="1"/>
  <c r="AA288" i="1"/>
  <c r="AA289" i="1" s="1"/>
  <c r="AB288" i="1"/>
  <c r="AB289" i="1" s="1"/>
  <c r="AB290" i="1"/>
  <c r="AB291" i="1" s="1"/>
  <c r="AC290" i="1"/>
  <c r="AC291" i="1" s="1"/>
  <c r="AC288" i="1"/>
  <c r="AC289" i="1" s="1"/>
  <c r="AD290" i="1"/>
  <c r="AD291" i="1" s="1"/>
  <c r="AH293" i="1"/>
  <c r="AQ301" i="1"/>
  <c r="AQ303" i="1"/>
  <c r="AQ295" i="1"/>
  <c r="AQ296" i="1"/>
  <c r="AQ294" i="1"/>
  <c r="AQ297" i="1"/>
  <c r="AQ300" i="1"/>
  <c r="V280" i="1" l="1"/>
  <c r="V281" i="1" s="1"/>
  <c r="U280" i="1"/>
  <c r="U281" i="1" s="1"/>
  <c r="T280" i="1"/>
  <c r="T281" i="1" s="1"/>
  <c r="W280" i="1"/>
  <c r="W281" i="1" s="1"/>
  <c r="AV314" i="1"/>
  <c r="Y280" i="1"/>
  <c r="Y281" i="1" s="1"/>
  <c r="X280" i="1"/>
  <c r="X281" i="1" s="1"/>
  <c r="Z280" i="1"/>
  <c r="Z281" i="1" s="1"/>
  <c r="AN335" i="1"/>
  <c r="AN336" i="1" s="1"/>
  <c r="AN339" i="1"/>
  <c r="AN340" i="1" s="1"/>
  <c r="AN343" i="1"/>
  <c r="AN311" i="1"/>
  <c r="AN314" i="1"/>
  <c r="AN317" i="1"/>
  <c r="AN320" i="1"/>
  <c r="AN323" i="1"/>
  <c r="AN326" i="1"/>
  <c r="AN315" i="1"/>
  <c r="AN327" i="1"/>
  <c r="AN312" i="1"/>
  <c r="AN321" i="1"/>
  <c r="AN324" i="1"/>
  <c r="AN333" i="1"/>
  <c r="AN337" i="1"/>
  <c r="AN338" i="1" s="1"/>
  <c r="AN318" i="1"/>
  <c r="AN341" i="1"/>
  <c r="AN342" i="1" s="1"/>
  <c r="AN310" i="1"/>
  <c r="AN313" i="1"/>
  <c r="AN316" i="1"/>
  <c r="AN319" i="1"/>
  <c r="AN322" i="1"/>
  <c r="AN325" i="1"/>
  <c r="AM326" i="1"/>
  <c r="AM319" i="1"/>
  <c r="AM322" i="1"/>
  <c r="AM335" i="1"/>
  <c r="AM336" i="1" s="1"/>
  <c r="AM339" i="1"/>
  <c r="AM340" i="1" s="1"/>
  <c r="AM343" i="1"/>
  <c r="AM311" i="1"/>
  <c r="AM314" i="1"/>
  <c r="AM317" i="1"/>
  <c r="AM320" i="1"/>
  <c r="AM323" i="1"/>
  <c r="AM313" i="1"/>
  <c r="AM316" i="1"/>
  <c r="AM333" i="1"/>
  <c r="AM337" i="1"/>
  <c r="AM338" i="1" s="1"/>
  <c r="AM312" i="1"/>
  <c r="AM315" i="1"/>
  <c r="AM318" i="1"/>
  <c r="AM321" i="1"/>
  <c r="AM324" i="1"/>
  <c r="AM327" i="1"/>
  <c r="AM325" i="1"/>
  <c r="AM341" i="1"/>
  <c r="AM342" i="1" s="1"/>
  <c r="AM310" i="1"/>
  <c r="AT278" i="1"/>
  <c r="AR278" i="1"/>
  <c r="AU278" i="1"/>
  <c r="AP315" i="1"/>
  <c r="AP341" i="1"/>
  <c r="AP342" i="1" s="1"/>
  <c r="AP310" i="1"/>
  <c r="AP313" i="1"/>
  <c r="AP316" i="1"/>
  <c r="AP319" i="1"/>
  <c r="AP322" i="1"/>
  <c r="AP325" i="1"/>
  <c r="AP321" i="1"/>
  <c r="AP312" i="1"/>
  <c r="AP333" i="1"/>
  <c r="AP337" i="1"/>
  <c r="AP338" i="1" s="1"/>
  <c r="AP335" i="1"/>
  <c r="AP336" i="1" s="1"/>
  <c r="AP339" i="1"/>
  <c r="AP340" i="1" s="1"/>
  <c r="AP343" i="1"/>
  <c r="AP311" i="1"/>
  <c r="AP314" i="1"/>
  <c r="AP317" i="1"/>
  <c r="AP320" i="1"/>
  <c r="AP323" i="1"/>
  <c r="AP326" i="1"/>
  <c r="AP318" i="1"/>
  <c r="AP327" i="1"/>
  <c r="AP324" i="1"/>
  <c r="AS278" i="1"/>
  <c r="AO341" i="1"/>
  <c r="AO342" i="1" s="1"/>
  <c r="AO310" i="1"/>
  <c r="AO313" i="1"/>
  <c r="AO316" i="1"/>
  <c r="AO319" i="1"/>
  <c r="AO322" i="1"/>
  <c r="AO325" i="1"/>
  <c r="AO315" i="1"/>
  <c r="AO321" i="1"/>
  <c r="AO335" i="1"/>
  <c r="AO336" i="1" s="1"/>
  <c r="AO339" i="1"/>
  <c r="AO340" i="1" s="1"/>
  <c r="AO343" i="1"/>
  <c r="AO311" i="1"/>
  <c r="AO314" i="1"/>
  <c r="AO317" i="1"/>
  <c r="AO320" i="1"/>
  <c r="AO323" i="1"/>
  <c r="AO326" i="1"/>
  <c r="AO324" i="1"/>
  <c r="AO318" i="1"/>
  <c r="AO327" i="1"/>
  <c r="AO333" i="1"/>
  <c r="AO337" i="1"/>
  <c r="AO338" i="1" s="1"/>
  <c r="AO312" i="1"/>
  <c r="AV316" i="1"/>
  <c r="AV318" i="1"/>
  <c r="AV322" i="1"/>
  <c r="AV320" i="1"/>
  <c r="AV310" i="1"/>
  <c r="AV312" i="1"/>
  <c r="BA278" i="1"/>
  <c r="D274" i="1" s="1"/>
  <c r="AV279" i="1"/>
  <c r="AQ283" i="1"/>
  <c r="AV313" i="1"/>
  <c r="AI303" i="1"/>
  <c r="AN302" i="1"/>
  <c r="AJ303" i="1"/>
  <c r="AO302" i="1"/>
  <c r="AV343" i="1"/>
  <c r="AP279" i="1"/>
  <c r="AP292" i="1"/>
  <c r="AP282" i="1"/>
  <c r="AP286" i="1"/>
  <c r="AV317" i="1"/>
  <c r="AV326" i="1"/>
  <c r="AV321" i="1"/>
  <c r="AV315" i="1"/>
  <c r="AV337" i="1"/>
  <c r="AV338" i="1" s="1"/>
  <c r="AO279" i="1"/>
  <c r="AO292" i="1"/>
  <c r="AO282" i="1"/>
  <c r="AO286" i="1"/>
  <c r="AK303" i="1"/>
  <c r="AP302" i="1"/>
  <c r="AM279" i="1"/>
  <c r="AM292" i="1"/>
  <c r="AM282" i="1"/>
  <c r="AM286" i="1"/>
  <c r="AV319" i="1"/>
  <c r="AV341" i="1"/>
  <c r="AV342" i="1" s="1"/>
  <c r="AV323" i="1"/>
  <c r="AV311" i="1"/>
  <c r="AV339" i="1"/>
  <c r="AV340" i="1" s="1"/>
  <c r="AV286" i="1"/>
  <c r="AV335" i="1"/>
  <c r="AV336" i="1" s="1"/>
  <c r="AV324" i="1"/>
  <c r="AV327" i="1"/>
  <c r="AV333" i="1"/>
  <c r="AV282" i="1"/>
  <c r="AV284" i="1" s="1"/>
  <c r="AN279" i="1"/>
  <c r="AN292" i="1"/>
  <c r="AN282" i="1"/>
  <c r="AN286" i="1"/>
  <c r="AV325" i="1"/>
  <c r="AK328" i="1"/>
  <c r="AQ328" i="1"/>
  <c r="AQ345" i="1"/>
  <c r="AQ329" i="1"/>
  <c r="AQ346" i="1"/>
  <c r="AI284" i="1"/>
  <c r="AI283" i="1"/>
  <c r="AJ284" i="1"/>
  <c r="AJ283" i="1"/>
  <c r="AJ328" i="1"/>
  <c r="AK329" i="1"/>
  <c r="AI329" i="1"/>
  <c r="AI334" i="1"/>
  <c r="AI346" i="1" s="1"/>
  <c r="AI345" i="1"/>
  <c r="AK334" i="1"/>
  <c r="AK346" i="1" s="1"/>
  <c r="AK345" i="1"/>
  <c r="AK284" i="1"/>
  <c r="AK283" i="1"/>
  <c r="AJ334" i="1"/>
  <c r="AJ346" i="1" s="1"/>
  <c r="AJ345" i="1"/>
  <c r="AI328" i="1"/>
  <c r="AJ329" i="1"/>
  <c r="BD302" i="1"/>
  <c r="BC303" i="1"/>
  <c r="AC280" i="1"/>
  <c r="AC281" i="1" s="1"/>
  <c r="AB280" i="1"/>
  <c r="AB281" i="1" s="1"/>
  <c r="AA280" i="1"/>
  <c r="AA281" i="1" s="1"/>
  <c r="AV301" i="1"/>
  <c r="AV303" i="1"/>
  <c r="AV296" i="1"/>
  <c r="AV295" i="1"/>
  <c r="AV294" i="1"/>
  <c r="AV297" i="1"/>
  <c r="AV300" i="1"/>
  <c r="AW288" i="1" l="1"/>
  <c r="BA316" i="1"/>
  <c r="BA333" i="1"/>
  <c r="BA311" i="1"/>
  <c r="BA339" i="1"/>
  <c r="BA340" i="1" s="1"/>
  <c r="BA337" i="1"/>
  <c r="BA338" i="1" s="1"/>
  <c r="BA322" i="1"/>
  <c r="BA282" i="1"/>
  <c r="BA284" i="1" s="1"/>
  <c r="AW290" i="1"/>
  <c r="AX278" i="1"/>
  <c r="AY278" i="1"/>
  <c r="AZ278" i="1"/>
  <c r="AW278" i="1"/>
  <c r="BA319" i="1"/>
  <c r="BA326" i="1"/>
  <c r="BA321" i="1"/>
  <c r="BA324" i="1"/>
  <c r="BA335" i="1"/>
  <c r="BA336" i="1" s="1"/>
  <c r="AM328" i="1"/>
  <c r="AM329" i="1"/>
  <c r="BA320" i="1"/>
  <c r="BA317" i="1"/>
  <c r="BA323" i="1"/>
  <c r="BA286" i="1"/>
  <c r="BA325" i="1"/>
  <c r="BA315" i="1"/>
  <c r="BA327" i="1"/>
  <c r="BA312" i="1"/>
  <c r="BA310" i="1"/>
  <c r="BA343" i="1"/>
  <c r="BA292" i="1"/>
  <c r="BA279" i="1"/>
  <c r="BA341" i="1"/>
  <c r="BA342" i="1" s="1"/>
  <c r="AR288" i="1"/>
  <c r="AO303" i="1"/>
  <c r="AT302" i="1"/>
  <c r="AN303" i="1"/>
  <c r="AS302" i="1"/>
  <c r="AO328" i="1"/>
  <c r="AS333" i="1"/>
  <c r="AS337" i="1"/>
  <c r="AS338" i="1" s="1"/>
  <c r="AS312" i="1"/>
  <c r="AS315" i="1"/>
  <c r="AS318" i="1"/>
  <c r="AS321" i="1"/>
  <c r="AS324" i="1"/>
  <c r="AS327" i="1"/>
  <c r="AS341" i="1"/>
  <c r="AS342" i="1" s="1"/>
  <c r="AS310" i="1"/>
  <c r="AS313" i="1"/>
  <c r="AS316" i="1"/>
  <c r="AS319" i="1"/>
  <c r="AS322" i="1"/>
  <c r="AS325" i="1"/>
  <c r="AS279" i="1"/>
  <c r="AS292" i="1"/>
  <c r="AS335" i="1"/>
  <c r="AS336" i="1" s="1"/>
  <c r="AS339" i="1"/>
  <c r="AS340" i="1" s="1"/>
  <c r="AS343" i="1"/>
  <c r="AS311" i="1"/>
  <c r="AS314" i="1"/>
  <c r="AS317" i="1"/>
  <c r="AS320" i="1"/>
  <c r="AS323" i="1"/>
  <c r="AS326" i="1"/>
  <c r="AS282" i="1"/>
  <c r="AS286" i="1"/>
  <c r="AP329" i="1"/>
  <c r="AU286" i="1"/>
  <c r="AU333" i="1"/>
  <c r="AU337" i="1"/>
  <c r="AU338" i="1" s="1"/>
  <c r="AU312" i="1"/>
  <c r="AU315" i="1"/>
  <c r="AU318" i="1"/>
  <c r="AU321" i="1"/>
  <c r="AU324" i="1"/>
  <c r="AU327" i="1"/>
  <c r="AU341" i="1"/>
  <c r="AU342" i="1" s="1"/>
  <c r="AU310" i="1"/>
  <c r="AU313" i="1"/>
  <c r="AU316" i="1"/>
  <c r="AU319" i="1"/>
  <c r="AU322" i="1"/>
  <c r="AU325" i="1"/>
  <c r="AU279" i="1"/>
  <c r="AU292" i="1"/>
  <c r="AU335" i="1"/>
  <c r="AU336" i="1" s="1"/>
  <c r="AU339" i="1"/>
  <c r="AU340" i="1" s="1"/>
  <c r="AU343" i="1"/>
  <c r="AU311" i="1"/>
  <c r="AU314" i="1"/>
  <c r="AU317" i="1"/>
  <c r="AU320" i="1"/>
  <c r="AU323" i="1"/>
  <c r="AU326" i="1"/>
  <c r="AU282" i="1"/>
  <c r="AN345" i="1"/>
  <c r="AN334" i="1"/>
  <c r="AN346" i="1" s="1"/>
  <c r="AO334" i="1"/>
  <c r="AO346" i="1" s="1"/>
  <c r="AO345" i="1"/>
  <c r="AP334" i="1"/>
  <c r="AP346" i="1" s="1"/>
  <c r="AP345" i="1"/>
  <c r="AR333" i="1"/>
  <c r="AR337" i="1"/>
  <c r="AR338" i="1" s="1"/>
  <c r="AR312" i="1"/>
  <c r="AR315" i="1"/>
  <c r="AR318" i="1"/>
  <c r="AR321" i="1"/>
  <c r="AR324" i="1"/>
  <c r="AR327" i="1"/>
  <c r="AR341" i="1"/>
  <c r="AR342" i="1" s="1"/>
  <c r="AR310" i="1"/>
  <c r="AR313" i="1"/>
  <c r="AR316" i="1"/>
  <c r="AR319" i="1"/>
  <c r="AR322" i="1"/>
  <c r="AR325" i="1"/>
  <c r="AR279" i="1"/>
  <c r="AR292" i="1"/>
  <c r="AR335" i="1"/>
  <c r="AR336" i="1" s="1"/>
  <c r="AR339" i="1"/>
  <c r="AR340" i="1" s="1"/>
  <c r="AR343" i="1"/>
  <c r="AR311" i="1"/>
  <c r="AR314" i="1"/>
  <c r="AR317" i="1"/>
  <c r="AR320" i="1"/>
  <c r="AR323" i="1"/>
  <c r="AR326" i="1"/>
  <c r="AR282" i="1"/>
  <c r="AR286" i="1"/>
  <c r="AR287" i="1" s="1"/>
  <c r="AM345" i="1"/>
  <c r="AM334" i="1"/>
  <c r="AM346" i="1" s="1"/>
  <c r="AP328" i="1"/>
  <c r="AT317" i="1"/>
  <c r="AT282" i="1"/>
  <c r="AT323" i="1"/>
  <c r="AT333" i="1"/>
  <c r="AT337" i="1"/>
  <c r="AT338" i="1" s="1"/>
  <c r="AT312" i="1"/>
  <c r="AT315" i="1"/>
  <c r="AT318" i="1"/>
  <c r="AT321" i="1"/>
  <c r="AT324" i="1"/>
  <c r="AT327" i="1"/>
  <c r="AT339" i="1"/>
  <c r="AT340" i="1" s="1"/>
  <c r="AT311" i="1"/>
  <c r="AT314" i="1"/>
  <c r="AT320" i="1"/>
  <c r="AT341" i="1"/>
  <c r="AT342" i="1" s="1"/>
  <c r="AT310" i="1"/>
  <c r="AT313" i="1"/>
  <c r="AT316" i="1"/>
  <c r="AT319" i="1"/>
  <c r="AT322" i="1"/>
  <c r="AT325" i="1"/>
  <c r="AT279" i="1"/>
  <c r="AT335" i="1"/>
  <c r="AT336" i="1" s="1"/>
  <c r="AT292" i="1"/>
  <c r="AT326" i="1"/>
  <c r="AT286" i="1"/>
  <c r="AT343" i="1"/>
  <c r="AN329" i="1"/>
  <c r="AV345" i="1"/>
  <c r="AO329" i="1"/>
  <c r="AN328" i="1"/>
  <c r="AP303" i="1"/>
  <c r="AR293" i="1" s="1"/>
  <c r="AU302" i="1"/>
  <c r="BA318" i="1"/>
  <c r="BB278" i="1"/>
  <c r="BB316" i="1" s="1"/>
  <c r="AV328" i="1"/>
  <c r="BA314" i="1"/>
  <c r="BA313" i="1"/>
  <c r="AV283" i="1"/>
  <c r="AN287" i="1"/>
  <c r="AV329" i="1"/>
  <c r="AO284" i="1"/>
  <c r="AO285" i="1" s="1"/>
  <c r="AO283" i="1"/>
  <c r="AN284" i="1"/>
  <c r="AN283" i="1"/>
  <c r="AP283" i="1"/>
  <c r="AP284" i="1"/>
  <c r="AV334" i="1"/>
  <c r="AV346" i="1" s="1"/>
  <c r="AI287" i="1"/>
  <c r="AM293" i="1"/>
  <c r="AN290" i="1"/>
  <c r="AN291" i="1" s="1"/>
  <c r="AN293" i="1"/>
  <c r="AN288" i="1"/>
  <c r="AP293" i="1"/>
  <c r="AM290" i="1"/>
  <c r="AM291" i="1" s="1"/>
  <c r="AM287" i="1"/>
  <c r="AM284" i="1"/>
  <c r="AM285" i="1" s="1"/>
  <c r="AM283" i="1"/>
  <c r="AJ288" i="1"/>
  <c r="AI288" i="1"/>
  <c r="AJ290" i="1"/>
  <c r="AJ291" i="1" s="1"/>
  <c r="AI290" i="1"/>
  <c r="AI291" i="1" s="1"/>
  <c r="AK288" i="1"/>
  <c r="AK290" i="1"/>
  <c r="AK291" i="1" s="1"/>
  <c r="AJ285" i="1"/>
  <c r="AI285" i="1"/>
  <c r="AK285" i="1"/>
  <c r="AJ287" i="1"/>
  <c r="AK287" i="1"/>
  <c r="BE302" i="1"/>
  <c r="BD303" i="1"/>
  <c r="BB341" i="1"/>
  <c r="BB342" i="1" s="1"/>
  <c r="BB339" i="1"/>
  <c r="BB340" i="1" s="1"/>
  <c r="BA301" i="1"/>
  <c r="AO290" i="1" s="1"/>
  <c r="AO291" i="1" s="1"/>
  <c r="BA303" i="1"/>
  <c r="BA297" i="1"/>
  <c r="BA294" i="1"/>
  <c r="BA300" i="1"/>
  <c r="BA295" i="1"/>
  <c r="BA296" i="1"/>
  <c r="BA334" i="1"/>
  <c r="BA283" i="1" l="1"/>
  <c r="BA346" i="1"/>
  <c r="BB292" i="1"/>
  <c r="BB313" i="1"/>
  <c r="BB311" i="1"/>
  <c r="BB279" i="1"/>
  <c r="AS303" i="1"/>
  <c r="AT287" i="1" s="1"/>
  <c r="AX302" i="1"/>
  <c r="AX303" i="1" s="1"/>
  <c r="AT303" i="1"/>
  <c r="AU287" i="1" s="1"/>
  <c r="AY302" i="1"/>
  <c r="AY303" i="1" s="1"/>
  <c r="AU303" i="1"/>
  <c r="AZ302" i="1"/>
  <c r="AZ303" i="1" s="1"/>
  <c r="BA287" i="1" s="1"/>
  <c r="AW333" i="1"/>
  <c r="AW337" i="1"/>
  <c r="AW338" i="1" s="1"/>
  <c r="AW341" i="1"/>
  <c r="AW342" i="1" s="1"/>
  <c r="AW279" i="1"/>
  <c r="AW335" i="1"/>
  <c r="AW336" i="1" s="1"/>
  <c r="AW292" i="1"/>
  <c r="AW339" i="1"/>
  <c r="AW340" i="1" s="1"/>
  <c r="AW343" i="1"/>
  <c r="AW282" i="1"/>
  <c r="AW286" i="1"/>
  <c r="AW287" i="1" s="1"/>
  <c r="AW313" i="1"/>
  <c r="AW312" i="1"/>
  <c r="AW315" i="1"/>
  <c r="AW318" i="1"/>
  <c r="AW323" i="1"/>
  <c r="AW310" i="1"/>
  <c r="AW326" i="1"/>
  <c r="AW311" i="1"/>
  <c r="AW327" i="1"/>
  <c r="AW320" i="1"/>
  <c r="AW322" i="1"/>
  <c r="AW325" i="1"/>
  <c r="AW316" i="1"/>
  <c r="AW319" i="1"/>
  <c r="AW314" i="1"/>
  <c r="AW321" i="1"/>
  <c r="AW324" i="1"/>
  <c r="AW317" i="1"/>
  <c r="AZ339" i="1"/>
  <c r="AZ340" i="1" s="1"/>
  <c r="AZ333" i="1"/>
  <c r="AZ337" i="1"/>
  <c r="AZ338" i="1" s="1"/>
  <c r="AZ292" i="1"/>
  <c r="AZ282" i="1"/>
  <c r="AZ341" i="1"/>
  <c r="AZ342" i="1" s="1"/>
  <c r="AZ279" i="1"/>
  <c r="AZ343" i="1"/>
  <c r="AZ286" i="1"/>
  <c r="AZ335" i="1"/>
  <c r="AZ336" i="1" s="1"/>
  <c r="AZ313" i="1"/>
  <c r="AZ312" i="1"/>
  <c r="AZ327" i="1"/>
  <c r="AZ319" i="1"/>
  <c r="AZ325" i="1"/>
  <c r="AZ322" i="1"/>
  <c r="AZ317" i="1"/>
  <c r="AZ326" i="1"/>
  <c r="AZ321" i="1"/>
  <c r="AZ310" i="1"/>
  <c r="AZ323" i="1"/>
  <c r="AZ324" i="1"/>
  <c r="AZ315" i="1"/>
  <c r="AZ320" i="1"/>
  <c r="AZ311" i="1"/>
  <c r="AZ318" i="1"/>
  <c r="AZ316" i="1"/>
  <c r="AZ314" i="1"/>
  <c r="AY286" i="1"/>
  <c r="AY333" i="1"/>
  <c r="AY337" i="1"/>
  <c r="AY338" i="1" s="1"/>
  <c r="AY343" i="1"/>
  <c r="AY341" i="1"/>
  <c r="AY342" i="1" s="1"/>
  <c r="AY279" i="1"/>
  <c r="AY282" i="1"/>
  <c r="AY292" i="1"/>
  <c r="AY335" i="1"/>
  <c r="AY336" i="1" s="1"/>
  <c r="AY339" i="1"/>
  <c r="AY340" i="1" s="1"/>
  <c r="AY313" i="1"/>
  <c r="AY312" i="1"/>
  <c r="AY322" i="1"/>
  <c r="AY314" i="1"/>
  <c r="AY327" i="1"/>
  <c r="AY317" i="1"/>
  <c r="AY323" i="1"/>
  <c r="AY310" i="1"/>
  <c r="AY324" i="1"/>
  <c r="AY316" i="1"/>
  <c r="AY326" i="1"/>
  <c r="AY321" i="1"/>
  <c r="AY325" i="1"/>
  <c r="AY315" i="1"/>
  <c r="AY318" i="1"/>
  <c r="AY320" i="1"/>
  <c r="AY311" i="1"/>
  <c r="AY319" i="1"/>
  <c r="AX333" i="1"/>
  <c r="AX337" i="1"/>
  <c r="AX338" i="1" s="1"/>
  <c r="AX341" i="1"/>
  <c r="AX342" i="1" s="1"/>
  <c r="AX279" i="1"/>
  <c r="AX286" i="1"/>
  <c r="AX287" i="1" s="1"/>
  <c r="AX292" i="1"/>
  <c r="AX343" i="1"/>
  <c r="AX282" i="1"/>
  <c r="AX339" i="1"/>
  <c r="AX340" i="1" s="1"/>
  <c r="AX335" i="1"/>
  <c r="AX336" i="1" s="1"/>
  <c r="AX312" i="1"/>
  <c r="AX313" i="1"/>
  <c r="AX314" i="1"/>
  <c r="AX317" i="1"/>
  <c r="AX319" i="1"/>
  <c r="AX321" i="1"/>
  <c r="AX324" i="1"/>
  <c r="AX326" i="1"/>
  <c r="AX323" i="1"/>
  <c r="AX315" i="1"/>
  <c r="AX310" i="1"/>
  <c r="AX318" i="1"/>
  <c r="AX320" i="1"/>
  <c r="AX325" i="1"/>
  <c r="AX311" i="1"/>
  <c r="AX316" i="1"/>
  <c r="AX327" i="1"/>
  <c r="AX322" i="1"/>
  <c r="BB314" i="1"/>
  <c r="BB312" i="1"/>
  <c r="BA329" i="1"/>
  <c r="AM288" i="1"/>
  <c r="AM289" i="1" s="1"/>
  <c r="AM280" i="1" s="1"/>
  <c r="AM281" i="1" s="1"/>
  <c r="AP288" i="1"/>
  <c r="AR290" i="1"/>
  <c r="AR291" i="1" s="1"/>
  <c r="AR289" i="1" s="1"/>
  <c r="AR280" i="1" s="1"/>
  <c r="AR281" i="1" s="1"/>
  <c r="AS287" i="1"/>
  <c r="AS288" i="1"/>
  <c r="AS293" i="1"/>
  <c r="AS290" i="1"/>
  <c r="AS291" i="1" s="1"/>
  <c r="AO287" i="1"/>
  <c r="AO293" i="1"/>
  <c r="AN285" i="1"/>
  <c r="BA328" i="1"/>
  <c r="AP287" i="1"/>
  <c r="BA345" i="1"/>
  <c r="AP290" i="1"/>
  <c r="AP291" i="1" s="1"/>
  <c r="AO288" i="1"/>
  <c r="AO289" i="1" s="1"/>
  <c r="AO280" i="1" s="1"/>
  <c r="AO281" i="1" s="1"/>
  <c r="AP285" i="1"/>
  <c r="AT328" i="1"/>
  <c r="BB286" i="1"/>
  <c r="BB287" i="1" s="1"/>
  <c r="BB343" i="1"/>
  <c r="BB310" i="1"/>
  <c r="AT345" i="1"/>
  <c r="AT334" i="1"/>
  <c r="AT346" i="1" s="1"/>
  <c r="BC278" i="1"/>
  <c r="BC327" i="1" s="1"/>
  <c r="BB333" i="1"/>
  <c r="BB334" i="1" s="1"/>
  <c r="BB337" i="1"/>
  <c r="BB338" i="1" s="1"/>
  <c r="AT283" i="1"/>
  <c r="AT284" i="1"/>
  <c r="AT285" i="1" s="1"/>
  <c r="AS283" i="1"/>
  <c r="AS284" i="1"/>
  <c r="AS285" i="1" s="1"/>
  <c r="AS328" i="1"/>
  <c r="BB327" i="1"/>
  <c r="BB335" i="1"/>
  <c r="BB336" i="1" s="1"/>
  <c r="BB282" i="1"/>
  <c r="BB284" i="1" s="1"/>
  <c r="BB285" i="1" s="1"/>
  <c r="AR345" i="1"/>
  <c r="AR334" i="1"/>
  <c r="AR346" i="1" s="1"/>
  <c r="AS345" i="1"/>
  <c r="AS334" i="1"/>
  <c r="AS346" i="1" s="1"/>
  <c r="AS329" i="1"/>
  <c r="BB324" i="1"/>
  <c r="AU329" i="1"/>
  <c r="BB325" i="1"/>
  <c r="BB323" i="1"/>
  <c r="BB322" i="1"/>
  <c r="AU283" i="1"/>
  <c r="AU284" i="1"/>
  <c r="AU328" i="1"/>
  <c r="BB326" i="1"/>
  <c r="BB321" i="1"/>
  <c r="BB319" i="1"/>
  <c r="BB320" i="1"/>
  <c r="AR329" i="1"/>
  <c r="AU345" i="1"/>
  <c r="AU334" i="1"/>
  <c r="AU346" i="1" s="1"/>
  <c r="BB317" i="1"/>
  <c r="BB318" i="1"/>
  <c r="BB315" i="1"/>
  <c r="AT329" i="1"/>
  <c r="AR283" i="1"/>
  <c r="AR284" i="1"/>
  <c r="AR285" i="1" s="1"/>
  <c r="AR328" i="1"/>
  <c r="AN289" i="1"/>
  <c r="AN280" i="1" s="1"/>
  <c r="AN281" i="1" s="1"/>
  <c r="AK289" i="1"/>
  <c r="AK280" i="1" s="1"/>
  <c r="AK281" i="1" s="1"/>
  <c r="AI289" i="1"/>
  <c r="AI280" i="1" s="1"/>
  <c r="AI281" i="1" s="1"/>
  <c r="AJ289" i="1"/>
  <c r="AJ280" i="1" s="1"/>
  <c r="AJ281" i="1" s="1"/>
  <c r="AH288" i="1"/>
  <c r="AL288" i="1"/>
  <c r="BF302" i="1"/>
  <c r="BF303" i="1" s="1"/>
  <c r="BE303" i="1"/>
  <c r="AF290" i="1"/>
  <c r="AF291" i="1" s="1"/>
  <c r="AF287" i="1"/>
  <c r="AF285" i="1"/>
  <c r="AH287" i="1"/>
  <c r="AL287" i="1"/>
  <c r="AQ287" i="1"/>
  <c r="AG287" i="1"/>
  <c r="AQ285" i="1"/>
  <c r="AG288" i="1"/>
  <c r="AG285" i="1"/>
  <c r="AG290" i="1"/>
  <c r="AG291" i="1" s="1"/>
  <c r="AF288" i="1"/>
  <c r="BB293" i="1"/>
  <c r="AH285" i="1"/>
  <c r="AL285" i="1"/>
  <c r="AH290" i="1"/>
  <c r="AH291" i="1" s="1"/>
  <c r="AL293" i="1"/>
  <c r="BD288" i="1"/>
  <c r="BE288" i="1"/>
  <c r="BE290" i="1"/>
  <c r="BE291" i="1" s="1"/>
  <c r="BB290" i="1"/>
  <c r="BB291" i="1" s="1"/>
  <c r="BC293" i="1"/>
  <c r="BE293" i="1"/>
  <c r="BD293" i="1"/>
  <c r="BD290" i="1"/>
  <c r="BD291" i="1" s="1"/>
  <c r="BB288" i="1"/>
  <c r="BC290" i="1"/>
  <c r="BC291" i="1" s="1"/>
  <c r="BC288" i="1"/>
  <c r="AD288" i="1"/>
  <c r="AD289" i="1" s="1"/>
  <c r="AQ293" i="1"/>
  <c r="BG301" i="1"/>
  <c r="BG303" i="1"/>
  <c r="BG288" i="1" s="1"/>
  <c r="BG297" i="1"/>
  <c r="BG294" i="1"/>
  <c r="BG300" i="1"/>
  <c r="BH277" i="1"/>
  <c r="BG296" i="1"/>
  <c r="BG295" i="1"/>
  <c r="AX293" i="1" l="1"/>
  <c r="AX291" i="1"/>
  <c r="AX289" i="1" s="1"/>
  <c r="AX280" i="1" s="1"/>
  <c r="AX281" i="1" s="1"/>
  <c r="AV285" i="1"/>
  <c r="AW293" i="1"/>
  <c r="AW291" i="1"/>
  <c r="AW289" i="1" s="1"/>
  <c r="AW280" i="1" s="1"/>
  <c r="AW281" i="1" s="1"/>
  <c r="BC279" i="1"/>
  <c r="BC319" i="1"/>
  <c r="AT288" i="1"/>
  <c r="AT293" i="1"/>
  <c r="AT290" i="1"/>
  <c r="AT291" i="1" s="1"/>
  <c r="AT289" i="1" s="1"/>
  <c r="AT280" i="1" s="1"/>
  <c r="AU290" i="1"/>
  <c r="AU291" i="1" s="1"/>
  <c r="AU293" i="1"/>
  <c r="AU288" i="1"/>
  <c r="AY287" i="1"/>
  <c r="BA288" i="1"/>
  <c r="AP289" i="1"/>
  <c r="AP280" i="1" s="1"/>
  <c r="AP281" i="1" s="1"/>
  <c r="BA293" i="1"/>
  <c r="BA285" i="1"/>
  <c r="AU285" i="1"/>
  <c r="AV287" i="1"/>
  <c r="BC324" i="1"/>
  <c r="BC322" i="1"/>
  <c r="BC318" i="1"/>
  <c r="BC325" i="1"/>
  <c r="BC323" i="1"/>
  <c r="AZ287" i="1"/>
  <c r="AW328" i="1"/>
  <c r="AV293" i="1"/>
  <c r="AY283" i="1"/>
  <c r="AY284" i="1"/>
  <c r="AY285" i="1" s="1"/>
  <c r="AY328" i="1"/>
  <c r="AX329" i="1"/>
  <c r="AX345" i="1"/>
  <c r="AX334" i="1"/>
  <c r="AX346" i="1" s="1"/>
  <c r="AZ328" i="1"/>
  <c r="AY329" i="1"/>
  <c r="AW345" i="1"/>
  <c r="AW334" i="1"/>
  <c r="AW346" i="1" s="1"/>
  <c r="AY345" i="1"/>
  <c r="AY334" i="1"/>
  <c r="AY346" i="1" s="1"/>
  <c r="AZ283" i="1"/>
  <c r="AZ284" i="1"/>
  <c r="AZ285" i="1" s="1"/>
  <c r="AX283" i="1"/>
  <c r="AX284" i="1"/>
  <c r="AX285" i="1" s="1"/>
  <c r="AZ290" i="1"/>
  <c r="AZ291" i="1" s="1"/>
  <c r="AZ288" i="1"/>
  <c r="AZ293" i="1"/>
  <c r="AW284" i="1"/>
  <c r="AW285" i="1" s="1"/>
  <c r="AW283" i="1"/>
  <c r="AZ345" i="1"/>
  <c r="AZ334" i="1"/>
  <c r="AZ346" i="1" s="1"/>
  <c r="AY290" i="1"/>
  <c r="AY291" i="1" s="1"/>
  <c r="AY288" i="1"/>
  <c r="AY293" i="1"/>
  <c r="BB328" i="1"/>
  <c r="AX328" i="1"/>
  <c r="AZ329" i="1"/>
  <c r="AW329" i="1"/>
  <c r="BB329" i="1"/>
  <c r="AS289" i="1"/>
  <c r="AS280" i="1" s="1"/>
  <c r="AS281" i="1" s="1"/>
  <c r="BB283" i="1"/>
  <c r="BC320" i="1"/>
  <c r="BC321" i="1"/>
  <c r="BC316" i="1"/>
  <c r="BC317" i="1"/>
  <c r="BB345" i="1"/>
  <c r="BC313" i="1"/>
  <c r="BB346" i="1"/>
  <c r="BC310" i="1"/>
  <c r="BC311" i="1"/>
  <c r="BC312" i="1"/>
  <c r="BC339" i="1"/>
  <c r="BC340" i="1" s="1"/>
  <c r="BC341" i="1"/>
  <c r="BC342" i="1" s="1"/>
  <c r="BC343" i="1"/>
  <c r="BC315" i="1"/>
  <c r="BD278" i="1"/>
  <c r="BD325" i="1" s="1"/>
  <c r="BC333" i="1"/>
  <c r="BC334" i="1" s="1"/>
  <c r="BC337" i="1"/>
  <c r="BC338" i="1" s="1"/>
  <c r="BC314" i="1"/>
  <c r="BC286" i="1"/>
  <c r="BC287" i="1" s="1"/>
  <c r="BC282" i="1"/>
  <c r="BC284" i="1" s="1"/>
  <c r="BC285" i="1" s="1"/>
  <c r="BC335" i="1"/>
  <c r="BC336" i="1" s="1"/>
  <c r="BC292" i="1"/>
  <c r="BC326" i="1"/>
  <c r="BF293" i="1"/>
  <c r="AG289" i="1"/>
  <c r="AG280" i="1" s="1"/>
  <c r="AG281" i="1" s="1"/>
  <c r="AF289" i="1"/>
  <c r="AF280" i="1" s="1"/>
  <c r="AF281" i="1" s="1"/>
  <c r="BE289" i="1"/>
  <c r="BD289" i="1"/>
  <c r="BF290" i="1"/>
  <c r="BF291" i="1" s="1"/>
  <c r="BG285" i="1"/>
  <c r="BB289" i="1"/>
  <c r="BB280" i="1" s="1"/>
  <c r="BB281" i="1" s="1"/>
  <c r="AD280" i="1"/>
  <c r="AD281" i="1" s="1"/>
  <c r="BC289" i="1"/>
  <c r="BA290" i="1"/>
  <c r="BA291" i="1" s="1"/>
  <c r="BA289" i="1" s="1"/>
  <c r="AQ288" i="1"/>
  <c r="BG293" i="1"/>
  <c r="AH289" i="1"/>
  <c r="AV290" i="1"/>
  <c r="AV291" i="1" s="1"/>
  <c r="AL290" i="1"/>
  <c r="AL291" i="1" s="1"/>
  <c r="AV288" i="1"/>
  <c r="AQ290" i="1"/>
  <c r="AQ291" i="1" s="1"/>
  <c r="BG287" i="1"/>
  <c r="BG290" i="1"/>
  <c r="BG291" i="1" s="1"/>
  <c r="BG289" i="1" s="1"/>
  <c r="BH301" i="1"/>
  <c r="BF288" i="1" s="1"/>
  <c r="BH300" i="1"/>
  <c r="BH303" i="1"/>
  <c r="AU289" i="1" l="1"/>
  <c r="AU280" i="1" s="1"/>
  <c r="AU281" i="1" s="1"/>
  <c r="AT281" i="1"/>
  <c r="AY289" i="1"/>
  <c r="AY280" i="1" s="1"/>
  <c r="AY281" i="1" s="1"/>
  <c r="BD312" i="1"/>
  <c r="BD316" i="1"/>
  <c r="BC329" i="1"/>
  <c r="AZ289" i="1"/>
  <c r="AZ280" i="1" s="1"/>
  <c r="AZ281" i="1" s="1"/>
  <c r="BD341" i="1"/>
  <c r="BD342" i="1" s="1"/>
  <c r="BD314" i="1"/>
  <c r="BD323" i="1"/>
  <c r="BD327" i="1"/>
  <c r="BD321" i="1"/>
  <c r="BD319" i="1"/>
  <c r="BD286" i="1"/>
  <c r="BD287" i="1" s="1"/>
  <c r="BD280" i="1" s="1"/>
  <c r="BD281" i="1" s="1"/>
  <c r="BD317" i="1"/>
  <c r="BC328" i="1"/>
  <c r="BC346" i="1"/>
  <c r="BC280" i="1"/>
  <c r="BC281" i="1" s="1"/>
  <c r="BD315" i="1"/>
  <c r="BD322" i="1"/>
  <c r="BD313" i="1"/>
  <c r="BD335" i="1"/>
  <c r="BD336" i="1" s="1"/>
  <c r="BD311" i="1"/>
  <c r="BD337" i="1"/>
  <c r="BD338" i="1" s="1"/>
  <c r="BD343" i="1"/>
  <c r="BE278" i="1"/>
  <c r="BE337" i="1" s="1"/>
  <c r="BE338" i="1" s="1"/>
  <c r="BD318" i="1"/>
  <c r="BD324" i="1"/>
  <c r="BD292" i="1"/>
  <c r="BD310" i="1"/>
  <c r="BC345" i="1"/>
  <c r="BD279" i="1"/>
  <c r="BD326" i="1"/>
  <c r="BD339" i="1"/>
  <c r="BD340" i="1" s="1"/>
  <c r="BC283" i="1"/>
  <c r="BD333" i="1"/>
  <c r="BD334" i="1" s="1"/>
  <c r="BD320" i="1"/>
  <c r="BH293" i="1"/>
  <c r="AE288" i="1"/>
  <c r="AE289" i="1" s="1"/>
  <c r="AE280" i="1" s="1"/>
  <c r="AE281" i="1" s="1"/>
  <c r="AV289" i="1"/>
  <c r="AV280" i="1" s="1"/>
  <c r="AV281" i="1" s="1"/>
  <c r="BG280" i="1"/>
  <c r="BG281" i="1" s="1"/>
  <c r="BF289" i="1"/>
  <c r="BD283" i="1"/>
  <c r="BD284" i="1"/>
  <c r="BD285" i="1" s="1"/>
  <c r="AH280" i="1"/>
  <c r="AH281" i="1" s="1"/>
  <c r="AQ289" i="1"/>
  <c r="AQ280" i="1" s="1"/>
  <c r="AQ281" i="1" s="1"/>
  <c r="AL289" i="1"/>
  <c r="AL280" i="1" s="1"/>
  <c r="AL281" i="1" s="1"/>
  <c r="BA280" i="1"/>
  <c r="BA281" i="1" s="1"/>
  <c r="BE322" i="1" l="1"/>
  <c r="BD329" i="1"/>
  <c r="BE320" i="1"/>
  <c r="BE315" i="1"/>
  <c r="BE318" i="1"/>
  <c r="BE317" i="1"/>
  <c r="BE313" i="1"/>
  <c r="BE311" i="1"/>
  <c r="BE312" i="1"/>
  <c r="BE333" i="1"/>
  <c r="BE334" i="1" s="1"/>
  <c r="BE343" i="1"/>
  <c r="BE286" i="1"/>
  <c r="BE287" i="1" s="1"/>
  <c r="BE280" i="1" s="1"/>
  <c r="BE281" i="1" s="1"/>
  <c r="BE279" i="1"/>
  <c r="BE327" i="1"/>
  <c r="BE325" i="1"/>
  <c r="BE335" i="1"/>
  <c r="BE336" i="1" s="1"/>
  <c r="BE323" i="1"/>
  <c r="BE316" i="1"/>
  <c r="BE314" i="1"/>
  <c r="BE339" i="1"/>
  <c r="BE340" i="1" s="1"/>
  <c r="BE341" i="1"/>
  <c r="BE342" i="1" s="1"/>
  <c r="BE326" i="1"/>
  <c r="BE321" i="1"/>
  <c r="BE324" i="1"/>
  <c r="BE319" i="1"/>
  <c r="BD328" i="1"/>
  <c r="BE292" i="1"/>
  <c r="BE310" i="1"/>
  <c r="BD346" i="1"/>
  <c r="BD345" i="1"/>
  <c r="BF335" i="1"/>
  <c r="BF336" i="1" s="1"/>
  <c r="BF333" i="1"/>
  <c r="BF339" i="1"/>
  <c r="BF340" i="1" s="1"/>
  <c r="BF343" i="1"/>
  <c r="BF311" i="1"/>
  <c r="BF313" i="1"/>
  <c r="BF315" i="1"/>
  <c r="BF317" i="1"/>
  <c r="BF319" i="1"/>
  <c r="BF321" i="1"/>
  <c r="BF323" i="1"/>
  <c r="BF325" i="1"/>
  <c r="BF327" i="1"/>
  <c r="BF337" i="1"/>
  <c r="BF338" i="1" s="1"/>
  <c r="BF341" i="1"/>
  <c r="BF342" i="1" s="1"/>
  <c r="BF310" i="1"/>
  <c r="BF312" i="1"/>
  <c r="BF314" i="1"/>
  <c r="BF316" i="1"/>
  <c r="BF318" i="1"/>
  <c r="BF320" i="1"/>
  <c r="BF322" i="1"/>
  <c r="BF324" i="1"/>
  <c r="BF326" i="1"/>
  <c r="BE284" i="1"/>
  <c r="BE285" i="1" s="1"/>
  <c r="BE283" i="1"/>
  <c r="BF292" i="1"/>
  <c r="BF279" i="1"/>
  <c r="BF286" i="1"/>
  <c r="BE329" i="1" l="1"/>
  <c r="BE328" i="1"/>
  <c r="BE346" i="1"/>
  <c r="BE345" i="1"/>
  <c r="BF287" i="1"/>
  <c r="BF280" i="1" s="1"/>
  <c r="BF281" i="1" s="1"/>
  <c r="BF328" i="1"/>
  <c r="BF329" i="1"/>
  <c r="BF283" i="1"/>
  <c r="BF284" i="1"/>
  <c r="BF285" i="1" s="1"/>
  <c r="BF334" i="1"/>
  <c r="BF346" i="1" s="1"/>
  <c r="BF345" i="1"/>
</calcChain>
</file>

<file path=xl/sharedStrings.xml><?xml version="1.0" encoding="utf-8"?>
<sst xmlns="http://schemas.openxmlformats.org/spreadsheetml/2006/main" count="737" uniqueCount="539">
  <si>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</si>
  <si>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</si>
  <si>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</si>
  <si>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</si>
  <si>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</si>
  <si>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</si>
  <si>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</si>
  <si>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</si>
  <si>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</si>
  <si>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</si>
  <si>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</si>
  <si>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</si>
  <si>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</si>
  <si>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</si>
  <si>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</si>
  <si>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</si>
  <si>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</si>
  <si>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</si>
  <si>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</si>
  <si>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</si>
  <si>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</si>
  <si>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</si>
  <si>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</si>
  <si>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</si>
  <si>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</si>
  <si>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</si>
  <si>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</si>
  <si>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</si>
  <si>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</si>
  <si>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</si>
  <si>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</si>
  <si>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</si>
  <si>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</si>
  <si>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</si>
  <si>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</si>
  <si>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</si>
  <si>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</si>
  <si>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</si>
  <si>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</si>
  <si>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</si>
  <si>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</si>
  <si>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</si>
  <si>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</si>
  <si>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</si>
  <si>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</si>
  <si>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</si>
  <si>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</si>
  <si>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</si>
  <si>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</si>
  <si>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</si>
  <si>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</si>
  <si>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</si>
  <si>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</si>
  <si>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</si>
  <si>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</si>
  <si>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</si>
  <si>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</si>
  <si>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</si>
  <si>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</si>
  <si>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</si>
  <si>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</si>
  <si>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</si>
  <si>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</si>
  <si>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</si>
  <si>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</si>
  <si>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</si>
  <si>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</si>
  <si>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</si>
  <si>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</si>
  <si>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</si>
  <si>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</si>
  <si>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</si>
  <si>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</si>
  <si>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</si>
  <si>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</si>
  <si>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</si>
  <si>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</si>
  <si>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</si>
  <si>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</si>
  <si>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</si>
  <si>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</si>
  <si>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</si>
  <si>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</si>
  <si>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</si>
  <si>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</si>
  <si>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</si>
  <si>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</si>
  <si>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</si>
  <si>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</si>
  <si>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</si>
  <si>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</si>
  <si>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</si>
  <si>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</si>
  <si>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</si>
  <si>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</si>
  <si>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</si>
  <si>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</si>
  <si>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</si>
  <si>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</si>
  <si>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</si>
  <si>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</si>
  <si>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</si>
  <si>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</si>
  <si>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</si>
  <si>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</si>
  <si>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</si>
  <si>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</si>
  <si>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</si>
  <si>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</si>
  <si>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</si>
  <si>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</si>
  <si>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</si>
  <si>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</si>
  <si>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</si>
  <si>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</si>
  <si>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</si>
  <si>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</si>
  <si>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</si>
  <si>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</si>
  <si>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</si>
  <si>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</si>
  <si>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</si>
  <si>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</si>
  <si>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</si>
  <si>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</si>
  <si>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</si>
  <si>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</si>
  <si>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</si>
  <si>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</si>
  <si>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</si>
  <si>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</si>
  <si>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</si>
  <si>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</si>
  <si>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</si>
  <si>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</si>
  <si>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</si>
  <si>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</si>
  <si>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</si>
  <si>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</si>
  <si>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</si>
  <si>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</si>
  <si>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</si>
  <si>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</si>
  <si>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</si>
  <si>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</si>
  <si>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</si>
  <si>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</si>
  <si>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</si>
  <si>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</si>
  <si>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</si>
  <si>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</si>
  <si>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</si>
  <si>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</si>
  <si>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</si>
  <si>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</si>
  <si>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</si>
  <si>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</si>
  <si>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</si>
  <si>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</si>
  <si>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</si>
  <si>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</si>
  <si>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</si>
  <si>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</si>
  <si>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</si>
  <si>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</si>
  <si>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</si>
  <si>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</si>
  <si>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</si>
  <si>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</si>
  <si>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</si>
  <si>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</si>
  <si>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</si>
  <si>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</si>
  <si>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</si>
  <si>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</si>
  <si>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</si>
  <si>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</si>
  <si>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</si>
  <si>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</si>
  <si>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</si>
  <si>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</si>
  <si>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</si>
  <si>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</si>
  <si>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</si>
  <si>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</si>
  <si>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</si>
  <si>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</si>
  <si>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</si>
  <si>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</si>
  <si>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</si>
  <si>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</si>
  <si>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</si>
  <si>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</si>
  <si>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</si>
  <si>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</si>
  <si>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</si>
  <si>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</si>
  <si>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</si>
  <si>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</si>
  <si>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</si>
  <si>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</si>
  <si>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</si>
  <si>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</si>
  <si>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</si>
  <si>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</si>
  <si>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</si>
  <si>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</si>
  <si>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</si>
  <si>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</si>
  <si>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</si>
  <si>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</si>
  <si>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</si>
  <si>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</si>
  <si>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</si>
  <si>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</si>
  <si>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</si>
  <si>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</si>
  <si>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</si>
  <si>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</si>
  <si>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</si>
  <si>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</si>
  <si>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</si>
  <si>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</si>
  <si>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</si>
  <si>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</si>
  <si>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</si>
  <si>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</si>
  <si>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</si>
  <si>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</si>
  <si>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</si>
  <si>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</si>
  <si>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</si>
  <si>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</si>
  <si>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</si>
  <si>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</si>
  <si>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</si>
  <si>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</si>
  <si>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</si>
  <si>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</si>
  <si>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</si>
  <si>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</si>
  <si>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</si>
  <si>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</si>
  <si>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</si>
  <si>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</si>
  <si>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</si>
  <si>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</si>
  <si>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</si>
  <si>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</si>
  <si>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</si>
  <si>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</si>
  <si>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</si>
  <si>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</si>
  <si>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</si>
  <si>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</si>
  <si>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</si>
  <si>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</si>
  <si>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</si>
  <si>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</si>
  <si>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</si>
  <si>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</si>
  <si>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</si>
  <si>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</si>
  <si>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</si>
  <si>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</si>
  <si>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</si>
  <si>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</si>
  <si>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</si>
  <si>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</si>
  <si>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</si>
  <si>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</si>
  <si>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</si>
  <si>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</si>
  <si>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</si>
  <si>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</si>
  <si>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</si>
  <si>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</si>
  <si>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</si>
  <si>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</si>
  <si>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</si>
  <si>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</si>
  <si>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</si>
  <si>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</si>
  <si>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</si>
  <si>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</si>
  <si>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</si>
  <si>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</si>
  <si>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</si>
  <si>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</si>
  <si>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</si>
  <si>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</si>
  <si>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</si>
  <si>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</si>
  <si>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</si>
  <si>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</si>
  <si>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</si>
  <si>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</si>
  <si>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</si>
  <si>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</si>
  <si>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</si>
  <si>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</si>
  <si>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</si>
  <si>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</si>
  <si>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</si>
  <si>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</si>
  <si>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</si>
  <si>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</si>
  <si>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</si>
  <si>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</si>
  <si>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</si>
  <si>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</si>
  <si>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</si>
  <si>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</si>
  <si>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</si>
  <si>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</si>
  <si>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</si>
  <si>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</si>
  <si>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</si>
  <si>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</si>
  <si>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</si>
  <si>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</si>
  <si>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</si>
  <si>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</si>
  <si>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</si>
  <si>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</si>
  <si>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</si>
  <si>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</si>
  <si>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</si>
  <si>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</si>
  <si>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</si>
  <si>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</si>
  <si>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</si>
  <si>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</si>
  <si>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</si>
  <si>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</si>
  <si>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</si>
  <si>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</si>
  <si>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</si>
  <si>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</si>
  <si>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</si>
  <si>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</si>
  <si>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</si>
  <si>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</si>
  <si>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</si>
  <si>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</si>
  <si>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</si>
  <si>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</si>
  <si>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</si>
  <si>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</si>
  <si>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</si>
  <si>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</si>
  <si>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</si>
  <si>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</si>
  <si>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</si>
  <si>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</si>
  <si>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</si>
  <si>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</si>
  <si>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</si>
  <si>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</si>
  <si>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</si>
  <si>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</si>
  <si>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</si>
  <si>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</si>
  <si>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</si>
  <si>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</si>
  <si>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</si>
  <si>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</si>
  <si>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</si>
  <si>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</si>
  <si>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</si>
  <si>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</si>
  <si>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</si>
  <si>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</si>
  <si>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</si>
  <si>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</si>
  <si>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</si>
  <si>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</si>
  <si>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</si>
  <si>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</si>
  <si>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</si>
  <si>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</si>
  <si>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</si>
  <si>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</si>
  <si>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</si>
  <si>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</si>
  <si>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</si>
  <si>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</si>
  <si>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</si>
  <si>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</si>
  <si>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</si>
  <si>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</si>
  <si>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</si>
  <si>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</si>
  <si>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</si>
  <si>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</si>
  <si>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</si>
  <si>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</si>
  <si>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</si>
  <si>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</si>
  <si>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</si>
  <si>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</si>
  <si>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</si>
  <si>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</si>
  <si>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</si>
  <si>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</si>
  <si>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</si>
  <si>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</si>
  <si>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</si>
  <si>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</si>
  <si>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</si>
  <si>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</si>
  <si>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</si>
  <si>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</si>
  <si>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</si>
  <si>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</si>
  <si>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</si>
  <si>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</si>
  <si>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</si>
  <si>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</si>
  <si>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</si>
  <si>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</si>
  <si>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</si>
  <si>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</si>
  <si>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</si>
  <si>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</si>
  <si>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</si>
  <si>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</si>
  <si>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</si>
  <si>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</si>
  <si>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</si>
  <si>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</si>
  <si>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</si>
  <si>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</si>
  <si>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</si>
  <si>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</si>
  <si>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</si>
  <si>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</si>
  <si>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</si>
  <si>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</si>
  <si>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</si>
  <si>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</si>
  <si>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</si>
  <si>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</si>
  <si>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</si>
  <si>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</si>
  <si>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</si>
  <si>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</si>
  <si>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</si>
  <si>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</si>
  <si>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</si>
  <si>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</si>
  <si>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</si>
  <si>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</si>
  <si>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</si>
  <si>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</si>
  <si>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</si>
  <si>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</si>
  <si>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</si>
  <si>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</si>
  <si>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</si>
  <si>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</si>
  <si>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</si>
  <si>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</si>
  <si>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</si>
  <si>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</si>
  <si>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</si>
  <si>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</si>
  <si>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</si>
  <si>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</si>
  <si>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3000+</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</si>
  <si>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</si>
  <si>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</si>
  <si>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</si>
  <si>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</si>
  <si>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</si>
  <si>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</si>
  <si>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</si>
  <si>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</si>
  <si>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</si>
  <si>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</si>
  <si>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</si>
  <si>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</si>
  <si>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</si>
  <si>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</si>
  <si>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</si>
  <si>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</si>
  <si>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</si>
  <si>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</si>
  <si>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</si>
  <si>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</si>
  <si>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</si>
  <si>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</si>
  <si>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</si>
  <si>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</si>
  <si>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</si>
  <si>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</si>
  <si>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</si>
  <si>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</si>
  <si>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</si>
  <si>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</si>
  <si>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</si>
  <si>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</si>
  <si>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</si>
  <si>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</si>
  <si>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 US Population at time</t>
  </si>
  <si>
    <t>Origin unknow, first detected in Hong Kong</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</si>
  <si>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</si>
  <si>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</si>
  <si>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</si>
  <si>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</si>
  <si>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</si>
  <si>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</si>
  <si>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</si>
  <si>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</si>
  <si>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</si>
  <si>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</si>
  <si>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</si>
  <si>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</si>
  <si>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</si>
  <si>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</si>
  <si>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</si>
  <si>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</si>
  <si>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</si>
  <si>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</si>
  <si>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</si>
  <si>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</si>
  <si>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</si>
  <si>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</si>
  <si>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</si>
  <si>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</si>
  <si>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</si>
  <si>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</si>
  <si>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</si>
  <si>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</si>
  <si>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</si>
  <si>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</si>
  <si>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</si>
  <si>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</si>
  <si>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The number of US deaths from COVID-19 surpass the 100,000 deaths in the US from the H3N2 flu pandemic of 1968.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</si>
</sst>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1">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4" fontId="0" fillId="8" borderId="22" xfId="0" applyNumberFormat="1" applyFill="1" applyBorder="1"/>
    <xf numFmtId="166" fontId="0" fillId="9" borderId="0" xfId="0" applyNumberFormat="1" applyFill="1" applyBorder="1"/>
    <xf numFmtId="0" fontId="0" fillId="19" borderId="23" xfId="0" applyFill="1" applyBorder="1"/>
    <xf numFmtId="3" fontId="0" fillId="19" borderId="23" xfId="0" applyNumberFormat="1" applyFill="1" applyBorder="1"/>
    <xf numFmtId="3" fontId="0" fillId="20" borderId="0" xfId="0" applyNumberFormat="1" applyFill="1"/>
    <xf numFmtId="3" fontId="0" fillId="21" borderId="23"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2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0" fontId="0" fillId="6" borderId="0" xfId="0" applyFill="1" applyAlignment="1">
      <alignment horizontal="right"/>
    </xf>
    <xf numFmtId="3" fontId="0" fillId="6" borderId="8" xfId="0" applyNumberFormat="1" applyFill="1" applyBorder="1" applyAlignment="1">
      <alignment horizontal="right"/>
    </xf>
    <xf numFmtId="0" fontId="0" fillId="0" borderId="0" xfId="0" applyAlignment="1">
      <alignment horizontal="left" indent="1"/>
    </xf>
    <xf numFmtId="3" fontId="0" fillId="0" borderId="0" xfId="0" applyNumberFormat="1" applyAlignment="1">
      <alignment horizontal="right"/>
    </xf>
    <xf numFmtId="3" fontId="0" fillId="0" borderId="8" xfId="0" applyNumberFormat="1" applyBorder="1" applyAlignment="1">
      <alignment horizontal="right"/>
    </xf>
    <xf numFmtId="3" fontId="0" fillId="0" borderId="0" xfId="0" applyNumberFormat="1" applyBorder="1" applyAlignment="1">
      <alignment horizontal="right"/>
    </xf>
    <xf numFmtId="0" fontId="0" fillId="0" borderId="8" xfId="0" applyFont="1" applyBorder="1"/>
    <xf numFmtId="3" fontId="0" fillId="0" borderId="8" xfId="0" applyNumberFormat="1" applyFon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14" fontId="0" fillId="2" borderId="8" xfId="0" applyNumberFormat="1" applyFont="1" applyFill="1" applyBorder="1"/>
    <xf numFmtId="3" fontId="0" fillId="2" borderId="8" xfId="0" applyNumberFormat="1" applyFon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Projections!$P$278:$BG$278</c15:sqref>
                  </c15:fullRef>
                </c:ext>
              </c:extLst>
              <c:f>Projections!$P$278:$AL$278</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Projections!$A$302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Projections!$P$302:$BG$302</c15:sqref>
                  </c15:fullRef>
                </c:ext>
              </c:extLst>
              <c:f>Projections!$P$302:$AL$302</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Projections!$P$292:$BG$292</c15:sqref>
                  </c15:fullRef>
                </c:ext>
              </c:extLst>
              <c:f>Projections!$P$292:$AL$292</c:f>
              <c:numCache>
                <c:formatCode>#,##0_ ;[Red]\-#,##0\ </c:formatCode>
                <c:ptCount val="23"/>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numCache>
            </c:numRef>
          </c:val>
          <c:smooth val="0"/>
          <c:extLst>
            <c:ext xmlns:c16="http://schemas.microsoft.com/office/drawing/2014/chart" uri="{C3380CC4-5D6E-409C-BE32-E72D297353CC}">
              <c16:uniqueId val="{00000000-50BE-40C1-B679-81AF0BCE3FCD}"/>
            </c:ext>
          </c:extLst>
        </c:ser>
        <c:ser>
          <c:idx val="1"/>
          <c:order val="1"/>
          <c:tx>
            <c:strRef>
              <c:f>Projections!$A$306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Projections!$P$306:$BG$306</c15:sqref>
                  </c15:fullRef>
                </c:ext>
              </c:extLst>
              <c:f>Projections!$P$306:$AL$306</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Projections!$P$288:$BG$288</c15:sqref>
                  </c15:fullRef>
                </c:ext>
              </c:extLst>
              <c:f>Projections!$P$288:$AQ$288</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295492.66518045042</c:v>
                </c:pt>
                <c:pt idx="20">
                  <c:v>354791.8589697365</c:v>
                </c:pt>
                <c:pt idx="21">
                  <c:v>448469.46944997844</c:v>
                </c:pt>
                <c:pt idx="22">
                  <c:v>407976.69599878788</c:v>
                </c:pt>
                <c:pt idx="23">
                  <c:v>940698.40448295011</c:v>
                </c:pt>
                <c:pt idx="24">
                  <c:v>810839.39785012079</c:v>
                </c:pt>
                <c:pt idx="25">
                  <c:v>952745.88707694656</c:v>
                </c:pt>
                <c:pt idx="26">
                  <c:v>1064307.9294741398</c:v>
                </c:pt>
                <c:pt idx="27">
                  <c:v>1160249.6763565929</c:v>
                </c:pt>
              </c:numCache>
            </c:numRef>
          </c:val>
          <c:smooth val="0"/>
          <c:extLst>
            <c:ext xmlns:c16="http://schemas.microsoft.com/office/drawing/2014/chart" uri="{C3380CC4-5D6E-409C-BE32-E72D297353CC}">
              <c16:uniqueId val="{00000000-A3C2-4B4C-996C-CDB1A252886F}"/>
            </c:ext>
          </c:extLst>
        </c:ser>
        <c:ser>
          <c:idx val="2"/>
          <c:order val="1"/>
          <c:tx>
            <c:strRef>
              <c:f>Projections!$A$289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Projections!$P$289:$BG$289</c15:sqref>
                  </c15:fullRef>
                </c:ext>
              </c:extLst>
              <c:f>Projections!$P$289:$AQ$289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252868.59737156465</c:v>
                </c:pt>
                <c:pt idx="20">
                  <c:v>181677.79901564698</c:v>
                </c:pt>
                <c:pt idx="21">
                  <c:v>203285.11007365442</c:v>
                </c:pt>
                <c:pt idx="22">
                  <c:v>252056.96599880184</c:v>
                </c:pt>
                <c:pt idx="23">
                  <c:v>532659.2429449925</c:v>
                </c:pt>
                <c:pt idx="24">
                  <c:v>553229.92637480807</c:v>
                </c:pt>
                <c:pt idx="25">
                  <c:v>351534.76998693473</c:v>
                </c:pt>
                <c:pt idx="26">
                  <c:v>535989.53950503108</c:v>
                </c:pt>
                <c:pt idx="27">
                  <c:v>531877.01113903837</c:v>
                </c:pt>
              </c:numCache>
            </c:numRef>
          </c:val>
          <c:smooth val="0"/>
          <c:extLst>
            <c:ext xmlns:c16="http://schemas.microsoft.com/office/drawing/2014/chart" uri="{C3380CC4-5D6E-409C-BE32-E72D297353CC}">
              <c16:uniqueId val="{00000001-A3C2-4B4C-996C-CDB1A252886F}"/>
            </c:ext>
          </c:extLst>
        </c:ser>
        <c:ser>
          <c:idx val="0"/>
          <c:order val="2"/>
          <c:tx>
            <c:strRef>
              <c:f>Projections!$A$290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Projections!$P$290:$BG$290</c15:sqref>
                  </c15:fullRef>
                </c:ext>
              </c:extLst>
              <c:f>Projections!$P$290:$AQ$290</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42937.038554280232</c:v>
                </c:pt>
                <c:pt idx="20">
                  <c:v>134060.1838119278</c:v>
                </c:pt>
                <c:pt idx="21">
                  <c:v>169554.0325304759</c:v>
                </c:pt>
                <c:pt idx="22">
                  <c:v>163685.41381191395</c:v>
                </c:pt>
                <c:pt idx="23">
                  <c:v>121528.35323819361</c:v>
                </c:pt>
                <c:pt idx="24">
                  <c:v>115367.50498258488</c:v>
                </c:pt>
                <c:pt idx="25">
                  <c:v>144053.00494187459</c:v>
                </c:pt>
                <c:pt idx="26">
                  <c:v>169297.15502566702</c:v>
                </c:pt>
                <c:pt idx="27">
                  <c:v>192561.66533694998</c:v>
                </c:pt>
              </c:numCache>
            </c:numRef>
          </c:val>
          <c:smooth val="0"/>
          <c:extLst>
            <c:ext xmlns:c16="http://schemas.microsoft.com/office/drawing/2014/chart" uri="{C3380CC4-5D6E-409C-BE32-E72D297353CC}">
              <c16:uniqueId val="{00000002-A3C2-4B4C-996C-CDB1A252886F}"/>
            </c:ext>
          </c:extLst>
        </c:ser>
        <c:ser>
          <c:idx val="4"/>
          <c:order val="3"/>
          <c:tx>
            <c:strRef>
              <c:f>Projections!$A$291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Projections!$P$291:$BG$291</c15:sqref>
                  </c15:fullRef>
                </c:ext>
              </c:extLst>
              <c:f>Projections!$P$291:$AQ$291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30465.110685232437</c:v>
                </c:pt>
                <c:pt idx="20">
                  <c:v>98609.039740496039</c:v>
                </c:pt>
                <c:pt idx="21">
                  <c:v>120294.25919359041</c:v>
                </c:pt>
                <c:pt idx="22">
                  <c:v>29625.229999986157</c:v>
                </c:pt>
                <c:pt idx="23">
                  <c:v>23871.298760504302</c:v>
                </c:pt>
                <c:pt idx="24">
                  <c:v>0</c:v>
                </c:pt>
                <c:pt idx="25">
                  <c:v>0</c:v>
                </c:pt>
                <c:pt idx="26">
                  <c:v>0</c:v>
                </c:pt>
                <c:pt idx="27">
                  <c:v>0</c:v>
                </c:pt>
              </c:numCache>
            </c:numRef>
          </c:val>
          <c:smooth val="0"/>
          <c:extLst>
            <c:ext xmlns:c16="http://schemas.microsoft.com/office/drawing/2014/chart" uri="{C3380CC4-5D6E-409C-BE32-E72D297353CC}">
              <c16:uniqueId val="{00000003-A3C2-4B4C-996C-CDB1A252886F}"/>
            </c:ext>
          </c:extLst>
        </c:ser>
        <c:ser>
          <c:idx val="1"/>
          <c:order val="4"/>
          <c:tx>
            <c:strRef>
              <c:f>Projections!$A$292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Projections!$P$292:$BG$292</c15:sqref>
                  </c15:fullRef>
                </c:ext>
              </c:extLst>
              <c:f>Projections!$P$292:$AQ$292</c:f>
              <c:numCache>
                <c:formatCode>#,##0_ ;[Red]\-#,##0\ </c:formatCode>
                <c:ptCount val="28"/>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pt idx="23">
                  <c:v>144998.39999999999</c:v>
                </c:pt>
                <c:pt idx="24">
                  <c:v>169164.79999999999</c:v>
                </c:pt>
                <c:pt idx="25">
                  <c:v>193331.19999999998</c:v>
                </c:pt>
                <c:pt idx="26">
                  <c:v>217497.59999999998</c:v>
                </c:pt>
                <c:pt idx="27">
                  <c:v>241664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Projections!$P$310:$BG$310</c15:sqref>
                  </c15:fullRef>
                </c:ext>
              </c:extLst>
              <c:f>Projections!$P$310:$AQ$310</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Projections!$A$312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Projections!$P$312:$BG$312</c15:sqref>
                  </c15:fullRef>
                </c:ext>
              </c:extLst>
              <c:f>Projections!$P$312:$AQ$312</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Projections!$A$314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Projections!$P$314:$BG$314</c15:sqref>
                  </c15:fullRef>
                </c:ext>
              </c:extLst>
              <c:f>Projections!$P$314:$AQ$314</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Projections!$A$316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Projections!$P$316:$BG$316</c15:sqref>
                  </c15:fullRef>
                </c:ext>
              </c:extLst>
              <c:f>Projections!$P$316:$AQ$316</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Projections!$A$318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Projections!$P$318:$BG$318</c15:sqref>
                  </c15:fullRef>
                </c:ext>
              </c:extLst>
              <c:f>Projections!$P$318:$AQ$318</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Projections!$A$320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Projections!$P$320:$BG$320</c15:sqref>
                  </c15:fullRef>
                </c:ext>
              </c:extLst>
              <c:f>Projections!$P$320:$AQ$320</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Projections!$A$322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Projections!$P$322:$BG$322</c15:sqref>
                  </c15:fullRef>
                </c:ext>
              </c:extLst>
              <c:f>Projections!$P$322:$AQ$322</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Projections!$A$324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Projections!$P$324:$BG$324</c15:sqref>
                  </c15:fullRef>
                </c:ext>
              </c:extLst>
              <c:f>Projections!$P$324:$AQ$324</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Projections!$A$326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Projections!$P$326:$BG$326</c15:sqref>
                  </c15:fullRef>
                </c:ext>
              </c:extLst>
              <c:f>Projections!$P$326:$AQ$326</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Projections!$A$310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Projections!$P$311:$BG$311</c15:sqref>
                  </c15:fullRef>
                </c:ext>
              </c:extLst>
              <c:f>Projections!$P$311:$AQ$311</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Projections!$A$312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Projections!$P$313:$BG$313</c15:sqref>
                  </c15:fullRef>
                </c:ext>
              </c:extLst>
              <c:f>Projections!$P$313:$AQ$313</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Projections!$A$314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Projections!$P$315:$BG$315</c15:sqref>
                  </c15:fullRef>
                </c:ext>
              </c:extLst>
              <c:f>Projections!$P$315:$AQ$315</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Projections!$A$316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Projections!$P$317:$BG$317</c15:sqref>
                  </c15:fullRef>
                </c:ext>
              </c:extLst>
              <c:f>Projections!$P$317:$AQ$317</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Projections!$A$318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Projections!$P$319:$BG$319</c15:sqref>
                  </c15:fullRef>
                </c:ext>
              </c:extLst>
              <c:f>Projections!$P$319:$AQ$319</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Projections!$A$320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Projections!$P$321:$BG$321</c15:sqref>
                  </c15:fullRef>
                </c:ext>
              </c:extLst>
              <c:f>Projections!$P$321:$AQ$321</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Projections!$A$322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Projections!$P$323:$BG$323</c15:sqref>
                  </c15:fullRef>
                </c:ext>
              </c:extLst>
              <c:f>Projections!$P$323:$AQ$323</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Projections!$A$324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Projections!$P$325:$BG$325</c15:sqref>
                  </c15:fullRef>
                </c:ext>
              </c:extLst>
              <c:f>Projections!$P$325:$AQ$325</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Projections!$A$326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Projections!$P$327:$BG$327</c15:sqref>
                  </c15:fullRef>
                </c:ext>
              </c:extLst>
              <c:f>Projections!$P$327:$AQ$327</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Projections!$A$339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Projections!$A$337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Projections!$A$343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Projections!$A$333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Projections!$A$335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Projections!$A$341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Projections!$A$339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Projections!$A$337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Projections!$A$333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Projections!$A$335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Projections!$A$341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Projections!$P$278:$BG$278</c15:sqref>
                  </c15:fullRef>
                </c:ext>
              </c:extLst>
              <c:f>Projections!$P$278:$AL$278</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Projections!$A$302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Projections!$P$302:$BG$302</c15:sqref>
                  </c15:fullRef>
                </c:ext>
              </c:extLst>
              <c:f>Projections!$P$302:$AL$302</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Projections!$P$292:$BG$292</c15:sqref>
                  </c15:fullRef>
                </c:ext>
              </c:extLst>
              <c:f>Projections!$P$292:$AL$292</c:f>
              <c:numCache>
                <c:formatCode>#,##0_ ;[Red]\-#,##0\ </c:formatCode>
                <c:ptCount val="23"/>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numCache>
            </c:numRef>
          </c:val>
          <c:smooth val="0"/>
          <c:extLst>
            <c:ext xmlns:c16="http://schemas.microsoft.com/office/drawing/2014/chart" uri="{C3380CC4-5D6E-409C-BE32-E72D297353CC}">
              <c16:uniqueId val="{00000000-FE1B-4946-A476-7952C5C71231}"/>
            </c:ext>
          </c:extLst>
        </c:ser>
        <c:ser>
          <c:idx val="1"/>
          <c:order val="1"/>
          <c:tx>
            <c:strRef>
              <c:f>Projections!$A$306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Projections!$P$277:$BG$277</c15:sqref>
                  </c15:fullRef>
                </c:ext>
              </c:extLst>
              <c:f>Projections!$P$277:$AL$277</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Projections!$P$306:$BG$306</c15:sqref>
                  </c15:fullRef>
                </c:ext>
              </c:extLst>
              <c:f>Projections!$P$306:$AL$306</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43941.796145486114</c:v>
                </c:pt>
                <c:pt idx="1">
                  <c:v>43944.796145486114</c:v>
                </c:pt>
                <c:pt idx="2">
                  <c:v>43947.796145486114</c:v>
                </c:pt>
                <c:pt idx="3">
                  <c:v>43950.796145486114</c:v>
                </c:pt>
                <c:pt idx="4">
                  <c:v>43953.796145486114</c:v>
                </c:pt>
                <c:pt idx="5">
                  <c:v>43956.796145486114</c:v>
                </c:pt>
                <c:pt idx="6">
                  <c:v>43959.796145486114</c:v>
                </c:pt>
                <c:pt idx="7">
                  <c:v>43962.796145486114</c:v>
                </c:pt>
                <c:pt idx="8">
                  <c:v>43965.796145486114</c:v>
                </c:pt>
                <c:pt idx="9">
                  <c:v>43968.796145486114</c:v>
                </c:pt>
                <c:pt idx="10">
                  <c:v>43971.796145486114</c:v>
                </c:pt>
                <c:pt idx="11">
                  <c:v>43974.796145486114</c:v>
                </c:pt>
                <c:pt idx="12">
                  <c:v>43977.796145486114</c:v>
                </c:pt>
                <c:pt idx="13">
                  <c:v>43980.796145486114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Projections!$P$288:$BG$288</c15:sqref>
                  </c15:fullRef>
                </c:ext>
              </c:extLst>
              <c:f>Projections!$P$288:$AQ$288</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295492.66518045042</c:v>
                </c:pt>
                <c:pt idx="20">
                  <c:v>354791.8589697365</c:v>
                </c:pt>
                <c:pt idx="21">
                  <c:v>448469.46944997844</c:v>
                </c:pt>
                <c:pt idx="22">
                  <c:v>407976.69599878788</c:v>
                </c:pt>
                <c:pt idx="23">
                  <c:v>940698.40448295011</c:v>
                </c:pt>
                <c:pt idx="24">
                  <c:v>810839.39785012079</c:v>
                </c:pt>
                <c:pt idx="25">
                  <c:v>952745.88707694656</c:v>
                </c:pt>
                <c:pt idx="26">
                  <c:v>1064307.9294741398</c:v>
                </c:pt>
                <c:pt idx="27">
                  <c:v>1160249.6763565929</c:v>
                </c:pt>
              </c:numCache>
            </c:numRef>
          </c:val>
          <c:smooth val="0"/>
          <c:extLst>
            <c:ext xmlns:c16="http://schemas.microsoft.com/office/drawing/2014/chart" uri="{C3380CC4-5D6E-409C-BE32-E72D297353CC}">
              <c16:uniqueId val="{00000003-5231-4BE2-97ED-54F0C3DB105C}"/>
            </c:ext>
          </c:extLst>
        </c:ser>
        <c:ser>
          <c:idx val="2"/>
          <c:order val="1"/>
          <c:tx>
            <c:strRef>
              <c:f>Projections!$A$289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Projections!$P$289:$BG$289</c15:sqref>
                  </c15:fullRef>
                </c:ext>
              </c:extLst>
              <c:f>Projections!$P$289:$AQ$289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252868.59737156465</c:v>
                </c:pt>
                <c:pt idx="20">
                  <c:v>181677.79901564698</c:v>
                </c:pt>
                <c:pt idx="21">
                  <c:v>203285.11007365442</c:v>
                </c:pt>
                <c:pt idx="22">
                  <c:v>252056.96599880184</c:v>
                </c:pt>
                <c:pt idx="23">
                  <c:v>532659.2429449925</c:v>
                </c:pt>
                <c:pt idx="24">
                  <c:v>553229.92637480807</c:v>
                </c:pt>
                <c:pt idx="25">
                  <c:v>351534.76998693473</c:v>
                </c:pt>
                <c:pt idx="26">
                  <c:v>535989.53950503108</c:v>
                </c:pt>
                <c:pt idx="27">
                  <c:v>531877.01113903837</c:v>
                </c:pt>
              </c:numCache>
            </c:numRef>
          </c:val>
          <c:smooth val="0"/>
          <c:extLst>
            <c:ext xmlns:c16="http://schemas.microsoft.com/office/drawing/2014/chart" uri="{C3380CC4-5D6E-409C-BE32-E72D297353CC}">
              <c16:uniqueId val="{00000002-9381-4A4E-BB43-DCD8EC2F4E00}"/>
            </c:ext>
          </c:extLst>
        </c:ser>
        <c:ser>
          <c:idx val="0"/>
          <c:order val="2"/>
          <c:tx>
            <c:strRef>
              <c:f>Projections!$A$290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Projections!$P$290:$BG$290</c15:sqref>
                  </c15:fullRef>
                </c:ext>
              </c:extLst>
              <c:f>Projections!$P$290:$AQ$290</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42937.038554280232</c:v>
                </c:pt>
                <c:pt idx="20">
                  <c:v>134060.1838119278</c:v>
                </c:pt>
                <c:pt idx="21">
                  <c:v>169554.0325304759</c:v>
                </c:pt>
                <c:pt idx="22">
                  <c:v>163685.41381191395</c:v>
                </c:pt>
                <c:pt idx="23">
                  <c:v>121528.35323819361</c:v>
                </c:pt>
                <c:pt idx="24">
                  <c:v>115367.50498258488</c:v>
                </c:pt>
                <c:pt idx="25">
                  <c:v>144053.00494187459</c:v>
                </c:pt>
                <c:pt idx="26">
                  <c:v>169297.15502566702</c:v>
                </c:pt>
                <c:pt idx="27">
                  <c:v>192561.66533694998</c:v>
                </c:pt>
              </c:numCache>
            </c:numRef>
          </c:val>
          <c:smooth val="0"/>
          <c:extLst>
            <c:ext xmlns:c16="http://schemas.microsoft.com/office/drawing/2014/chart" uri="{C3380CC4-5D6E-409C-BE32-E72D297353CC}">
              <c16:uniqueId val="{00000000-9381-4A4E-BB43-DCD8EC2F4E00}"/>
            </c:ext>
          </c:extLst>
        </c:ser>
        <c:ser>
          <c:idx val="4"/>
          <c:order val="3"/>
          <c:tx>
            <c:strRef>
              <c:f>Projections!$A$291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Projections!$P$291:$BG$291</c15:sqref>
                  </c15:fullRef>
                </c:ext>
              </c:extLst>
              <c:f>Projections!$P$291:$AQ$291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30465.110685232437</c:v>
                </c:pt>
                <c:pt idx="20">
                  <c:v>98609.039740496039</c:v>
                </c:pt>
                <c:pt idx="21">
                  <c:v>120294.25919359041</c:v>
                </c:pt>
                <c:pt idx="22">
                  <c:v>29625.229999986157</c:v>
                </c:pt>
                <c:pt idx="23">
                  <c:v>23871.298760504302</c:v>
                </c:pt>
                <c:pt idx="24">
                  <c:v>0</c:v>
                </c:pt>
                <c:pt idx="25">
                  <c:v>0</c:v>
                </c:pt>
                <c:pt idx="26">
                  <c:v>0</c:v>
                </c:pt>
                <c:pt idx="27">
                  <c:v>0</c:v>
                </c:pt>
              </c:numCache>
            </c:numRef>
          </c:val>
          <c:smooth val="0"/>
          <c:extLst>
            <c:ext xmlns:c16="http://schemas.microsoft.com/office/drawing/2014/chart" uri="{C3380CC4-5D6E-409C-BE32-E72D297353CC}">
              <c16:uniqueId val="{00000003-9381-4A4E-BB43-DCD8EC2F4E00}"/>
            </c:ext>
          </c:extLst>
        </c:ser>
        <c:ser>
          <c:idx val="1"/>
          <c:order val="4"/>
          <c:tx>
            <c:strRef>
              <c:f>Projections!$A$292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Projections!$P$292:$BG$292</c15:sqref>
                  </c15:fullRef>
                </c:ext>
              </c:extLst>
              <c:f>Projections!$P$292:$AQ$292</c:f>
              <c:numCache>
                <c:formatCode>#,##0_ ;[Red]\-#,##0\ </c:formatCode>
                <c:ptCount val="28"/>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pt idx="23">
                  <c:v>144998.39999999999</c:v>
                </c:pt>
                <c:pt idx="24">
                  <c:v>169164.79999999999</c:v>
                </c:pt>
                <c:pt idx="25">
                  <c:v>193331.19999999998</c:v>
                </c:pt>
                <c:pt idx="26">
                  <c:v>217497.59999999998</c:v>
                </c:pt>
                <c:pt idx="27">
                  <c:v>241664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Projections!$P$310:$BG$310</c15:sqref>
                  </c15:fullRef>
                </c:ext>
              </c:extLst>
              <c:f>Projections!$P$310:$AQ$310</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Projections!$A$312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Projections!$P$312:$BG$312</c15:sqref>
                  </c15:fullRef>
                </c:ext>
              </c:extLst>
              <c:f>Projections!$P$312:$AQ$312</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Projections!$A$314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Projections!$P$314:$BG$314</c15:sqref>
                  </c15:fullRef>
                </c:ext>
              </c:extLst>
              <c:f>Projections!$P$314:$AQ$314</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Projections!$A$316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Projections!$P$316:$BG$316</c15:sqref>
                  </c15:fullRef>
                </c:ext>
              </c:extLst>
              <c:f>Projections!$P$316:$AQ$316</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Projections!$A$318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Projections!$P$318:$BG$318</c15:sqref>
                  </c15:fullRef>
                </c:ext>
              </c:extLst>
              <c:f>Projections!$P$318:$AQ$318</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Projections!$A$320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Projections!$P$320:$BG$320</c15:sqref>
                  </c15:fullRef>
                </c:ext>
              </c:extLst>
              <c:f>Projections!$P$320:$AQ$320</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Projections!$A$322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Projections!$P$322:$BG$322</c15:sqref>
                  </c15:fullRef>
                </c:ext>
              </c:extLst>
              <c:f>Projections!$P$322:$AQ$322</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Projections!$A$324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Projections!$P$324:$BG$324</c15:sqref>
                  </c15:fullRef>
                </c:ext>
              </c:extLst>
              <c:f>Projections!$P$324:$AQ$324</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Projections!$A$326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Projections!$P$326:$BG$326</c15:sqref>
                  </c15:fullRef>
                </c:ext>
              </c:extLst>
              <c:f>Projections!$P$326:$AQ$326</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Projections!$A$310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Projections!$P$311:$BG$311</c15:sqref>
                  </c15:fullRef>
                </c:ext>
              </c:extLst>
              <c:f>Projections!$P$311:$AQ$311</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Projections!$A$312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Projections!$P$313:$BG$313</c15:sqref>
                  </c15:fullRef>
                </c:ext>
              </c:extLst>
              <c:f>Projections!$P$313:$AQ$313</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Projections!$A$314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Projections!$P$315:$BG$315</c15:sqref>
                  </c15:fullRef>
                </c:ext>
              </c:extLst>
              <c:f>Projections!$P$315:$AQ$315</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Projections!$A$316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Projections!$P$317:$BG$317</c15:sqref>
                  </c15:fullRef>
                </c:ext>
              </c:extLst>
              <c:f>Projections!$P$317:$AQ$317</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Projections!$A$318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Projections!$P$319:$BG$319</c15:sqref>
                  </c15:fullRef>
                </c:ext>
              </c:extLst>
              <c:f>Projections!$P$319:$AQ$319</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Projections!$A$320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Projections!$P$321:$BG$321</c15:sqref>
                  </c15:fullRef>
                </c:ext>
              </c:extLst>
              <c:f>Projections!$P$321:$AQ$321</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Projections!$A$322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Projections!$P$323:$BG$323</c15:sqref>
                  </c15:fullRef>
                </c:ext>
              </c:extLst>
              <c:f>Projections!$P$323:$AQ$323</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Projections!$A$324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Projections!$P$325:$BG$325</c15:sqref>
                  </c15:fullRef>
                </c:ext>
              </c:extLst>
              <c:f>Projections!$P$325:$AQ$325</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Projections!$A$326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Projections!$P$327:$BG$327</c15:sqref>
                  </c15:fullRef>
                </c:ext>
              </c:extLst>
              <c:f>Projections!$P$327:$AQ$327</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Projections!$A$339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Projections!$A$337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Projections!$A$343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Projections!$A$333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Projections!$A$335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Projections!$A$341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Projections!$A$339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Projections!$A$337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Projections!$A$333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Projections!$A$335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Projections!$A$341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Projections!$P$277:$BG$277</c15:sqref>
                  </c15:fullRef>
                </c:ext>
              </c:extLst>
              <c:f>Projections!$P$277:$AQ$277</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276</xdr:row>
      <xdr:rowOff>104775</xdr:rowOff>
    </xdr:from>
    <xdr:to>
      <xdr:col>72</xdr:col>
      <xdr:colOff>600075</xdr:colOff>
      <xdr:row>308</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348</xdr:row>
      <xdr:rowOff>120114</xdr:rowOff>
    </xdr:from>
    <xdr:to>
      <xdr:col>73</xdr:col>
      <xdr:colOff>19050</xdr:colOff>
      <xdr:row>371</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372</xdr:row>
      <xdr:rowOff>124876</xdr:rowOff>
    </xdr:from>
    <xdr:to>
      <xdr:col>73</xdr:col>
      <xdr:colOff>28575</xdr:colOff>
      <xdr:row>389</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390</xdr:row>
      <xdr:rowOff>105825</xdr:rowOff>
    </xdr:from>
    <xdr:to>
      <xdr:col>73</xdr:col>
      <xdr:colOff>38099</xdr:colOff>
      <xdr:row>406</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407</xdr:row>
      <xdr:rowOff>124875</xdr:rowOff>
    </xdr:from>
    <xdr:to>
      <xdr:col>73</xdr:col>
      <xdr:colOff>19050</xdr:colOff>
      <xdr:row>426</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310</xdr:row>
      <xdr:rowOff>119062</xdr:rowOff>
    </xdr:from>
    <xdr:to>
      <xdr:col>73</xdr:col>
      <xdr:colOff>19050</xdr:colOff>
      <xdr:row>330</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331</xdr:row>
      <xdr:rowOff>117021</xdr:rowOff>
    </xdr:from>
    <xdr:to>
      <xdr:col>72</xdr:col>
      <xdr:colOff>590550</xdr:colOff>
      <xdr:row>347</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276</xdr:row>
      <xdr:rowOff>104775</xdr:rowOff>
    </xdr:from>
    <xdr:to>
      <xdr:col>86</xdr:col>
      <xdr:colOff>161925</xdr:colOff>
      <xdr:row>308</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348</xdr:row>
      <xdr:rowOff>101064</xdr:rowOff>
    </xdr:from>
    <xdr:to>
      <xdr:col>86</xdr:col>
      <xdr:colOff>209550</xdr:colOff>
      <xdr:row>371</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372</xdr:row>
      <xdr:rowOff>115351</xdr:rowOff>
    </xdr:from>
    <xdr:to>
      <xdr:col>86</xdr:col>
      <xdr:colOff>200025</xdr:colOff>
      <xdr:row>389</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390</xdr:row>
      <xdr:rowOff>105825</xdr:rowOff>
    </xdr:from>
    <xdr:to>
      <xdr:col>86</xdr:col>
      <xdr:colOff>219074</xdr:colOff>
      <xdr:row>406</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407</xdr:row>
      <xdr:rowOff>124875</xdr:rowOff>
    </xdr:from>
    <xdr:to>
      <xdr:col>86</xdr:col>
      <xdr:colOff>228600</xdr:colOff>
      <xdr:row>426</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310</xdr:row>
      <xdr:rowOff>128587</xdr:rowOff>
    </xdr:from>
    <xdr:to>
      <xdr:col>86</xdr:col>
      <xdr:colOff>200025</xdr:colOff>
      <xdr:row>330</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331</xdr:row>
      <xdr:rowOff>117021</xdr:rowOff>
    </xdr:from>
    <xdr:to>
      <xdr:col>86</xdr:col>
      <xdr:colOff>161925</xdr:colOff>
      <xdr:row>347</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/Projections!B265</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92</v>
      </c>
    </row>
    <row r="18" spans="1:43" s="69" customFormat="1" x14ac:dyDescent="0.25">
      <c r="A18" s="69" t="s">
        <v>164</v>
      </c>
      <c r="B18" s="88">
        <f>B17*$E$34</f>
        <v>54.479418886198545</v>
      </c>
      <c r="C18" s="105"/>
      <c r="D18" s="105"/>
      <c r="E18" s="105">
        <f>E17*$E$34</f>
        <v>108.95883777239709</v>
      </c>
      <c r="F18" s="105"/>
      <c r="G18" s="33"/>
      <c r="H18" s="105">
        <f>H17*$E$34</f>
        <v>217.91767554479418</v>
      </c>
      <c r="I18" s="105"/>
      <c r="J18" s="105"/>
      <c r="K18" s="105">
        <f>K17*$E$34</f>
        <v>435.83535108958836</v>
      </c>
      <c r="L18" s="105"/>
      <c r="M18" s="105"/>
      <c r="N18" s="105">
        <f>N17*$E$34</f>
        <v>871.67070217917671</v>
      </c>
      <c r="O18" s="105"/>
      <c r="P18" s="105"/>
      <c r="Q18" s="105">
        <f>Q17*$E$34</f>
        <v>1743.3414043583534</v>
      </c>
      <c r="R18" s="105"/>
      <c r="S18" s="105"/>
      <c r="T18" s="105">
        <f>T17*$E$34</f>
        <v>3486.6828087167069</v>
      </c>
      <c r="U18" s="105"/>
      <c r="V18" s="105"/>
      <c r="W18" s="105">
        <f>W17*$E$34</f>
        <v>6973.3656174334137</v>
      </c>
      <c r="X18" s="105"/>
      <c r="Y18" s="105"/>
      <c r="Z18" s="105">
        <f>Z17*$E$34</f>
        <v>13946.731234866827</v>
      </c>
      <c r="AA18" s="105"/>
      <c r="AB18" s="105"/>
      <c r="AC18" s="105">
        <f>AC17*$E$34</f>
        <v>27893.462469733655</v>
      </c>
      <c r="AD18" s="105"/>
      <c r="AE18" s="105"/>
      <c r="AF18" s="105">
        <f>AF17*$E$34</f>
        <v>55786.92493946731</v>
      </c>
      <c r="AG18" s="105"/>
      <c r="AH18" s="105"/>
      <c r="AI18" s="105">
        <f>AI17*$E$34</f>
        <v>111573.84987893462</v>
      </c>
      <c r="AJ18" s="105"/>
      <c r="AK18" s="105"/>
      <c r="AL18" s="105">
        <f>AL17*$E$34</f>
        <v>223147.69975786924</v>
      </c>
      <c r="AM18" s="105"/>
      <c r="AN18" s="105"/>
      <c r="AO18" s="105">
        <f>AO17*$E$34</f>
        <v>446295.39951573848</v>
      </c>
      <c r="AP18" s="33"/>
      <c r="AQ18" s="69" t="s">
        <v>164</v>
      </c>
    </row>
    <row r="19" spans="1:43" s="69" customFormat="1" x14ac:dyDescent="0.25">
      <c r="A19" s="47" t="s">
        <v>166</v>
      </c>
      <c r="B19" s="86">
        <f>B18</f>
        <v>54.479418886198545</v>
      </c>
      <c r="C19" s="87"/>
      <c r="D19" s="87"/>
      <c r="E19" s="87">
        <f>E18</f>
        <v>108.95883777239709</v>
      </c>
      <c r="F19" s="87"/>
      <c r="G19" s="34"/>
      <c r="H19" s="87">
        <f>H18</f>
        <v>217.91767554479418</v>
      </c>
      <c r="I19" s="87"/>
      <c r="J19" s="87"/>
      <c r="K19" s="87">
        <f>K18</f>
        <v>435.83535108958836</v>
      </c>
      <c r="L19" s="87"/>
      <c r="M19" s="87"/>
      <c r="N19" s="87">
        <f>N18</f>
        <v>871.67070217917671</v>
      </c>
      <c r="O19" s="87"/>
      <c r="P19" s="87"/>
      <c r="Q19" s="87">
        <f>Q18</f>
        <v>1743.3414043583534</v>
      </c>
      <c r="R19" s="87"/>
      <c r="S19" s="87"/>
      <c r="T19" s="87">
        <f>T18</f>
        <v>3486.6828087167069</v>
      </c>
      <c r="U19" s="87"/>
      <c r="V19" s="87"/>
      <c r="W19" s="121">
        <f>W18-B18</f>
        <v>6918.8861985472149</v>
      </c>
      <c r="X19" s="121"/>
      <c r="Y19" s="121"/>
      <c r="Z19" s="121">
        <f>Z18-E18</f>
        <v>13837.77239709443</v>
      </c>
      <c r="AA19" s="121"/>
      <c r="AB19" s="121"/>
      <c r="AC19" s="121">
        <f>AC18-H18</f>
        <v>27675.54479418886</v>
      </c>
      <c r="AD19" s="121"/>
      <c r="AE19" s="121"/>
      <c r="AF19" s="121">
        <f>AF18-K18</f>
        <v>55351.089588377719</v>
      </c>
      <c r="AG19" s="121"/>
      <c r="AH19" s="121"/>
      <c r="AI19" s="121">
        <f>AI18-N18</f>
        <v>110702.17917675544</v>
      </c>
      <c r="AJ19" s="121"/>
      <c r="AK19" s="121"/>
      <c r="AL19" s="121">
        <f>AL18-Q18</f>
        <v>221404.35835351088</v>
      </c>
      <c r="AM19" s="121"/>
      <c r="AN19" s="121"/>
      <c r="AO19" s="121">
        <f>AO18-T18</f>
        <v>442808.71670702175</v>
      </c>
      <c r="AP19" s="122"/>
      <c r="AQ19" s="47" t="s">
        <v>166</v>
      </c>
    </row>
    <row r="20" spans="1:43" s="69" customFormat="1" x14ac:dyDescent="0.25">
      <c r="A20" t="s">
        <v>93</v>
      </c>
      <c r="B20" s="88"/>
      <c r="C20" s="105"/>
      <c r="D20" s="105"/>
      <c r="E20" s="105"/>
      <c r="F20" s="105"/>
      <c r="G20" s="33"/>
      <c r="H20" s="106"/>
      <c r="I20" s="107"/>
      <c r="J20" s="108"/>
      <c r="K20" s="131">
        <f>B17*(1-$E$34)</f>
        <v>16.949152542372886</v>
      </c>
      <c r="L20" s="128"/>
      <c r="M20" s="129"/>
      <c r="N20" s="130">
        <f>E17*(1-$E$34)</f>
        <v>33.898305084745772</v>
      </c>
      <c r="O20" s="128"/>
      <c r="P20" s="129"/>
      <c r="Q20" s="130">
        <f>H17*(1-$E$34)</f>
        <v>67.796610169491544</v>
      </c>
      <c r="R20" s="128"/>
      <c r="S20" s="129"/>
      <c r="T20" s="130">
        <f>K17*(1-$E$34)</f>
        <v>135.59322033898309</v>
      </c>
      <c r="U20" s="128"/>
      <c r="V20" s="129"/>
      <c r="W20" s="130">
        <f>N17*(1-$E$34)</f>
        <v>271.18644067796617</v>
      </c>
      <c r="X20" s="128"/>
      <c r="Y20" s="129"/>
      <c r="Z20" s="130">
        <f>Q17*(1-$E$34)</f>
        <v>542.37288135593235</v>
      </c>
      <c r="AA20" s="128"/>
      <c r="AB20" s="129"/>
      <c r="AC20" s="130">
        <f>T17*(1-$E$34)</f>
        <v>1084.7457627118647</v>
      </c>
      <c r="AD20" s="128"/>
      <c r="AE20" s="129"/>
      <c r="AF20" s="130">
        <f>W17*(1-$E$34)</f>
        <v>2169.4915254237294</v>
      </c>
      <c r="AG20" s="128"/>
      <c r="AH20" s="129"/>
      <c r="AI20" s="130">
        <f>Z17*(1-$E$34)</f>
        <v>4338.9830508474588</v>
      </c>
      <c r="AJ20" s="128"/>
      <c r="AK20" s="129"/>
      <c r="AL20" s="130">
        <f>AC17*(1-$E$34)</f>
        <v>8677.9661016949176</v>
      </c>
      <c r="AM20" s="128"/>
      <c r="AN20" s="129"/>
      <c r="AO20" s="130">
        <f>AF17*(1-$E$34)</f>
        <v>17355.932203389835</v>
      </c>
      <c r="AP20" s="79"/>
      <c r="AQ20" t="s">
        <v>93</v>
      </c>
    </row>
    <row r="21" spans="1:43" s="69" customFormat="1" x14ac:dyDescent="0.25">
      <c r="A21" s="69" t="s">
        <v>74</v>
      </c>
      <c r="B21" s="80"/>
      <c r="C21" s="81"/>
      <c r="D21" s="81"/>
      <c r="E21" s="81"/>
      <c r="F21" s="81"/>
      <c r="G21" s="82"/>
      <c r="H21" s="123">
        <f>B17-B18</f>
        <v>16.949152542372886</v>
      </c>
      <c r="I21" s="123"/>
      <c r="J21" s="123"/>
      <c r="K21" s="123">
        <f>E17-E18</f>
        <v>33.898305084745772</v>
      </c>
      <c r="L21" s="123"/>
      <c r="M21" s="123"/>
      <c r="N21" s="123">
        <f>(H17-H18)*$E$35</f>
        <v>54.915254237288153</v>
      </c>
      <c r="O21" s="123"/>
      <c r="P21" s="123"/>
      <c r="Q21" s="123">
        <f>(K17-K18)*$E$35</f>
        <v>109.83050847457631</v>
      </c>
      <c r="R21" s="123"/>
      <c r="S21" s="123"/>
      <c r="T21" s="123">
        <f>(N17-N18)*$E$35</f>
        <v>219.66101694915261</v>
      </c>
      <c r="U21" s="123"/>
      <c r="V21" s="123"/>
      <c r="W21" s="123">
        <f>((Q17-Q18)*$E$35)-(H21*$E$35)</f>
        <v>425.5932203389832</v>
      </c>
      <c r="X21" s="123"/>
      <c r="Y21" s="123"/>
      <c r="Z21" s="123">
        <f>((T17-T18)*$E$35)-(K21*$E$35)</f>
        <v>851.1864406779664</v>
      </c>
      <c r="AA21" s="123"/>
      <c r="AB21" s="123"/>
      <c r="AC21" s="123">
        <f>((W17-W18)*$E$35)-N21</f>
        <v>1702.3728813559328</v>
      </c>
      <c r="AD21" s="123"/>
      <c r="AE21" s="123"/>
      <c r="AF21" s="123">
        <f>((Z17-Z18)*$E$35)-Q21</f>
        <v>3404.7457627118656</v>
      </c>
      <c r="AG21" s="123"/>
      <c r="AH21" s="123"/>
      <c r="AI21" s="123">
        <f>((AC17-AC18)*$E$35)-T21</f>
        <v>6809.4915254237312</v>
      </c>
      <c r="AJ21" s="123"/>
      <c r="AK21" s="123"/>
      <c r="AL21" s="123">
        <f>((AF17-AF18)*$E$35)-W21</f>
        <v>13632.711864406783</v>
      </c>
      <c r="AM21" s="123"/>
      <c r="AN21" s="123"/>
      <c r="AO21" s="123">
        <f>((AI17-AI18)*$E$35)-Z21</f>
        <v>27265.423728813566</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12.881355932203393</v>
      </c>
      <c r="O22" s="125"/>
      <c r="P22" s="125"/>
      <c r="Q22" s="125">
        <f>(K17-K18)*($E$36+$E$37)</f>
        <v>25.762711864406786</v>
      </c>
      <c r="R22" s="125"/>
      <c r="S22" s="125"/>
      <c r="T22" s="125">
        <f>(N17-N18)*$E$36</f>
        <v>37.966101694915267</v>
      </c>
      <c r="U22" s="125"/>
      <c r="V22" s="125"/>
      <c r="W22" s="125">
        <f>(Q17-Q18)*$E$36</f>
        <v>75.932203389830534</v>
      </c>
      <c r="X22" s="125"/>
      <c r="Y22" s="125"/>
      <c r="Z22" s="125">
        <f>(T17-T18)*$E$36</f>
        <v>151.86440677966107</v>
      </c>
      <c r="AA22" s="125"/>
      <c r="AB22" s="125"/>
      <c r="AC22" s="125">
        <f>(W17-W18)*$E$36</f>
        <v>303.72881355932213</v>
      </c>
      <c r="AD22" s="125"/>
      <c r="AE22" s="125"/>
      <c r="AF22" s="125">
        <f>(Z17-Z18)*$E$36</f>
        <v>607.45762711864427</v>
      </c>
      <c r="AG22" s="125"/>
      <c r="AH22" s="125"/>
      <c r="AI22" s="125">
        <f>(AC17-AC18)*$E$36</f>
        <v>1214.9152542372885</v>
      </c>
      <c r="AJ22" s="125"/>
      <c r="AK22" s="125"/>
      <c r="AL22" s="125">
        <f>(AF17-AF18)*$E$36</f>
        <v>2429.8305084745771</v>
      </c>
      <c r="AM22" s="125"/>
      <c r="AN22" s="125"/>
      <c r="AO22" s="125">
        <f>(AI17-AI18)*$E$36</f>
        <v>4859.6610169491541</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13.728813559322038</v>
      </c>
      <c r="W24" s="109"/>
      <c r="X24" s="109"/>
      <c r="Y24" s="109">
        <f>K21*$E$35</f>
        <v>27.457627118644076</v>
      </c>
      <c r="Z24" s="109"/>
      <c r="AA24" s="109"/>
      <c r="AB24" s="109">
        <f>N21</f>
        <v>54.915254237288153</v>
      </c>
      <c r="AC24" s="109"/>
      <c r="AD24" s="109"/>
      <c r="AE24" s="109">
        <f>Q21</f>
        <v>109.83050847457631</v>
      </c>
      <c r="AF24" s="109"/>
      <c r="AG24" s="109"/>
      <c r="AH24" s="109">
        <f>T21</f>
        <v>219.66101694915261</v>
      </c>
      <c r="AI24" s="109"/>
      <c r="AJ24" s="109"/>
      <c r="AK24" s="109">
        <f>W21</f>
        <v>425.5932203389832</v>
      </c>
      <c r="AL24" s="109"/>
      <c r="AM24" s="109"/>
      <c r="AN24" s="109">
        <f>Z21</f>
        <v>851.1864406779664</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43941.796145486114</v>
      </c>
      <c r="C26" s="90">
        <f t="shared" ca="1" si="0"/>
        <v>43942.796145486114</v>
      </c>
      <c r="D26" s="90">
        <f t="shared" ca="1" si="0"/>
        <v>43943.796145486114</v>
      </c>
      <c r="E26" s="90">
        <f t="shared" ca="1" si="0"/>
        <v>43944.796145486114</v>
      </c>
      <c r="F26" s="90">
        <f t="shared" ca="1" si="0"/>
        <v>43945.796145486114</v>
      </c>
      <c r="G26" s="91">
        <f t="shared" ca="1" si="0"/>
        <v>43946.796145486114</v>
      </c>
      <c r="H26" s="90">
        <f t="shared" ref="H26:U26" ca="1" si="1">I26-1</f>
        <v>43947.796145486114</v>
      </c>
      <c r="I26" s="90">
        <f t="shared" ca="1" si="1"/>
        <v>43948.796145486114</v>
      </c>
      <c r="J26" s="90">
        <f t="shared" ca="1" si="1"/>
        <v>43949.796145486114</v>
      </c>
      <c r="K26" s="90">
        <f t="shared" ca="1" si="1"/>
        <v>43950.796145486114</v>
      </c>
      <c r="L26" s="90">
        <f t="shared" ca="1" si="1"/>
        <v>43951.796145486114</v>
      </c>
      <c r="M26" s="90">
        <f t="shared" ca="1" si="1"/>
        <v>43952.796145486114</v>
      </c>
      <c r="N26" s="91">
        <f t="shared" ca="1" si="1"/>
        <v>43953.796145486114</v>
      </c>
      <c r="O26" s="89">
        <f t="shared" ca="1" si="1"/>
        <v>43954.796145486114</v>
      </c>
      <c r="P26" s="90">
        <f t="shared" ca="1" si="1"/>
        <v>43955.796145486114</v>
      </c>
      <c r="Q26" s="90">
        <f t="shared" ca="1" si="1"/>
        <v>43956.796145486114</v>
      </c>
      <c r="R26" s="90">
        <f t="shared" ca="1" si="1"/>
        <v>43957.796145486114</v>
      </c>
      <c r="S26" s="90">
        <f t="shared" ca="1" si="1"/>
        <v>43958.796145486114</v>
      </c>
      <c r="T26" s="90">
        <f t="shared" ca="1" si="1"/>
        <v>43959.796145486114</v>
      </c>
      <c r="U26" s="91">
        <f t="shared" ca="1" si="1"/>
        <v>43960.796145486114</v>
      </c>
      <c r="V26" s="89">
        <f t="shared" ref="V26:AN26" ca="1" si="2">W26-1</f>
        <v>43961.796145486114</v>
      </c>
      <c r="W26" s="90">
        <f t="shared" ca="1" si="2"/>
        <v>43962.796145486114</v>
      </c>
      <c r="X26" s="90">
        <f t="shared" ca="1" si="2"/>
        <v>43963.796145486114</v>
      </c>
      <c r="Y26" s="90">
        <f t="shared" ca="1" si="2"/>
        <v>43964.796145486114</v>
      </c>
      <c r="Z26" s="90">
        <f t="shared" ca="1" si="2"/>
        <v>43965.796145486114</v>
      </c>
      <c r="AA26" s="90">
        <f t="shared" ca="1" si="2"/>
        <v>43966.796145486114</v>
      </c>
      <c r="AB26" s="91">
        <f t="shared" ca="1" si="2"/>
        <v>43967.796145486114</v>
      </c>
      <c r="AC26" s="89">
        <f t="shared" ca="1" si="2"/>
        <v>43968.796145486114</v>
      </c>
      <c r="AD26" s="90">
        <f t="shared" ca="1" si="2"/>
        <v>43969.796145486114</v>
      </c>
      <c r="AE26" s="90">
        <f t="shared" ca="1" si="2"/>
        <v>43970.796145486114</v>
      </c>
      <c r="AF26" s="90">
        <f t="shared" ca="1" si="2"/>
        <v>43971.796145486114</v>
      </c>
      <c r="AG26" s="90">
        <f t="shared" ca="1" si="2"/>
        <v>43972.796145486114</v>
      </c>
      <c r="AH26" s="90">
        <f t="shared" ca="1" si="2"/>
        <v>43973.796145486114</v>
      </c>
      <c r="AI26" s="91">
        <f t="shared" ca="1" si="2"/>
        <v>43974.796145486114</v>
      </c>
      <c r="AJ26" s="89">
        <f t="shared" ca="1" si="2"/>
        <v>43975.796145486114</v>
      </c>
      <c r="AK26" s="90">
        <f t="shared" ca="1" si="2"/>
        <v>43976.796145486114</v>
      </c>
      <c r="AL26" s="90">
        <f t="shared" ca="1" si="2"/>
        <v>43977.796145486114</v>
      </c>
      <c r="AM26" s="90">
        <f t="shared" ca="1" si="2"/>
        <v>43978.796145486114</v>
      </c>
      <c r="AN26" s="90">
        <f t="shared" ca="1" si="2"/>
        <v>43979.796145486114</v>
      </c>
      <c r="AO26" s="90">
        <f ca="1">AP26-1</f>
        <v>43980.796145486114</v>
      </c>
      <c r="AP26" s="111">
        <f ca="1">NOW()</f>
        <v>43981.796145486114</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98" t="s">
        <v>68</v>
      </c>
      <c r="C28" s="299"/>
      <c r="D28" s="299"/>
      <c r="E28" s="299"/>
      <c r="F28" s="299"/>
      <c r="G28" s="300"/>
      <c r="H28" s="304" t="s">
        <v>57</v>
      </c>
      <c r="I28" s="304"/>
      <c r="J28" s="304"/>
      <c r="K28" s="304"/>
      <c r="L28" s="304"/>
      <c r="M28" s="304"/>
      <c r="N28" s="305"/>
      <c r="O28" s="303" t="s">
        <v>58</v>
      </c>
      <c r="P28" s="304"/>
      <c r="Q28" s="304"/>
      <c r="R28" s="304"/>
      <c r="S28" s="304"/>
      <c r="T28" s="304"/>
      <c r="U28" s="305"/>
      <c r="V28" s="303" t="s">
        <v>59</v>
      </c>
      <c r="W28" s="304"/>
      <c r="X28" s="304"/>
      <c r="Y28" s="304"/>
      <c r="Z28" s="304"/>
      <c r="AA28" s="304"/>
      <c r="AB28" s="305"/>
      <c r="AC28" s="303" t="s">
        <v>60</v>
      </c>
      <c r="AD28" s="304"/>
      <c r="AE28" s="304"/>
      <c r="AF28" s="304"/>
      <c r="AG28" s="304"/>
      <c r="AH28" s="304"/>
      <c r="AI28" s="305"/>
      <c r="AJ28" s="303" t="s">
        <v>61</v>
      </c>
      <c r="AK28" s="304"/>
      <c r="AL28" s="304"/>
      <c r="AM28" s="304"/>
      <c r="AN28" s="304"/>
      <c r="AO28" s="304"/>
      <c r="AP28" s="305"/>
    </row>
    <row r="29" spans="1:43" x14ac:dyDescent="0.25">
      <c r="B29" s="51" t="s">
        <v>80</v>
      </c>
      <c r="C29" s="96"/>
      <c r="D29" s="96"/>
      <c r="E29" s="96"/>
      <c r="F29" s="96"/>
      <c r="G29" s="97"/>
      <c r="H29" s="301" t="s">
        <v>67</v>
      </c>
      <c r="I29" s="301"/>
      <c r="J29" s="301"/>
      <c r="K29" s="301"/>
      <c r="L29" s="301"/>
      <c r="M29" s="301"/>
      <c r="N29" s="301"/>
      <c r="O29" s="301"/>
      <c r="P29" s="301"/>
      <c r="Q29" s="301"/>
      <c r="R29" s="301"/>
      <c r="S29" s="301"/>
      <c r="T29" s="301"/>
      <c r="U29" s="301"/>
      <c r="V29" s="301"/>
      <c r="W29" s="301"/>
      <c r="X29" s="301"/>
      <c r="Y29" s="301"/>
      <c r="Z29" s="301"/>
      <c r="AA29" s="301"/>
      <c r="AB29" s="301"/>
      <c r="AC29" s="301"/>
      <c r="AD29" s="301"/>
      <c r="AE29" s="301"/>
      <c r="AF29" s="301"/>
      <c r="AG29" s="301"/>
      <c r="AH29" s="301"/>
      <c r="AI29" s="301"/>
      <c r="AJ29" s="301"/>
      <c r="AK29" s="301"/>
      <c r="AL29" s="301"/>
      <c r="AM29" s="301"/>
      <c r="AN29" s="301"/>
      <c r="AO29" s="301"/>
      <c r="AP29" s="302"/>
    </row>
    <row r="31" spans="1:43" x14ac:dyDescent="0.25">
      <c r="B31" s="57" t="s">
        <v>69</v>
      </c>
      <c r="C31" s="138" t="s">
        <v>190</v>
      </c>
      <c r="D31" s="9"/>
      <c r="E31" s="85">
        <f>VLOOKUP(C31,B43:C54,2,FALSE)</f>
        <v>5.8999999999999997E-2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185</v>
      </c>
      <c r="C34" s="16"/>
      <c r="D34" s="16"/>
      <c r="E34" s="140">
        <f>1-Projections!B265</f>
        <v>0.76271186440677963</v>
      </c>
      <c r="F34" s="16" t="s">
        <v>187</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190</v>
      </c>
      <c r="C45" s="27">
        <f>Projections!B273</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346"/>
  <sheetViews>
    <sheetView tabSelected="1" topLeftCell="R236" zoomScale="85" zoomScaleNormal="85" workbookViewId="0">
      <selection activeCell="AN265" sqref="AN265"/>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358</v>
      </c>
      <c r="D1" t="s">
        <v>122</v>
      </c>
      <c r="E1" t="s">
        <v>359</v>
      </c>
    </row>
    <row r="2" spans="3:34" x14ac:dyDescent="0.25">
      <c r="C2" t="s">
        <v>355</v>
      </c>
      <c r="D2" t="s">
        <v>355</v>
      </c>
      <c r="E2" s="276">
        <v>2017</v>
      </c>
      <c r="F2" t="s">
        <v>276</v>
      </c>
    </row>
    <row r="3" spans="3:34" x14ac:dyDescent="0.25">
      <c r="C3" t="s">
        <v>355</v>
      </c>
      <c r="D3" t="s">
        <v>355</v>
      </c>
      <c r="E3" s="276">
        <v>2018</v>
      </c>
      <c r="F3" t="s">
        <v>275</v>
      </c>
    </row>
    <row r="4" spans="3:34" x14ac:dyDescent="0.25">
      <c r="C4" t="s">
        <v>355</v>
      </c>
      <c r="D4" t="s">
        <v>355</v>
      </c>
      <c r="E4" s="295">
        <v>43647</v>
      </c>
      <c r="F4" t="s">
        <v>387</v>
      </c>
    </row>
    <row r="5" spans="3:34" x14ac:dyDescent="0.25">
      <c r="C5" t="s">
        <v>355</v>
      </c>
      <c r="D5" t="s">
        <v>355</v>
      </c>
      <c r="E5" s="217">
        <v>44177</v>
      </c>
      <c r="F5" t="s">
        <v>516</v>
      </c>
    </row>
    <row r="6" spans="3:34" x14ac:dyDescent="0.25">
      <c r="C6" t="s">
        <v>355</v>
      </c>
      <c r="D6" t="s">
        <v>355</v>
      </c>
      <c r="E6" s="217">
        <v>43829</v>
      </c>
      <c r="F6" t="s">
        <v>261</v>
      </c>
    </row>
    <row r="7" spans="3:34" x14ac:dyDescent="0.25">
      <c r="C7" t="s">
        <v>355</v>
      </c>
      <c r="D7" t="s">
        <v>355</v>
      </c>
      <c r="E7" s="217">
        <v>43830</v>
      </c>
      <c r="F7" t="s">
        <v>264</v>
      </c>
    </row>
    <row r="8" spans="3:34" x14ac:dyDescent="0.25">
      <c r="D8" t="s">
        <v>355</v>
      </c>
      <c r="E8" t="s">
        <v>355</v>
      </c>
      <c r="F8" s="217">
        <v>43833</v>
      </c>
      <c r="G8" t="s">
        <v>260</v>
      </c>
    </row>
    <row r="9" spans="3:34" x14ac:dyDescent="0.25">
      <c r="D9" t="s">
        <v>355</v>
      </c>
      <c r="E9" t="s">
        <v>355</v>
      </c>
      <c r="F9" s="271">
        <v>43835</v>
      </c>
      <c r="G9" s="69" t="s">
        <v>256</v>
      </c>
      <c r="H9" s="69"/>
      <c r="I9" s="69"/>
      <c r="J9" s="69"/>
      <c r="K9" s="69"/>
      <c r="L9" s="69"/>
      <c r="M9" s="69"/>
      <c r="N9" s="165"/>
      <c r="P9" s="217"/>
    </row>
    <row r="10" spans="3:34" x14ac:dyDescent="0.25">
      <c r="D10" t="s">
        <v>355</v>
      </c>
      <c r="E10" t="s">
        <v>355</v>
      </c>
      <c r="F10" s="158">
        <v>43836</v>
      </c>
      <c r="G10" s="159" t="s">
        <v>192</v>
      </c>
      <c r="H10" s="159"/>
      <c r="I10" s="159"/>
      <c r="J10" s="159"/>
      <c r="K10" s="159"/>
      <c r="L10" s="159"/>
      <c r="M10" s="159"/>
      <c r="N10" s="158">
        <v>43850</v>
      </c>
      <c r="P10" s="217"/>
    </row>
    <row r="11" spans="3:34" x14ac:dyDescent="0.25">
      <c r="D11" t="s">
        <v>355</v>
      </c>
      <c r="E11" t="s">
        <v>355</v>
      </c>
      <c r="F11" s="271">
        <v>43837</v>
      </c>
      <c r="G11" s="69" t="s">
        <v>226</v>
      </c>
      <c r="H11" s="69"/>
      <c r="I11" s="69"/>
      <c r="J11" s="69"/>
      <c r="K11" s="69"/>
      <c r="L11" s="69"/>
      <c r="M11" s="69"/>
      <c r="N11" s="165"/>
      <c r="P11" s="217"/>
    </row>
    <row r="12" spans="3:34" x14ac:dyDescent="0.25">
      <c r="D12" t="s">
        <v>355</v>
      </c>
      <c r="E12" t="s">
        <v>355</v>
      </c>
      <c r="F12" s="165">
        <v>43838</v>
      </c>
      <c r="G12" s="69" t="s">
        <v>265</v>
      </c>
      <c r="H12" s="69"/>
      <c r="I12" s="69"/>
      <c r="J12" s="69"/>
      <c r="K12" s="69"/>
      <c r="L12" s="69"/>
      <c r="M12" s="69"/>
      <c r="N12" s="165"/>
      <c r="O12" s="69"/>
      <c r="P12" s="165"/>
      <c r="Q12" s="69"/>
      <c r="R12" s="69"/>
      <c r="S12" s="69"/>
      <c r="T12" s="69"/>
      <c r="V12" s="69"/>
      <c r="W12" s="69"/>
      <c r="X12" s="69"/>
      <c r="Y12" s="69"/>
      <c r="Z12" s="69"/>
      <c r="AA12" s="69"/>
      <c r="AB12" s="69"/>
      <c r="AC12" s="69"/>
      <c r="AD12" s="69"/>
      <c r="AE12" s="69"/>
      <c r="AF12" s="69"/>
      <c r="AG12" s="69"/>
      <c r="AH12" s="69"/>
    </row>
    <row r="13" spans="3:34" x14ac:dyDescent="0.25">
      <c r="D13" t="s">
        <v>355</v>
      </c>
      <c r="E13" t="s">
        <v>355</v>
      </c>
      <c r="F13" s="271">
        <v>43839</v>
      </c>
      <c r="G13" s="69" t="s">
        <v>227</v>
      </c>
      <c r="H13" s="69"/>
      <c r="I13" s="69"/>
      <c r="J13" s="69"/>
      <c r="K13" s="69"/>
      <c r="L13" s="69"/>
      <c r="M13" s="69"/>
      <c r="N13" s="165"/>
      <c r="P13" s="217"/>
    </row>
    <row r="14" spans="3:34" x14ac:dyDescent="0.25">
      <c r="D14" t="s">
        <v>355</v>
      </c>
      <c r="E14" t="s">
        <v>355</v>
      </c>
      <c r="F14" s="271">
        <v>43840</v>
      </c>
      <c r="G14" s="69" t="s">
        <v>298</v>
      </c>
      <c r="H14" s="69"/>
      <c r="I14" s="69"/>
      <c r="J14" s="69"/>
      <c r="K14" s="69"/>
      <c r="L14" s="69"/>
      <c r="M14" s="69"/>
      <c r="N14" s="165"/>
      <c r="P14" s="217"/>
    </row>
    <row r="15" spans="3:34" x14ac:dyDescent="0.25">
      <c r="D15" t="s">
        <v>355</v>
      </c>
      <c r="E15" t="s">
        <v>355</v>
      </c>
      <c r="F15" s="165">
        <v>43841</v>
      </c>
      <c r="G15" s="69" t="s">
        <v>234</v>
      </c>
      <c r="H15" s="69"/>
      <c r="I15" s="69"/>
      <c r="J15" s="69"/>
      <c r="K15" s="69"/>
      <c r="L15" s="69"/>
      <c r="M15" s="69"/>
      <c r="N15" s="165"/>
      <c r="P15" s="217"/>
    </row>
    <row r="16" spans="3:34" x14ac:dyDescent="0.25">
      <c r="D16" t="s">
        <v>355</v>
      </c>
      <c r="E16" t="s">
        <v>355</v>
      </c>
      <c r="F16" s="165">
        <v>43842</v>
      </c>
      <c r="G16" s="69" t="s">
        <v>262</v>
      </c>
      <c r="H16" s="69"/>
      <c r="I16" s="69"/>
      <c r="J16" s="69"/>
      <c r="K16" s="69"/>
      <c r="L16" s="69"/>
      <c r="M16" s="69"/>
      <c r="N16" s="165"/>
      <c r="P16" s="217"/>
    </row>
    <row r="17" spans="4:40" x14ac:dyDescent="0.25">
      <c r="D17" t="s">
        <v>355</v>
      </c>
      <c r="E17" t="s">
        <v>355</v>
      </c>
      <c r="F17" s="271">
        <v>43844</v>
      </c>
      <c r="G17" s="69" t="s">
        <v>257</v>
      </c>
      <c r="H17" s="69"/>
      <c r="I17" s="69"/>
      <c r="J17" s="69"/>
      <c r="K17" s="69"/>
      <c r="L17" s="69"/>
      <c r="M17" s="69"/>
      <c r="N17" s="165"/>
      <c r="P17" s="217"/>
    </row>
    <row r="18" spans="4:40" x14ac:dyDescent="0.25">
      <c r="D18" t="s">
        <v>355</v>
      </c>
      <c r="E18" t="s">
        <v>355</v>
      </c>
      <c r="F18" s="165">
        <v>43845</v>
      </c>
      <c r="G18" s="69" t="s">
        <v>268</v>
      </c>
      <c r="H18" s="69"/>
      <c r="I18" s="69"/>
      <c r="J18" s="69"/>
      <c r="K18" s="69"/>
      <c r="L18" s="69"/>
      <c r="M18" s="69"/>
      <c r="N18" s="165"/>
      <c r="P18" s="217"/>
      <c r="AI18" s="69"/>
    </row>
    <row r="19" spans="4:40" x14ac:dyDescent="0.25">
      <c r="D19" t="s">
        <v>355</v>
      </c>
      <c r="E19" t="s">
        <v>355</v>
      </c>
      <c r="F19" s="165">
        <v>43846</v>
      </c>
      <c r="G19" s="69" t="s">
        <v>193</v>
      </c>
      <c r="H19" s="69"/>
      <c r="I19" s="69"/>
      <c r="J19" s="69"/>
      <c r="K19" s="69"/>
      <c r="L19" s="69"/>
      <c r="M19" s="69"/>
      <c r="N19" s="165"/>
      <c r="P19" s="217"/>
    </row>
    <row r="20" spans="4:40" x14ac:dyDescent="0.25">
      <c r="D20" t="s">
        <v>355</v>
      </c>
      <c r="E20" t="s">
        <v>355</v>
      </c>
      <c r="F20" s="158">
        <v>43847</v>
      </c>
      <c r="G20" s="159" t="s">
        <v>219</v>
      </c>
      <c r="H20" s="159"/>
      <c r="I20" s="159"/>
      <c r="J20" s="159"/>
      <c r="K20" s="159"/>
      <c r="L20" s="159"/>
      <c r="M20" s="159"/>
      <c r="N20" s="158">
        <v>43861</v>
      </c>
      <c r="P20" s="217"/>
    </row>
    <row r="21" spans="4:40" x14ac:dyDescent="0.25">
      <c r="D21" t="s">
        <v>355</v>
      </c>
      <c r="E21" t="s">
        <v>355</v>
      </c>
      <c r="F21" s="270">
        <v>43848</v>
      </c>
      <c r="G21" s="69" t="s">
        <v>203</v>
      </c>
      <c r="H21" s="69"/>
      <c r="I21" s="69"/>
      <c r="J21" s="69"/>
      <c r="K21" s="69"/>
      <c r="L21" s="69"/>
      <c r="M21" s="69"/>
      <c r="N21" s="165"/>
      <c r="O21" s="69"/>
      <c r="P21" s="165"/>
    </row>
    <row r="22" spans="4:40" x14ac:dyDescent="0.25">
      <c r="D22" s="289">
        <v>1</v>
      </c>
      <c r="E22" t="s">
        <v>355</v>
      </c>
      <c r="F22" s="217">
        <v>43851</v>
      </c>
      <c r="G22" t="s">
        <v>194</v>
      </c>
    </row>
    <row r="23" spans="4:40" x14ac:dyDescent="0.25">
      <c r="D23" s="291">
        <v>1</v>
      </c>
      <c r="E23" t="s">
        <v>355</v>
      </c>
      <c r="F23" s="270">
        <v>43852</v>
      </c>
      <c r="G23" t="s">
        <v>195</v>
      </c>
    </row>
    <row r="24" spans="4:40" x14ac:dyDescent="0.25">
      <c r="D24" s="291">
        <v>1</v>
      </c>
      <c r="E24" t="s">
        <v>355</v>
      </c>
      <c r="F24" s="271">
        <v>43853</v>
      </c>
      <c r="G24" s="69" t="s">
        <v>232</v>
      </c>
      <c r="H24" s="69"/>
      <c r="I24" s="69"/>
      <c r="J24" s="69"/>
      <c r="K24" s="69"/>
      <c r="L24" s="69"/>
      <c r="M24" s="69"/>
      <c r="N24" s="69"/>
      <c r="O24" s="69"/>
      <c r="P24" s="69"/>
      <c r="Q24" s="69"/>
      <c r="R24" s="69"/>
      <c r="S24" s="69"/>
      <c r="T24" s="69"/>
      <c r="V24" s="69"/>
      <c r="W24" s="69"/>
      <c r="X24" s="69"/>
      <c r="Y24" s="69"/>
      <c r="Z24" s="69"/>
      <c r="AA24" s="69"/>
      <c r="AB24" s="69"/>
      <c r="AC24" s="69"/>
      <c r="AD24" s="69"/>
      <c r="AE24" s="69"/>
      <c r="AF24" s="69"/>
      <c r="AG24" s="69"/>
      <c r="AH24" s="69"/>
    </row>
    <row r="25" spans="4:40" x14ac:dyDescent="0.25">
      <c r="D25" s="289">
        <v>2</v>
      </c>
      <c r="E25" s="69" t="s">
        <v>355</v>
      </c>
      <c r="F25" s="270">
        <v>43854</v>
      </c>
      <c r="G25" s="69" t="s">
        <v>228</v>
      </c>
      <c r="H25" s="69"/>
      <c r="I25" s="69"/>
      <c r="J25" s="69"/>
      <c r="K25" s="69"/>
      <c r="L25" s="69"/>
      <c r="M25" s="69"/>
      <c r="N25" s="69"/>
      <c r="O25" s="69"/>
      <c r="P25" s="69"/>
      <c r="Q25" s="69"/>
      <c r="R25" s="69"/>
      <c r="S25" s="69"/>
      <c r="T25" s="69"/>
      <c r="V25" s="69"/>
      <c r="W25" s="69"/>
      <c r="X25" s="69"/>
      <c r="Y25" s="69"/>
      <c r="Z25" s="69"/>
      <c r="AA25" s="69"/>
      <c r="AB25" s="69"/>
      <c r="AC25" s="69"/>
      <c r="AD25" s="69"/>
      <c r="AE25" s="69"/>
      <c r="AF25" s="69"/>
      <c r="AG25" s="69"/>
      <c r="AH25" s="69"/>
    </row>
    <row r="26" spans="4:40" x14ac:dyDescent="0.25">
      <c r="D26" s="289">
        <v>5</v>
      </c>
      <c r="E26" s="69" t="s">
        <v>355</v>
      </c>
      <c r="F26" s="165">
        <v>43857</v>
      </c>
      <c r="G26" s="69" t="s">
        <v>204</v>
      </c>
      <c r="H26" s="69"/>
      <c r="I26" s="69"/>
      <c r="J26" s="69"/>
      <c r="K26" s="69"/>
      <c r="L26" s="69"/>
      <c r="M26" s="69"/>
      <c r="N26" s="69"/>
      <c r="O26" s="69"/>
      <c r="P26" s="69"/>
      <c r="Q26" s="69"/>
      <c r="R26" s="69"/>
      <c r="S26" s="69"/>
      <c r="T26" s="69"/>
      <c r="V26" s="69"/>
      <c r="W26" s="69"/>
      <c r="X26" s="69"/>
      <c r="Y26" s="69"/>
      <c r="Z26" s="69"/>
      <c r="AA26" s="69"/>
      <c r="AB26" s="69"/>
      <c r="AC26" s="69"/>
      <c r="AD26" s="69"/>
      <c r="AE26" s="69"/>
      <c r="AF26" s="69"/>
      <c r="AG26" s="69"/>
      <c r="AH26" s="69"/>
    </row>
    <row r="27" spans="4:40" x14ac:dyDescent="0.25">
      <c r="D27" s="291">
        <v>5</v>
      </c>
      <c r="E27" s="69" t="s">
        <v>355</v>
      </c>
      <c r="F27" s="158">
        <v>43858</v>
      </c>
      <c r="G27" s="159" t="s">
        <v>267</v>
      </c>
      <c r="H27" s="159"/>
      <c r="I27" s="159"/>
      <c r="J27" s="159"/>
      <c r="K27" s="159"/>
      <c r="L27" s="159"/>
      <c r="M27" s="159"/>
      <c r="N27" s="159"/>
      <c r="O27" s="158">
        <v>43873</v>
      </c>
      <c r="P27" s="69"/>
      <c r="Q27" s="69"/>
      <c r="R27" s="69"/>
      <c r="S27" s="69"/>
      <c r="T27" s="69"/>
      <c r="V27" s="69"/>
      <c r="W27" s="69"/>
      <c r="X27" s="69"/>
      <c r="Y27" s="69"/>
      <c r="Z27" s="69"/>
      <c r="AA27" s="69"/>
      <c r="AB27" s="69"/>
      <c r="AC27" s="69"/>
      <c r="AD27" s="69"/>
      <c r="AE27" s="69"/>
      <c r="AF27" s="69"/>
      <c r="AG27" s="69"/>
      <c r="AH27" s="69"/>
    </row>
    <row r="28" spans="4:40" x14ac:dyDescent="0.25">
      <c r="D28" s="291">
        <v>5</v>
      </c>
      <c r="E28" s="69" t="s">
        <v>355</v>
      </c>
      <c r="F28" s="165">
        <v>43859</v>
      </c>
      <c r="G28" s="69" t="s">
        <v>205</v>
      </c>
      <c r="H28" s="69"/>
      <c r="I28" s="69"/>
      <c r="J28" s="69"/>
      <c r="K28" s="69"/>
      <c r="L28" s="69"/>
      <c r="M28" s="69"/>
      <c r="N28" s="69"/>
      <c r="O28" s="69"/>
      <c r="P28" s="69"/>
      <c r="Q28" s="69"/>
      <c r="R28" s="69"/>
      <c r="S28" s="69"/>
      <c r="T28" s="69"/>
      <c r="V28" s="69"/>
      <c r="W28" s="69"/>
      <c r="X28" s="69"/>
      <c r="Y28" s="69"/>
      <c r="Z28" s="69"/>
      <c r="AA28" s="69"/>
      <c r="AB28" s="69"/>
      <c r="AC28" s="69"/>
      <c r="AD28" s="69"/>
      <c r="AE28" s="69"/>
      <c r="AF28" s="69"/>
      <c r="AG28" s="69"/>
      <c r="AH28" s="69"/>
    </row>
    <row r="29" spans="4:40" x14ac:dyDescent="0.25">
      <c r="D29" s="291">
        <v>5</v>
      </c>
      <c r="E29" s="69" t="s">
        <v>355</v>
      </c>
      <c r="F29" s="217">
        <v>43859</v>
      </c>
      <c r="G29" t="s">
        <v>196</v>
      </c>
      <c r="Q29" s="217"/>
    </row>
    <row r="30" spans="4:40" x14ac:dyDescent="0.25">
      <c r="D30" s="291">
        <v>6</v>
      </c>
      <c r="E30" s="69" t="s">
        <v>355</v>
      </c>
      <c r="F30" s="271">
        <v>43860</v>
      </c>
      <c r="G30" t="s">
        <v>235</v>
      </c>
      <c r="AI30" s="69"/>
      <c r="AJ30" s="69"/>
      <c r="AK30" s="69"/>
      <c r="AL30" s="69"/>
      <c r="AM30" s="69"/>
      <c r="AN30" s="69"/>
    </row>
    <row r="31" spans="4:40" x14ac:dyDescent="0.25">
      <c r="D31" s="291">
        <v>6</v>
      </c>
      <c r="E31" s="69" t="s">
        <v>355</v>
      </c>
      <c r="F31" s="270">
        <v>43860</v>
      </c>
      <c r="G31" t="s">
        <v>206</v>
      </c>
      <c r="AI31" s="69"/>
    </row>
    <row r="32" spans="4:40" x14ac:dyDescent="0.25">
      <c r="D32" s="291">
        <v>6</v>
      </c>
      <c r="E32" s="69" t="s">
        <v>355</v>
      </c>
      <c r="F32" s="270">
        <v>43860</v>
      </c>
      <c r="G32" t="s">
        <v>279</v>
      </c>
      <c r="AI32" s="69"/>
    </row>
    <row r="33" spans="4:52" x14ac:dyDescent="0.25">
      <c r="D33" s="291">
        <v>6</v>
      </c>
      <c r="E33" s="69" t="s">
        <v>355</v>
      </c>
      <c r="F33" s="165">
        <v>43860</v>
      </c>
      <c r="G33" s="69" t="s">
        <v>263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c r="AI33" s="69"/>
    </row>
    <row r="34" spans="4:52" x14ac:dyDescent="0.25">
      <c r="D34" s="291">
        <v>6</v>
      </c>
      <c r="E34" s="69" t="s">
        <v>355</v>
      </c>
      <c r="F34" s="165">
        <v>43860</v>
      </c>
      <c r="G34" s="69" t="s">
        <v>356</v>
      </c>
      <c r="H34" s="69"/>
      <c r="I34" s="69"/>
      <c r="J34" s="69"/>
      <c r="K34" s="69"/>
      <c r="L34" s="69"/>
      <c r="M34" s="69"/>
      <c r="N34" s="69"/>
      <c r="O34" s="69"/>
      <c r="P34" s="69"/>
      <c r="Q34" s="69"/>
      <c r="R34" s="69"/>
      <c r="S34" s="69"/>
      <c r="T34" s="69"/>
      <c r="V34" s="69"/>
      <c r="W34" s="69"/>
      <c r="X34" s="69"/>
      <c r="Y34" s="69"/>
      <c r="Z34" s="69"/>
      <c r="AA34" s="69"/>
      <c r="AB34" s="69"/>
      <c r="AC34" s="69"/>
      <c r="AD34" s="69"/>
      <c r="AE34" s="69"/>
      <c r="AF34" s="69"/>
      <c r="AG34" s="69"/>
      <c r="AH34" s="69"/>
      <c r="AI34" s="69"/>
    </row>
    <row r="35" spans="4:52" x14ac:dyDescent="0.25">
      <c r="D35" s="291">
        <v>7</v>
      </c>
      <c r="E35" s="69" t="s">
        <v>355</v>
      </c>
      <c r="F35" s="165">
        <v>43861</v>
      </c>
      <c r="G35" s="69" t="s">
        <v>241</v>
      </c>
      <c r="H35" s="69"/>
      <c r="I35" s="69"/>
      <c r="J35" s="69"/>
      <c r="K35" s="69"/>
      <c r="L35" s="69"/>
      <c r="M35" s="69"/>
      <c r="N35" s="69"/>
      <c r="O35" s="165"/>
      <c r="AI35" s="69"/>
    </row>
    <row r="36" spans="4:52" x14ac:dyDescent="0.25">
      <c r="D36" s="291">
        <v>7</v>
      </c>
      <c r="E36" s="69" t="s">
        <v>355</v>
      </c>
      <c r="F36" s="270">
        <v>43861</v>
      </c>
      <c r="G36" s="69" t="s">
        <v>244</v>
      </c>
      <c r="H36" s="69"/>
      <c r="I36" s="69"/>
      <c r="J36" s="69"/>
      <c r="K36" s="69"/>
      <c r="L36" s="69"/>
      <c r="M36" s="69"/>
      <c r="N36" s="69"/>
      <c r="O36" s="165"/>
    </row>
    <row r="37" spans="4:52" x14ac:dyDescent="0.25">
      <c r="D37" s="291">
        <v>7</v>
      </c>
      <c r="E37" s="69" t="s">
        <v>355</v>
      </c>
      <c r="F37" s="165">
        <v>43861</v>
      </c>
      <c r="G37" s="69" t="s">
        <v>242</v>
      </c>
      <c r="H37" s="69"/>
      <c r="I37" s="69"/>
      <c r="J37" s="69"/>
      <c r="K37" s="69"/>
      <c r="L37" s="69"/>
      <c r="M37" s="69"/>
      <c r="N37" s="69"/>
      <c r="O37" s="165"/>
    </row>
    <row r="38" spans="4:52" x14ac:dyDescent="0.25">
      <c r="G38" s="165" t="s">
        <v>207</v>
      </c>
      <c r="H38" t="s">
        <v>208</v>
      </c>
    </row>
    <row r="39" spans="4:52" x14ac:dyDescent="0.25">
      <c r="E39" s="69"/>
      <c r="G39" s="272" t="s">
        <v>230</v>
      </c>
      <c r="H39" s="69" t="s">
        <v>231</v>
      </c>
      <c r="I39" s="69"/>
      <c r="L39" s="69"/>
      <c r="M39" s="69"/>
      <c r="N39" s="69"/>
      <c r="O39" s="69"/>
      <c r="P39" s="165"/>
      <c r="Q39" s="165"/>
      <c r="R39" s="69"/>
      <c r="S39" s="69"/>
      <c r="T39" s="69"/>
      <c r="U39" s="69"/>
      <c r="V39" s="69"/>
      <c r="W39" s="69"/>
      <c r="X39" s="69"/>
      <c r="Y39" s="69"/>
      <c r="Z39" s="69"/>
      <c r="AA39" s="69"/>
      <c r="AB39" s="69"/>
      <c r="AC39" s="69"/>
      <c r="AD39" s="69"/>
      <c r="AE39" s="69"/>
      <c r="AF39" s="69"/>
      <c r="AG39" s="69"/>
      <c r="AH39" s="69"/>
    </row>
    <row r="40" spans="4:52" x14ac:dyDescent="0.25">
      <c r="F40" s="289">
        <v>8</v>
      </c>
      <c r="G40" t="s">
        <v>355</v>
      </c>
      <c r="H40" s="217">
        <v>43862</v>
      </c>
      <c r="I40" t="s">
        <v>238</v>
      </c>
    </row>
    <row r="41" spans="4:52" x14ac:dyDescent="0.25">
      <c r="F41" s="291">
        <v>11</v>
      </c>
      <c r="G41" s="69" t="s">
        <v>355</v>
      </c>
      <c r="H41" s="158">
        <v>43863</v>
      </c>
      <c r="I41" s="159" t="s">
        <v>198</v>
      </c>
      <c r="J41" s="159"/>
      <c r="K41" s="159"/>
      <c r="L41" s="159"/>
      <c r="M41" s="159"/>
      <c r="N41" s="158"/>
      <c r="O41" s="158">
        <v>43877</v>
      </c>
      <c r="AI41" s="69"/>
    </row>
    <row r="42" spans="4:52" x14ac:dyDescent="0.25">
      <c r="E42" s="69"/>
      <c r="F42" s="291">
        <v>11</v>
      </c>
      <c r="G42" s="69" t="s">
        <v>355</v>
      </c>
      <c r="H42" s="270">
        <v>43863</v>
      </c>
      <c r="I42" s="69" t="s">
        <v>284</v>
      </c>
      <c r="J42" s="69"/>
      <c r="K42" s="69"/>
      <c r="L42" s="69"/>
      <c r="M42" s="69"/>
      <c r="N42" s="165"/>
      <c r="O42" s="165"/>
      <c r="P42" s="69"/>
      <c r="Q42" s="69"/>
      <c r="R42" s="69"/>
      <c r="S42" s="69"/>
      <c r="T42" s="69"/>
      <c r="V42" s="69"/>
      <c r="W42" s="69"/>
      <c r="X42" s="69"/>
      <c r="Y42" s="69"/>
      <c r="Z42" s="69"/>
      <c r="AA42" s="69"/>
      <c r="AB42" s="69"/>
      <c r="AC42" s="69"/>
      <c r="AD42" s="69"/>
      <c r="AE42" s="69"/>
      <c r="AF42" s="69"/>
      <c r="AG42" s="69"/>
      <c r="AH42" s="69"/>
    </row>
    <row r="43" spans="4:52" x14ac:dyDescent="0.25">
      <c r="F43" s="291">
        <v>12</v>
      </c>
      <c r="G43" s="69" t="s">
        <v>355</v>
      </c>
      <c r="H43" s="165">
        <v>43866</v>
      </c>
      <c r="I43" s="69" t="s">
        <v>243</v>
      </c>
      <c r="J43" s="69"/>
      <c r="K43" s="69"/>
      <c r="L43" s="69"/>
      <c r="M43" s="69"/>
      <c r="N43" s="165"/>
      <c r="O43" s="165"/>
      <c r="AJ43" s="69"/>
      <c r="AK43" s="69"/>
      <c r="AL43" s="69"/>
      <c r="AM43" s="69"/>
      <c r="AN43" s="69"/>
      <c r="AO43" s="69"/>
      <c r="AP43" s="69"/>
      <c r="AQ43" s="69"/>
      <c r="AR43" s="69"/>
      <c r="AS43" s="69"/>
      <c r="AT43" s="69"/>
      <c r="AU43" s="69"/>
      <c r="AV43" s="69"/>
      <c r="AW43" s="69"/>
      <c r="AX43" s="69"/>
      <c r="AY43" s="69"/>
      <c r="AZ43" s="69"/>
    </row>
    <row r="44" spans="4:52" x14ac:dyDescent="0.25">
      <c r="F44" s="291">
        <v>12</v>
      </c>
      <c r="G44" s="293" t="s">
        <v>357</v>
      </c>
      <c r="H44" s="165">
        <v>43867</v>
      </c>
      <c r="I44" s="16" t="s">
        <v>308</v>
      </c>
      <c r="J44" s="69"/>
      <c r="K44" s="69"/>
      <c r="L44" s="69"/>
      <c r="M44" s="69"/>
      <c r="N44" s="165"/>
      <c r="O44" s="165"/>
      <c r="AJ44" s="69"/>
      <c r="AK44" s="69"/>
      <c r="AL44" s="69"/>
      <c r="AM44" s="69"/>
      <c r="AN44" s="69"/>
    </row>
    <row r="45" spans="4:52" x14ac:dyDescent="0.25">
      <c r="F45" s="291">
        <v>12</v>
      </c>
      <c r="G45" s="293" t="s">
        <v>357</v>
      </c>
      <c r="H45" s="165">
        <v>43868</v>
      </c>
      <c r="I45" s="69" t="s">
        <v>259</v>
      </c>
      <c r="J45" s="69"/>
      <c r="K45" s="69"/>
      <c r="L45" s="69"/>
      <c r="M45" s="69"/>
      <c r="N45" s="165"/>
      <c r="O45" s="165"/>
      <c r="AJ45" s="69"/>
      <c r="AK45" s="69"/>
      <c r="AL45" s="69"/>
      <c r="AM45" s="69"/>
      <c r="AN45" s="69"/>
    </row>
    <row r="46" spans="4:52" x14ac:dyDescent="0.25">
      <c r="F46" s="291">
        <v>12</v>
      </c>
      <c r="G46" s="293" t="s">
        <v>357</v>
      </c>
      <c r="H46" s="270">
        <v>43868</v>
      </c>
      <c r="I46" s="69" t="s">
        <v>402</v>
      </c>
      <c r="J46" s="69"/>
      <c r="K46" s="69"/>
      <c r="L46" s="69"/>
      <c r="M46" s="69"/>
      <c r="N46" s="165"/>
      <c r="O46" s="165"/>
      <c r="AJ46" s="69"/>
      <c r="AK46" s="69"/>
      <c r="AL46" s="69"/>
      <c r="AM46" s="69"/>
      <c r="AN46" s="69"/>
    </row>
    <row r="47" spans="4:52" x14ac:dyDescent="0.25">
      <c r="F47" s="291">
        <v>12</v>
      </c>
      <c r="G47" s="293" t="s">
        <v>357</v>
      </c>
      <c r="H47" s="270">
        <v>43871</v>
      </c>
      <c r="I47" s="69" t="s">
        <v>280</v>
      </c>
      <c r="J47" s="69"/>
      <c r="K47" s="69"/>
      <c r="L47" s="69"/>
      <c r="M47" s="69"/>
      <c r="N47" s="165"/>
      <c r="O47" s="165"/>
      <c r="AJ47" s="69"/>
      <c r="AK47" s="69"/>
      <c r="AL47" s="69"/>
      <c r="AM47" s="69"/>
      <c r="AN47" s="69"/>
    </row>
    <row r="48" spans="4:52" x14ac:dyDescent="0.25">
      <c r="F48" s="291">
        <v>12</v>
      </c>
      <c r="G48" s="293" t="s">
        <v>357</v>
      </c>
      <c r="H48" s="270">
        <v>43871</v>
      </c>
      <c r="I48" s="69" t="s">
        <v>403</v>
      </c>
      <c r="J48" s="69"/>
      <c r="K48" s="69"/>
      <c r="L48" s="69"/>
      <c r="M48" s="69"/>
      <c r="N48" s="165"/>
      <c r="O48" s="165"/>
      <c r="AJ48" s="69"/>
      <c r="AK48" s="69"/>
      <c r="AL48" s="69"/>
      <c r="AM48" s="69"/>
      <c r="AN48" s="69"/>
    </row>
    <row r="49" spans="4:42" x14ac:dyDescent="0.25">
      <c r="F49" s="291">
        <v>12</v>
      </c>
      <c r="G49" s="293" t="s">
        <v>357</v>
      </c>
      <c r="H49" s="270">
        <v>43872</v>
      </c>
      <c r="I49" s="69" t="s">
        <v>274</v>
      </c>
      <c r="J49" s="69"/>
      <c r="K49" s="69"/>
      <c r="L49" s="69"/>
      <c r="M49" s="69"/>
      <c r="N49" s="165"/>
      <c r="O49" s="165"/>
      <c r="AJ49" s="69"/>
      <c r="AK49" s="69"/>
      <c r="AL49" s="69"/>
      <c r="AM49" s="69"/>
      <c r="AN49" s="69"/>
    </row>
    <row r="50" spans="4:42" x14ac:dyDescent="0.25">
      <c r="F50" s="291">
        <v>12</v>
      </c>
      <c r="G50" s="293" t="s">
        <v>357</v>
      </c>
      <c r="H50" s="271">
        <v>43873</v>
      </c>
      <c r="I50" s="69" t="s">
        <v>271</v>
      </c>
      <c r="J50" s="69"/>
      <c r="K50" s="69"/>
      <c r="L50" s="69"/>
      <c r="M50" s="69"/>
      <c r="N50" s="165"/>
      <c r="O50" s="165"/>
      <c r="AI50" s="69"/>
    </row>
    <row r="51" spans="4:42" x14ac:dyDescent="0.25">
      <c r="F51" s="291">
        <v>12</v>
      </c>
      <c r="G51" s="293" t="s">
        <v>357</v>
      </c>
      <c r="H51" s="165">
        <v>43873</v>
      </c>
      <c r="I51" s="69" t="s">
        <v>386</v>
      </c>
      <c r="J51" s="69"/>
      <c r="K51" s="69"/>
      <c r="L51" s="69"/>
      <c r="M51" s="69"/>
      <c r="N51" s="165"/>
      <c r="O51" s="165"/>
      <c r="AI51" s="69"/>
    </row>
    <row r="52" spans="4:42" x14ac:dyDescent="0.25">
      <c r="F52" s="291">
        <v>12</v>
      </c>
      <c r="G52" s="293" t="s">
        <v>357</v>
      </c>
      <c r="H52" s="270">
        <v>43874</v>
      </c>
      <c r="I52" s="69" t="s">
        <v>408</v>
      </c>
      <c r="J52" s="69"/>
      <c r="K52" s="69"/>
      <c r="L52" s="69"/>
      <c r="M52" s="69"/>
      <c r="N52" s="165"/>
      <c r="O52" s="165"/>
      <c r="AI52" s="69"/>
    </row>
    <row r="53" spans="4:42" x14ac:dyDescent="0.25">
      <c r="G53" s="308">
        <v>15</v>
      </c>
      <c r="H53" s="293" t="s">
        <v>357</v>
      </c>
      <c r="I53" s="270">
        <v>43879</v>
      </c>
      <c r="J53" s="69" t="s">
        <v>405</v>
      </c>
      <c r="K53" s="69"/>
      <c r="L53" s="69"/>
      <c r="M53" s="69"/>
      <c r="N53" s="165"/>
      <c r="O53" s="165"/>
      <c r="AI53" s="69"/>
    </row>
    <row r="54" spans="4:42" x14ac:dyDescent="0.25">
      <c r="G54" s="291">
        <v>15</v>
      </c>
      <c r="H54" s="293" t="s">
        <v>357</v>
      </c>
      <c r="I54" s="270">
        <v>43880</v>
      </c>
      <c r="J54" s="69" t="s">
        <v>404</v>
      </c>
      <c r="M54" s="69"/>
      <c r="N54" s="69"/>
      <c r="O54" s="69"/>
      <c r="P54" s="69"/>
      <c r="Q54" s="165"/>
      <c r="AI54" s="69"/>
    </row>
    <row r="55" spans="4:42" x14ac:dyDescent="0.25">
      <c r="E55" s="165"/>
      <c r="F55" s="165"/>
      <c r="G55" s="69"/>
      <c r="H55" s="69"/>
      <c r="I55" s="69"/>
      <c r="J55" s="69"/>
      <c r="K55" s="69"/>
      <c r="L55" s="69"/>
      <c r="M55" s="69"/>
      <c r="N55" s="289">
        <v>35</v>
      </c>
      <c r="O55" s="293" t="s">
        <v>357</v>
      </c>
      <c r="P55" s="217">
        <v>43882</v>
      </c>
      <c r="Q55" t="s">
        <v>209</v>
      </c>
    </row>
    <row r="56" spans="4:42" x14ac:dyDescent="0.25">
      <c r="E56" s="165"/>
      <c r="F56" s="165"/>
      <c r="G56" s="69"/>
      <c r="H56" s="69"/>
      <c r="I56" s="69"/>
      <c r="J56" s="69"/>
      <c r="K56" s="69"/>
      <c r="L56" s="69"/>
      <c r="M56" s="69"/>
      <c r="N56" s="291">
        <v>35</v>
      </c>
      <c r="O56" s="293" t="s">
        <v>357</v>
      </c>
      <c r="P56" s="271">
        <v>43883</v>
      </c>
      <c r="Q56" t="s">
        <v>229</v>
      </c>
    </row>
    <row r="57" spans="4:42" x14ac:dyDescent="0.25">
      <c r="E57" s="165"/>
      <c r="F57" s="165"/>
      <c r="G57" s="69"/>
      <c r="H57" s="69"/>
      <c r="I57" s="69"/>
      <c r="J57" s="69"/>
      <c r="K57" s="69"/>
      <c r="L57" s="69"/>
      <c r="M57" s="69"/>
      <c r="N57" s="291">
        <v>35</v>
      </c>
      <c r="O57" s="293" t="s">
        <v>357</v>
      </c>
      <c r="P57" s="217">
        <v>43884</v>
      </c>
      <c r="Q57" t="s">
        <v>210</v>
      </c>
      <c r="AJ57" s="69"/>
      <c r="AK57" s="69"/>
      <c r="AL57" s="69"/>
      <c r="AM57" s="69"/>
      <c r="AN57" s="69"/>
    </row>
    <row r="58" spans="4:42" x14ac:dyDescent="0.25">
      <c r="E58" s="165"/>
      <c r="F58" s="165"/>
      <c r="G58" s="69"/>
      <c r="H58" s="69"/>
      <c r="I58" s="69"/>
      <c r="J58" s="69"/>
      <c r="K58" s="69"/>
      <c r="L58" s="69"/>
      <c r="M58" s="69"/>
      <c r="N58" s="291">
        <v>35</v>
      </c>
      <c r="O58" s="293" t="s">
        <v>357</v>
      </c>
      <c r="P58" s="270">
        <v>43884</v>
      </c>
      <c r="Q58" t="s">
        <v>406</v>
      </c>
      <c r="AJ58" s="69"/>
      <c r="AK58" s="69"/>
      <c r="AL58" s="69"/>
      <c r="AM58" s="69"/>
      <c r="AN58" s="69"/>
    </row>
    <row r="59" spans="4:42" x14ac:dyDescent="0.25">
      <c r="E59" s="165"/>
      <c r="F59" s="165"/>
      <c r="G59" s="69"/>
      <c r="H59" s="69"/>
      <c r="I59" s="69"/>
      <c r="J59" s="69"/>
      <c r="K59" s="69"/>
      <c r="L59" s="69"/>
      <c r="M59" s="69"/>
      <c r="N59" s="291">
        <v>35</v>
      </c>
      <c r="O59" s="293" t="s">
        <v>357</v>
      </c>
      <c r="P59" s="270">
        <v>43884</v>
      </c>
      <c r="Q59" t="s">
        <v>407</v>
      </c>
      <c r="AJ59" s="69"/>
      <c r="AK59" s="69"/>
      <c r="AL59" s="69"/>
      <c r="AM59" s="69"/>
      <c r="AN59" s="69"/>
    </row>
    <row r="60" spans="4:42" x14ac:dyDescent="0.25">
      <c r="D60" s="217"/>
      <c r="N60" s="291">
        <v>53</v>
      </c>
      <c r="O60" s="293" t="s">
        <v>357</v>
      </c>
      <c r="P60" s="270">
        <v>43885</v>
      </c>
      <c r="Q60" t="s">
        <v>197</v>
      </c>
    </row>
    <row r="61" spans="4:42" x14ac:dyDescent="0.25">
      <c r="N61" s="291">
        <v>57</v>
      </c>
      <c r="O61" s="293" t="s">
        <v>357</v>
      </c>
      <c r="P61" s="165">
        <v>43886</v>
      </c>
      <c r="Q61" t="s">
        <v>211</v>
      </c>
    </row>
    <row r="62" spans="4:42" x14ac:dyDescent="0.25">
      <c r="N62" s="291">
        <v>57</v>
      </c>
      <c r="O62" s="293" t="s">
        <v>357</v>
      </c>
      <c r="P62" s="270">
        <v>43886</v>
      </c>
      <c r="Q62" t="s">
        <v>212</v>
      </c>
      <c r="S62" s="69"/>
      <c r="T62" s="69"/>
      <c r="AO62" s="69"/>
      <c r="AP62" s="69"/>
    </row>
    <row r="63" spans="4:42" x14ac:dyDescent="0.25">
      <c r="N63" s="291">
        <v>57</v>
      </c>
      <c r="O63" s="293" t="s">
        <v>357</v>
      </c>
      <c r="P63" s="270">
        <v>43886</v>
      </c>
      <c r="Q63" t="s">
        <v>273</v>
      </c>
      <c r="AO63" s="69"/>
      <c r="AP63" s="69"/>
    </row>
    <row r="64" spans="4:42" x14ac:dyDescent="0.25">
      <c r="N64" s="291">
        <v>57</v>
      </c>
      <c r="O64" s="293" t="s">
        <v>357</v>
      </c>
      <c r="P64" s="165">
        <v>43886</v>
      </c>
      <c r="Q64" t="s">
        <v>213</v>
      </c>
      <c r="AO64" s="69"/>
      <c r="AP64" s="69"/>
    </row>
    <row r="65" spans="3:59" x14ac:dyDescent="0.25">
      <c r="N65" s="289">
        <v>60</v>
      </c>
      <c r="O65" s="293" t="s">
        <v>357</v>
      </c>
      <c r="P65" s="270">
        <v>43887</v>
      </c>
      <c r="Q65" t="s">
        <v>410</v>
      </c>
      <c r="AO65" s="69"/>
      <c r="AP65" s="69"/>
    </row>
    <row r="66" spans="3:59" x14ac:dyDescent="0.25">
      <c r="N66" s="291">
        <v>60</v>
      </c>
      <c r="O66" s="293" t="s">
        <v>357</v>
      </c>
      <c r="P66" s="270">
        <v>43887</v>
      </c>
      <c r="Q66" t="s">
        <v>411</v>
      </c>
      <c r="AO66" s="69"/>
      <c r="AP66" s="69"/>
    </row>
    <row r="67" spans="3:59" x14ac:dyDescent="0.25">
      <c r="N67" s="291">
        <v>60</v>
      </c>
      <c r="O67" s="293" t="s">
        <v>357</v>
      </c>
      <c r="P67" s="270">
        <v>43887</v>
      </c>
      <c r="Q67" t="s">
        <v>409</v>
      </c>
      <c r="AO67" s="69"/>
      <c r="AP67" s="69"/>
    </row>
    <row r="68" spans="3:59" x14ac:dyDescent="0.25">
      <c r="N68" s="291">
        <v>60</v>
      </c>
      <c r="O68" s="293" t="s">
        <v>357</v>
      </c>
      <c r="P68" s="270">
        <v>43888</v>
      </c>
      <c r="Q68" t="s">
        <v>269</v>
      </c>
      <c r="AO68" s="69"/>
      <c r="AP68" s="69"/>
    </row>
    <row r="69" spans="3:59" x14ac:dyDescent="0.25">
      <c r="N69" s="291">
        <v>60</v>
      </c>
      <c r="O69" s="293" t="s">
        <v>357</v>
      </c>
      <c r="P69" s="270">
        <v>43888</v>
      </c>
      <c r="Q69" t="s">
        <v>270</v>
      </c>
      <c r="AJ69" s="69"/>
      <c r="AK69" s="69"/>
      <c r="AL69" s="69"/>
      <c r="AM69" s="69"/>
      <c r="AN69" s="69"/>
    </row>
    <row r="70" spans="3:59" x14ac:dyDescent="0.25">
      <c r="N70" s="291">
        <v>63</v>
      </c>
      <c r="O70" s="293" t="s">
        <v>357</v>
      </c>
      <c r="P70" s="270">
        <v>43889</v>
      </c>
      <c r="Q70" t="s">
        <v>281</v>
      </c>
      <c r="AJ70" s="69"/>
      <c r="AK70" s="69"/>
      <c r="AL70" s="69"/>
      <c r="AM70" s="69"/>
      <c r="AN70" s="69"/>
    </row>
    <row r="71" spans="3:59" x14ac:dyDescent="0.25">
      <c r="N71" s="291">
        <v>63</v>
      </c>
      <c r="O71" s="293" t="s">
        <v>357</v>
      </c>
      <c r="P71" s="165">
        <v>43889</v>
      </c>
      <c r="Q71" t="s">
        <v>391</v>
      </c>
      <c r="AJ71" s="69"/>
      <c r="AK71" s="69"/>
      <c r="AL71" s="69"/>
      <c r="AM71" s="69"/>
      <c r="AN71" s="69"/>
    </row>
    <row r="72" spans="3:59" x14ac:dyDescent="0.25">
      <c r="O72" s="291">
        <v>68</v>
      </c>
      <c r="P72" s="292">
        <v>1</v>
      </c>
      <c r="Q72" s="158">
        <v>43890</v>
      </c>
      <c r="R72" s="159" t="s">
        <v>199</v>
      </c>
      <c r="S72" s="159"/>
      <c r="T72" s="159"/>
      <c r="U72" s="159"/>
      <c r="V72" s="158">
        <f>Q72+14</f>
        <v>43904</v>
      </c>
      <c r="AQ72" s="69"/>
      <c r="AR72" s="69"/>
      <c r="AS72" s="69"/>
      <c r="AT72" s="69"/>
      <c r="AU72" s="69"/>
      <c r="AV72" s="69"/>
      <c r="AW72" s="69"/>
      <c r="AX72" s="69"/>
      <c r="AY72" s="69"/>
      <c r="AZ72" s="69"/>
    </row>
    <row r="73" spans="3:59" x14ac:dyDescent="0.25">
      <c r="O73" s="291">
        <v>68</v>
      </c>
      <c r="P73" s="293">
        <v>1</v>
      </c>
      <c r="Q73" s="270">
        <v>43890</v>
      </c>
      <c r="R73" s="69" t="s">
        <v>282</v>
      </c>
      <c r="S73" s="69"/>
      <c r="T73" s="165"/>
      <c r="AQ73" s="69"/>
      <c r="AR73" s="69"/>
      <c r="AS73" s="69"/>
      <c r="AT73" s="69"/>
      <c r="AU73" s="69"/>
      <c r="AV73" s="69"/>
      <c r="AW73" s="69"/>
      <c r="AX73" s="69"/>
      <c r="AY73" s="69"/>
      <c r="AZ73" s="69"/>
    </row>
    <row r="74" spans="3:59" x14ac:dyDescent="0.25">
      <c r="E74" s="165"/>
      <c r="O74" s="291">
        <v>100</v>
      </c>
      <c r="P74" s="292">
        <v>6</v>
      </c>
      <c r="Q74" s="158">
        <v>43892</v>
      </c>
      <c r="R74" s="158" t="s">
        <v>176</v>
      </c>
      <c r="S74" s="158"/>
      <c r="T74" s="159"/>
      <c r="U74" s="159"/>
      <c r="V74" s="159"/>
      <c r="W74" s="158">
        <v>43906</v>
      </c>
      <c r="AO74" s="69"/>
      <c r="AP74" s="69"/>
      <c r="AQ74" s="69"/>
      <c r="AR74" s="69"/>
      <c r="AS74" s="69"/>
      <c r="AT74" s="69"/>
      <c r="AU74" s="69"/>
      <c r="AV74" s="69"/>
      <c r="AW74" s="69"/>
      <c r="AX74" s="69"/>
      <c r="AY74" s="69"/>
      <c r="AZ74" s="69"/>
    </row>
    <row r="75" spans="3:59" x14ac:dyDescent="0.25">
      <c r="C75" s="69"/>
      <c r="D75" s="69"/>
      <c r="E75" s="165"/>
      <c r="F75" s="69"/>
      <c r="G75" s="69"/>
      <c r="H75" s="69"/>
      <c r="I75" s="69"/>
      <c r="J75" s="69"/>
      <c r="K75" s="69"/>
      <c r="L75" s="69"/>
      <c r="M75" s="69"/>
      <c r="N75" s="69"/>
      <c r="O75" s="291">
        <v>100</v>
      </c>
      <c r="P75" s="293">
        <v>6</v>
      </c>
      <c r="Q75" s="270">
        <v>43892</v>
      </c>
      <c r="R75" s="165" t="s">
        <v>283</v>
      </c>
      <c r="S75" s="165"/>
      <c r="T75" s="69"/>
      <c r="U75" s="165"/>
      <c r="V75" s="69"/>
      <c r="W75" s="69"/>
      <c r="Z75" s="69"/>
      <c r="AA75" s="69"/>
      <c r="AB75" s="69"/>
      <c r="AC75" s="69"/>
      <c r="AD75" s="69"/>
      <c r="AE75" s="69"/>
      <c r="AF75" s="69"/>
      <c r="AG75" s="69"/>
      <c r="AH75" s="69"/>
      <c r="AQ75" s="69"/>
      <c r="AR75" s="69"/>
      <c r="AS75" s="69"/>
      <c r="AT75" s="69"/>
      <c r="AU75" s="69"/>
      <c r="AV75" s="69"/>
      <c r="AW75" s="69"/>
      <c r="AX75" s="69"/>
      <c r="AY75" s="69"/>
      <c r="AZ75" s="69"/>
    </row>
    <row r="76" spans="3:59" x14ac:dyDescent="0.25">
      <c r="C76" s="69"/>
      <c r="D76" s="69"/>
      <c r="E76" s="165"/>
      <c r="F76" s="69"/>
      <c r="G76" s="69"/>
      <c r="H76" s="69"/>
      <c r="I76" s="69"/>
      <c r="J76" s="69"/>
      <c r="K76" s="69"/>
      <c r="L76" s="69"/>
      <c r="M76" s="69"/>
      <c r="N76" s="69"/>
      <c r="O76" s="69"/>
      <c r="P76" s="289">
        <v>124</v>
      </c>
      <c r="Q76" s="293">
        <v>9</v>
      </c>
      <c r="R76" s="165">
        <v>43893</v>
      </c>
      <c r="S76" s="69" t="s">
        <v>223</v>
      </c>
      <c r="V76" s="69"/>
      <c r="W76" s="165"/>
      <c r="X76" s="69"/>
      <c r="Y76" s="69"/>
      <c r="Z76" s="69"/>
      <c r="AA76" s="69"/>
      <c r="AB76" s="69"/>
      <c r="AC76" s="69"/>
      <c r="AD76" s="69"/>
      <c r="AE76" s="69"/>
      <c r="AF76" s="69"/>
      <c r="AG76" s="69"/>
      <c r="AH76" s="69"/>
      <c r="AQ76" s="69"/>
      <c r="AR76" s="69"/>
      <c r="AS76" s="69"/>
      <c r="AT76" s="69"/>
      <c r="AU76" s="69"/>
      <c r="AV76" s="69"/>
      <c r="AW76" s="69"/>
      <c r="AX76" s="69"/>
      <c r="AY76" s="69"/>
      <c r="AZ76" s="69"/>
    </row>
    <row r="77" spans="3:59" x14ac:dyDescent="0.25">
      <c r="E77" s="165"/>
      <c r="P77" s="291">
        <v>158</v>
      </c>
      <c r="Q77" s="293">
        <v>11</v>
      </c>
      <c r="R77" s="270">
        <v>43894</v>
      </c>
      <c r="S77" t="s">
        <v>200</v>
      </c>
      <c r="AQ77" s="69"/>
      <c r="AR77" s="69"/>
      <c r="AS77" s="69"/>
      <c r="AT77" s="69"/>
      <c r="AU77" s="69"/>
      <c r="AV77" s="69"/>
      <c r="AW77" s="69"/>
      <c r="AX77" s="69"/>
      <c r="AY77" s="69"/>
      <c r="AZ77" s="69"/>
      <c r="BA77" s="69"/>
      <c r="BB77" s="69"/>
      <c r="BC77" s="69"/>
      <c r="BD77" s="69"/>
      <c r="BE77" s="69"/>
      <c r="BF77" s="69"/>
      <c r="BG77" s="69"/>
    </row>
    <row r="78" spans="3:59" x14ac:dyDescent="0.25">
      <c r="E78" s="165"/>
      <c r="P78" s="291">
        <v>158</v>
      </c>
      <c r="Q78" s="293">
        <v>11</v>
      </c>
      <c r="R78" s="270">
        <v>43894</v>
      </c>
      <c r="S78" t="s">
        <v>327</v>
      </c>
      <c r="AQ78" s="69"/>
      <c r="AR78" s="69"/>
      <c r="AS78" s="69"/>
      <c r="AT78" s="69"/>
      <c r="AU78" s="69"/>
      <c r="AV78" s="69"/>
      <c r="AW78" s="69"/>
      <c r="AX78" s="69"/>
      <c r="AY78" s="69"/>
      <c r="AZ78" s="69"/>
    </row>
    <row r="79" spans="3:59" x14ac:dyDescent="0.25">
      <c r="E79" s="165"/>
      <c r="Q79" s="289">
        <v>221</v>
      </c>
      <c r="R79" s="293">
        <v>12</v>
      </c>
      <c r="S79" s="270">
        <v>43895</v>
      </c>
      <c r="T79" s="69" t="s">
        <v>328</v>
      </c>
      <c r="W79" s="165"/>
      <c r="AQ79" s="69"/>
      <c r="AR79" s="69"/>
      <c r="AS79" s="69"/>
      <c r="AT79" s="69"/>
      <c r="AU79" s="69"/>
      <c r="AV79" s="69"/>
      <c r="AW79" s="69"/>
      <c r="AX79" s="69"/>
      <c r="AY79" s="69"/>
      <c r="AZ79" s="69"/>
    </row>
    <row r="80" spans="3:59" x14ac:dyDescent="0.25">
      <c r="E80" s="165"/>
      <c r="Q80" s="291">
        <v>221</v>
      </c>
      <c r="R80" s="293">
        <v>12</v>
      </c>
      <c r="S80" s="270">
        <v>43895</v>
      </c>
      <c r="T80" s="69" t="s">
        <v>278</v>
      </c>
      <c r="W80" s="165"/>
      <c r="AQ80" s="69"/>
      <c r="AR80" s="69"/>
      <c r="AS80" s="69"/>
      <c r="AT80" s="69"/>
      <c r="AU80" s="69"/>
      <c r="AV80" s="69"/>
      <c r="AW80" s="69"/>
      <c r="AX80" s="69"/>
      <c r="AY80" s="69"/>
      <c r="AZ80" s="69"/>
    </row>
    <row r="81" spans="3:54" x14ac:dyDescent="0.25">
      <c r="E81" s="165"/>
      <c r="Q81" s="291">
        <v>319</v>
      </c>
      <c r="R81" s="292">
        <v>15</v>
      </c>
      <c r="S81" s="270">
        <v>43896</v>
      </c>
      <c r="T81" s="69" t="s">
        <v>236</v>
      </c>
      <c r="W81" s="165"/>
      <c r="AI81" s="69"/>
      <c r="AQ81" s="69"/>
      <c r="AR81" s="69"/>
      <c r="AS81" s="69"/>
      <c r="AT81" s="69"/>
      <c r="AU81" s="69"/>
      <c r="AV81" s="69"/>
      <c r="AW81" s="69"/>
      <c r="AX81" s="69"/>
      <c r="AY81" s="69"/>
      <c r="AZ81" s="69"/>
    </row>
    <row r="82" spans="3:54" x14ac:dyDescent="0.25">
      <c r="C82" s="69"/>
      <c r="D82" s="69"/>
      <c r="E82" s="165"/>
      <c r="F82" s="69"/>
      <c r="G82" s="69"/>
      <c r="H82" s="69"/>
      <c r="I82" s="69"/>
      <c r="J82" s="69"/>
      <c r="K82" s="69"/>
      <c r="L82" s="69"/>
      <c r="M82" s="69"/>
      <c r="N82" s="69"/>
      <c r="O82" s="69"/>
      <c r="P82" s="69"/>
      <c r="Q82" s="291">
        <v>319</v>
      </c>
      <c r="R82" s="293">
        <v>15</v>
      </c>
      <c r="S82" s="165">
        <v>43896</v>
      </c>
      <c r="T82" s="69" t="s">
        <v>247</v>
      </c>
      <c r="W82" s="165"/>
      <c r="X82" s="69"/>
      <c r="Y82" s="69"/>
      <c r="Z82" s="69"/>
      <c r="AA82" s="69"/>
      <c r="AB82" s="69"/>
      <c r="AC82" s="69"/>
      <c r="AD82" s="69"/>
      <c r="AE82" s="69"/>
      <c r="AF82" s="69"/>
      <c r="AG82" s="69"/>
      <c r="AH82" s="69"/>
      <c r="AI82" s="69"/>
      <c r="AO82" s="69"/>
      <c r="AP82" s="69"/>
    </row>
    <row r="83" spans="3:54" x14ac:dyDescent="0.25">
      <c r="C83" s="69"/>
      <c r="D83" s="69"/>
      <c r="E83" s="165"/>
      <c r="F83" s="69"/>
      <c r="G83" s="69"/>
      <c r="H83" s="69"/>
      <c r="I83" s="69"/>
      <c r="J83" s="69"/>
      <c r="K83" s="69"/>
      <c r="L83" s="69"/>
      <c r="M83" s="69"/>
      <c r="N83" s="69"/>
      <c r="O83" s="69"/>
      <c r="P83" s="69"/>
      <c r="Q83" s="291">
        <v>319</v>
      </c>
      <c r="R83" s="293">
        <v>15</v>
      </c>
      <c r="S83" s="270">
        <v>43896</v>
      </c>
      <c r="T83" s="69" t="s">
        <v>285</v>
      </c>
      <c r="W83" s="165"/>
      <c r="X83" s="69"/>
      <c r="Y83" s="69"/>
      <c r="Z83" s="69"/>
      <c r="AA83" s="69"/>
      <c r="AB83" s="69"/>
      <c r="AC83" s="69"/>
      <c r="AD83" s="69"/>
      <c r="AE83" s="69"/>
      <c r="AF83" s="69"/>
      <c r="AG83" s="69"/>
      <c r="AH83" s="69"/>
      <c r="AO83" s="69"/>
      <c r="AP83" s="69"/>
    </row>
    <row r="84" spans="3:54" x14ac:dyDescent="0.25">
      <c r="C84" s="69"/>
      <c r="D84" s="69"/>
      <c r="E84" s="165"/>
      <c r="F84" s="69"/>
      <c r="G84" s="69"/>
      <c r="H84" s="69"/>
      <c r="I84" s="69"/>
      <c r="J84" s="69"/>
      <c r="K84" s="69"/>
      <c r="L84" s="69"/>
      <c r="M84" s="69"/>
      <c r="N84" s="69"/>
      <c r="O84" s="69"/>
      <c r="P84" s="69"/>
      <c r="Q84" s="291">
        <v>319</v>
      </c>
      <c r="R84" s="293">
        <v>15</v>
      </c>
      <c r="S84" s="270">
        <v>43896</v>
      </c>
      <c r="T84" s="69" t="s">
        <v>286</v>
      </c>
      <c r="W84" s="165"/>
      <c r="X84" s="69"/>
      <c r="Y84" s="69"/>
      <c r="Z84" s="69"/>
      <c r="AA84" s="69"/>
      <c r="AB84" s="69"/>
      <c r="AC84" s="69"/>
      <c r="AD84" s="69"/>
      <c r="AE84" s="69"/>
      <c r="AF84" s="69"/>
      <c r="AG84" s="69"/>
      <c r="AH84" s="69"/>
    </row>
    <row r="85" spans="3:54" x14ac:dyDescent="0.25">
      <c r="C85" s="69"/>
      <c r="D85" s="69"/>
      <c r="E85" s="165"/>
      <c r="F85" s="69"/>
      <c r="G85" s="69"/>
      <c r="H85" s="69"/>
      <c r="I85" s="69"/>
      <c r="J85" s="69"/>
      <c r="K85" s="69"/>
      <c r="L85" s="69"/>
      <c r="M85" s="69"/>
      <c r="N85" s="69"/>
      <c r="O85" s="69"/>
      <c r="P85" s="69"/>
      <c r="Q85" s="289">
        <v>435</v>
      </c>
      <c r="R85" s="293">
        <v>19</v>
      </c>
      <c r="S85" s="270">
        <v>43897</v>
      </c>
      <c r="T85" s="69" t="s">
        <v>272</v>
      </c>
      <c r="W85" s="165"/>
      <c r="X85" s="69"/>
      <c r="Y85" s="69"/>
      <c r="Z85" s="69"/>
      <c r="AA85" s="69"/>
      <c r="AB85" s="69"/>
      <c r="AC85" s="69"/>
      <c r="AD85" s="69"/>
      <c r="AE85" s="69"/>
      <c r="AF85" s="69"/>
      <c r="AG85" s="69"/>
      <c r="AH85" s="69"/>
    </row>
    <row r="86" spans="3:54" x14ac:dyDescent="0.25">
      <c r="C86" s="69"/>
      <c r="D86" s="69"/>
      <c r="E86" s="165"/>
      <c r="F86" s="69"/>
      <c r="G86" s="69"/>
      <c r="H86" s="69"/>
      <c r="I86" s="69"/>
      <c r="J86" s="69"/>
      <c r="K86" s="69"/>
      <c r="L86" s="69"/>
      <c r="M86" s="69"/>
      <c r="N86" s="69"/>
      <c r="O86" s="69"/>
      <c r="P86" s="69"/>
      <c r="Q86" s="69"/>
      <c r="R86" s="291">
        <v>541</v>
      </c>
      <c r="S86" s="293">
        <v>22</v>
      </c>
      <c r="T86" s="270">
        <v>43898</v>
      </c>
      <c r="U86" s="165" t="s">
        <v>287</v>
      </c>
      <c r="V86" s="69"/>
      <c r="W86" s="69"/>
      <c r="X86" s="69"/>
      <c r="Y86" s="69"/>
      <c r="Z86" s="69"/>
      <c r="AA86" s="69"/>
      <c r="AB86" s="69"/>
      <c r="AC86" s="69"/>
      <c r="AD86" s="69"/>
      <c r="AE86" s="69"/>
      <c r="AF86" s="69"/>
      <c r="AG86" s="69"/>
      <c r="AH86" s="69"/>
    </row>
    <row r="87" spans="3:54" x14ac:dyDescent="0.25">
      <c r="E87" s="165"/>
      <c r="R87" s="291">
        <v>704</v>
      </c>
      <c r="S87" s="293">
        <v>26</v>
      </c>
      <c r="T87" s="270">
        <v>43899</v>
      </c>
      <c r="U87" s="165" t="s">
        <v>353</v>
      </c>
    </row>
    <row r="88" spans="3:54" x14ac:dyDescent="0.25">
      <c r="E88" s="165"/>
      <c r="R88" s="291">
        <v>704</v>
      </c>
      <c r="S88" s="293">
        <v>26</v>
      </c>
      <c r="T88" s="270">
        <v>43899</v>
      </c>
      <c r="U88" s="165" t="s">
        <v>329</v>
      </c>
      <c r="AI88" s="69"/>
    </row>
    <row r="89" spans="3:54" x14ac:dyDescent="0.25">
      <c r="E89" s="165"/>
      <c r="R89" s="291">
        <v>704</v>
      </c>
      <c r="S89" s="293">
        <v>26</v>
      </c>
      <c r="T89" s="270">
        <v>43899</v>
      </c>
      <c r="U89" s="165" t="s">
        <v>214</v>
      </c>
      <c r="AI89" s="69"/>
    </row>
    <row r="90" spans="3:54" x14ac:dyDescent="0.25">
      <c r="E90" s="165"/>
      <c r="R90" s="289">
        <v>994</v>
      </c>
      <c r="S90" s="292">
        <v>30</v>
      </c>
      <c r="T90" s="270">
        <v>43900</v>
      </c>
      <c r="U90" s="165" t="s">
        <v>288</v>
      </c>
      <c r="AI90" s="69"/>
    </row>
    <row r="91" spans="3:54" x14ac:dyDescent="0.25">
      <c r="E91" s="165"/>
      <c r="R91" s="291">
        <v>994</v>
      </c>
      <c r="S91" s="293">
        <v>30</v>
      </c>
      <c r="T91" s="270">
        <v>43900</v>
      </c>
      <c r="U91" s="165" t="s">
        <v>215</v>
      </c>
      <c r="AI91" s="69"/>
    </row>
    <row r="92" spans="3:54" x14ac:dyDescent="0.25">
      <c r="E92" s="165"/>
      <c r="R92" s="165"/>
      <c r="S92" s="291">
        <v>1301</v>
      </c>
      <c r="T92" s="293">
        <v>38</v>
      </c>
      <c r="U92" s="271">
        <v>43901</v>
      </c>
      <c r="V92" s="69" t="s">
        <v>202</v>
      </c>
      <c r="AI92" s="69"/>
    </row>
    <row r="93" spans="3:54" x14ac:dyDescent="0.25">
      <c r="E93" s="165"/>
      <c r="R93" s="165"/>
      <c r="S93" s="291">
        <v>1301</v>
      </c>
      <c r="T93" s="293">
        <v>38</v>
      </c>
      <c r="U93" s="270">
        <v>43901</v>
      </c>
      <c r="V93" s="69" t="s">
        <v>246</v>
      </c>
      <c r="AJ93" s="69"/>
      <c r="AK93" s="69"/>
      <c r="AL93" s="69"/>
      <c r="AM93" s="69"/>
      <c r="AN93" s="69"/>
      <c r="AQ93" s="69"/>
      <c r="AR93" s="69"/>
      <c r="AS93" s="69"/>
      <c r="AT93" s="69"/>
      <c r="AU93" s="69"/>
      <c r="AV93" s="69"/>
      <c r="AW93" s="69"/>
      <c r="AX93" s="69"/>
      <c r="AY93" s="69"/>
      <c r="AZ93" s="69"/>
    </row>
    <row r="94" spans="3:54" x14ac:dyDescent="0.25">
      <c r="E94" s="165"/>
      <c r="S94" s="291">
        <v>1301</v>
      </c>
      <c r="T94" s="293">
        <v>38</v>
      </c>
      <c r="U94" s="270">
        <v>43901</v>
      </c>
      <c r="V94" t="s">
        <v>220</v>
      </c>
      <c r="AJ94" s="69"/>
      <c r="AK94" s="69"/>
      <c r="AL94" s="69"/>
      <c r="AM94" s="69"/>
      <c r="AN94" s="69"/>
    </row>
    <row r="95" spans="3:54" x14ac:dyDescent="0.25">
      <c r="C95" s="69"/>
      <c r="D95" s="69"/>
      <c r="E95" s="165"/>
      <c r="F95" s="69"/>
      <c r="G95" s="69"/>
      <c r="H95" s="69"/>
      <c r="I95" s="69"/>
      <c r="J95" s="69"/>
      <c r="K95" s="69"/>
      <c r="L95" s="69"/>
      <c r="M95" s="69"/>
      <c r="N95" s="69"/>
      <c r="O95" s="69"/>
      <c r="P95" s="69"/>
      <c r="Q95" s="69"/>
      <c r="R95" s="165"/>
      <c r="S95" s="291">
        <v>1630</v>
      </c>
      <c r="T95" s="293">
        <v>41</v>
      </c>
      <c r="U95" s="165">
        <v>43902</v>
      </c>
      <c r="V95" s="69" t="s">
        <v>239</v>
      </c>
      <c r="W95" s="69"/>
      <c r="X95" s="69"/>
      <c r="Y95" s="69"/>
      <c r="Z95" s="69"/>
      <c r="AA95" s="69"/>
      <c r="AB95" s="69"/>
      <c r="AC95" s="69"/>
      <c r="AD95" s="69"/>
      <c r="AE95" s="69"/>
      <c r="AH95" s="69"/>
    </row>
    <row r="96" spans="3:54" x14ac:dyDescent="0.25">
      <c r="E96" s="165"/>
      <c r="S96" s="291">
        <v>1630</v>
      </c>
      <c r="T96" s="293">
        <v>41</v>
      </c>
      <c r="U96" s="270">
        <v>43902</v>
      </c>
      <c r="V96" t="s">
        <v>216</v>
      </c>
      <c r="BA96" s="69"/>
      <c r="BB96" s="69"/>
    </row>
    <row r="97" spans="3:59" x14ac:dyDescent="0.25">
      <c r="E97" s="165"/>
      <c r="S97" s="290">
        <v>2183</v>
      </c>
      <c r="T97" s="293">
        <v>48</v>
      </c>
      <c r="U97" s="158">
        <v>43903</v>
      </c>
      <c r="V97" s="159" t="s">
        <v>177</v>
      </c>
      <c r="W97" s="159"/>
      <c r="X97" s="159"/>
      <c r="Y97" s="159"/>
      <c r="Z97" s="159"/>
      <c r="AA97" s="159"/>
      <c r="AB97" s="159"/>
      <c r="AC97" s="159"/>
      <c r="AD97" s="159"/>
      <c r="AE97" s="159"/>
      <c r="AF97" s="159"/>
      <c r="AG97" s="159"/>
      <c r="AH97" s="159"/>
      <c r="BA97" s="69"/>
      <c r="BB97" s="69"/>
    </row>
    <row r="98" spans="3:59" x14ac:dyDescent="0.25">
      <c r="E98" s="165"/>
      <c r="S98" s="291">
        <v>2183</v>
      </c>
      <c r="T98" s="293">
        <v>48</v>
      </c>
      <c r="U98" s="270">
        <v>43903</v>
      </c>
      <c r="V98" t="s">
        <v>217</v>
      </c>
      <c r="BA98" s="69"/>
      <c r="BB98" s="69"/>
      <c r="BC98" s="69"/>
      <c r="BD98" s="69"/>
      <c r="BE98" s="69"/>
      <c r="BF98" s="69"/>
      <c r="BG98" s="69"/>
    </row>
    <row r="99" spans="3:59" x14ac:dyDescent="0.25">
      <c r="E99" s="165"/>
      <c r="S99" s="291">
        <v>2183</v>
      </c>
      <c r="T99" s="293">
        <v>48</v>
      </c>
      <c r="U99" s="270">
        <v>43903</v>
      </c>
      <c r="V99" t="s">
        <v>218</v>
      </c>
      <c r="BA99" s="69"/>
      <c r="BB99" s="69"/>
    </row>
    <row r="100" spans="3:59" x14ac:dyDescent="0.25">
      <c r="C100" s="69"/>
      <c r="D100" s="69"/>
      <c r="E100" s="165"/>
      <c r="F100" s="69"/>
      <c r="G100" s="69"/>
      <c r="H100" s="69"/>
      <c r="I100" s="69"/>
      <c r="J100" s="69"/>
      <c r="K100" s="69"/>
      <c r="L100" s="69"/>
      <c r="M100" s="69"/>
      <c r="N100" s="69"/>
      <c r="O100" s="69"/>
      <c r="P100" s="69"/>
      <c r="Q100" s="69"/>
      <c r="R100" s="69"/>
      <c r="S100" s="291">
        <v>2183</v>
      </c>
      <c r="T100" s="293">
        <v>48</v>
      </c>
      <c r="U100" s="165">
        <v>43903</v>
      </c>
      <c r="V100" s="69" t="s">
        <v>254</v>
      </c>
      <c r="W100" s="69"/>
      <c r="X100" s="69"/>
      <c r="Y100" s="69"/>
      <c r="Z100" s="69"/>
      <c r="AA100" s="69"/>
      <c r="AB100" s="69"/>
      <c r="AC100" s="69"/>
      <c r="AD100" s="69"/>
      <c r="AE100" s="69"/>
      <c r="AH100" s="69"/>
      <c r="AJ100" s="69"/>
      <c r="AK100" s="69"/>
      <c r="AL100" s="69"/>
      <c r="AM100" s="69"/>
      <c r="AN100" s="69"/>
      <c r="BA100" s="69"/>
      <c r="BB100" s="69"/>
    </row>
    <row r="101" spans="3:59" x14ac:dyDescent="0.25">
      <c r="D101" s="165"/>
      <c r="Q101" s="69"/>
      <c r="R101" s="165"/>
      <c r="S101" s="69"/>
      <c r="T101" s="291">
        <v>2771</v>
      </c>
      <c r="U101" s="292">
        <v>58</v>
      </c>
      <c r="V101" s="158">
        <v>43904</v>
      </c>
      <c r="W101" s="159" t="s">
        <v>172</v>
      </c>
      <c r="X101" s="159"/>
      <c r="Y101" s="158"/>
      <c r="Z101" s="158"/>
      <c r="AA101" s="159"/>
      <c r="AB101" s="158">
        <v>43918</v>
      </c>
      <c r="AI101" s="69"/>
      <c r="AJ101" s="69"/>
      <c r="AK101" s="69"/>
      <c r="AL101" s="69"/>
      <c r="AM101" s="69"/>
      <c r="AN101" s="69"/>
      <c r="BA101" s="69"/>
      <c r="BB101" s="69"/>
    </row>
    <row r="102" spans="3:59" x14ac:dyDescent="0.25">
      <c r="D102" s="69"/>
      <c r="E102" s="69"/>
      <c r="F102" s="165"/>
      <c r="G102" s="165"/>
      <c r="H102" s="165"/>
      <c r="I102" s="165"/>
      <c r="J102" s="165"/>
      <c r="K102" s="165"/>
      <c r="L102" s="165"/>
      <c r="M102" s="165"/>
      <c r="N102" s="165"/>
      <c r="O102" s="165"/>
      <c r="P102" s="69"/>
      <c r="Q102" s="69"/>
      <c r="U102" s="290">
        <v>4604</v>
      </c>
      <c r="V102" s="293">
        <v>95</v>
      </c>
      <c r="W102" s="158">
        <v>43906</v>
      </c>
      <c r="X102" s="159" t="s">
        <v>362</v>
      </c>
      <c r="Y102" s="159"/>
      <c r="Z102" s="159"/>
      <c r="AA102" s="159"/>
      <c r="AB102" s="159"/>
      <c r="AC102" s="159"/>
      <c r="AD102" s="159"/>
      <c r="AE102" s="159"/>
      <c r="AF102" s="159"/>
      <c r="AG102" s="159"/>
      <c r="AH102" s="159"/>
      <c r="AJ102" s="69"/>
      <c r="AK102" s="69"/>
      <c r="AL102" s="69"/>
      <c r="AM102" s="69"/>
      <c r="AN102" s="69"/>
      <c r="BA102" s="69"/>
      <c r="BB102" s="69"/>
    </row>
    <row r="103" spans="3:59" x14ac:dyDescent="0.25">
      <c r="D103" s="69"/>
      <c r="E103" s="69"/>
      <c r="F103" s="165"/>
      <c r="G103" s="165"/>
      <c r="H103" s="165"/>
      <c r="I103" s="165"/>
      <c r="J103" s="165"/>
      <c r="K103" s="165"/>
      <c r="L103" s="165"/>
      <c r="M103" s="165"/>
      <c r="N103" s="165"/>
      <c r="O103" s="165"/>
      <c r="P103" s="69"/>
      <c r="Q103" s="69"/>
      <c r="U103" s="291">
        <v>4604</v>
      </c>
      <c r="V103" s="293">
        <v>95</v>
      </c>
      <c r="W103" s="217">
        <v>43906</v>
      </c>
      <c r="X103" s="165" t="s">
        <v>513</v>
      </c>
      <c r="Y103" s="69"/>
      <c r="Z103" s="69"/>
      <c r="AA103" s="69"/>
      <c r="AB103" s="69"/>
      <c r="AC103" s="69"/>
      <c r="AD103" s="69"/>
      <c r="AE103" s="69"/>
      <c r="AF103" s="69"/>
      <c r="AG103" s="69"/>
      <c r="AH103" s="69"/>
      <c r="AJ103" s="69"/>
      <c r="AK103" s="69"/>
      <c r="AL103" s="69"/>
      <c r="AM103" s="69"/>
      <c r="AN103" s="69"/>
      <c r="BA103" s="69"/>
      <c r="BB103" s="69"/>
    </row>
    <row r="104" spans="3:59" x14ac:dyDescent="0.25">
      <c r="D104" s="69"/>
      <c r="E104" s="69"/>
      <c r="F104" s="69"/>
      <c r="G104" s="69"/>
      <c r="H104" s="69"/>
      <c r="I104" s="69"/>
      <c r="J104" s="69"/>
      <c r="K104" s="69"/>
      <c r="L104" s="69"/>
      <c r="M104" s="69"/>
      <c r="N104" s="69"/>
      <c r="O104" s="69"/>
      <c r="P104" s="165"/>
      <c r="Q104" s="69"/>
      <c r="R104" s="69"/>
      <c r="S104" s="69"/>
      <c r="T104" s="165"/>
      <c r="U104" s="291">
        <v>6357</v>
      </c>
      <c r="V104" s="292">
        <v>121</v>
      </c>
      <c r="W104" s="270">
        <v>43907</v>
      </c>
      <c r="X104" t="s">
        <v>201</v>
      </c>
      <c r="AJ104" s="69"/>
      <c r="AK104" s="69"/>
      <c r="AL104" s="69"/>
      <c r="AM104" s="69"/>
      <c r="AN104" s="69"/>
      <c r="BA104" s="69"/>
      <c r="BB104" s="69"/>
    </row>
    <row r="105" spans="3:59" x14ac:dyDescent="0.25">
      <c r="V105" s="290">
        <v>9317</v>
      </c>
      <c r="W105" s="293">
        <v>171</v>
      </c>
      <c r="X105" s="158">
        <v>43908</v>
      </c>
      <c r="Y105" s="159" t="s">
        <v>173</v>
      </c>
      <c r="Z105" s="158">
        <v>43922</v>
      </c>
      <c r="AJ105" s="69"/>
      <c r="AK105" s="69"/>
      <c r="AL105" s="69"/>
      <c r="AM105" s="69"/>
      <c r="AN105" s="69"/>
      <c r="BA105" s="69"/>
      <c r="BB105" s="69"/>
    </row>
    <row r="106" spans="3:59" s="69" customFormat="1" x14ac:dyDescent="0.25">
      <c r="C106"/>
      <c r="D106"/>
      <c r="E106"/>
      <c r="F106"/>
      <c r="G106"/>
      <c r="H106"/>
      <c r="I106"/>
      <c r="J106"/>
      <c r="K106"/>
      <c r="L106"/>
      <c r="M106"/>
      <c r="N106"/>
      <c r="O106"/>
      <c r="P106"/>
      <c r="Q106"/>
      <c r="R106"/>
      <c r="S106"/>
      <c r="T106"/>
      <c r="U106"/>
      <c r="V106" s="291">
        <v>9317</v>
      </c>
      <c r="W106" s="293">
        <v>171</v>
      </c>
      <c r="X106" s="270">
        <v>43908</v>
      </c>
      <c r="Y106" s="69" t="s">
        <v>240</v>
      </c>
      <c r="Z106" s="165"/>
      <c r="AA106"/>
      <c r="AB106"/>
      <c r="AC106"/>
      <c r="AD106"/>
      <c r="AE106"/>
      <c r="AF106"/>
      <c r="AG106"/>
      <c r="AH106"/>
      <c r="AI106"/>
      <c r="AJ106"/>
      <c r="AK106"/>
      <c r="AL106"/>
      <c r="AM106"/>
      <c r="AN106"/>
      <c r="BC106"/>
      <c r="BD106"/>
      <c r="BE106"/>
      <c r="BF106"/>
      <c r="BG106"/>
    </row>
    <row r="107" spans="3:59" x14ac:dyDescent="0.25">
      <c r="V107" s="291">
        <v>9317</v>
      </c>
      <c r="W107" s="293">
        <v>171</v>
      </c>
      <c r="X107" s="270">
        <v>43908</v>
      </c>
      <c r="Y107" s="69" t="s">
        <v>401</v>
      </c>
      <c r="Z107" s="165"/>
      <c r="AO107" s="69"/>
      <c r="AP107" s="69"/>
      <c r="AQ107" s="69"/>
      <c r="AR107" s="69"/>
      <c r="AS107" s="69"/>
      <c r="AT107" s="69"/>
      <c r="AU107" s="69"/>
      <c r="AV107" s="69"/>
      <c r="AW107" s="69"/>
      <c r="AX107" s="69"/>
      <c r="AY107" s="69"/>
      <c r="AZ107" s="69"/>
      <c r="BA107" s="69"/>
      <c r="BB107" s="69"/>
    </row>
    <row r="108" spans="3:59" x14ac:dyDescent="0.25">
      <c r="V108" s="291">
        <v>13898</v>
      </c>
      <c r="W108" s="292">
        <v>239</v>
      </c>
      <c r="X108" s="270">
        <v>43909</v>
      </c>
      <c r="Y108" s="69" t="s">
        <v>289</v>
      </c>
      <c r="Z108" s="165"/>
      <c r="AA108" s="69"/>
      <c r="AD108" s="69"/>
      <c r="AE108" s="69"/>
      <c r="AF108" s="69"/>
      <c r="AI108" s="69"/>
      <c r="AO108" s="69"/>
      <c r="AP108" s="69"/>
    </row>
    <row r="109" spans="3:59" x14ac:dyDescent="0.25">
      <c r="W109" s="290">
        <v>19551</v>
      </c>
      <c r="X109" s="293">
        <v>309</v>
      </c>
      <c r="Y109" s="158">
        <v>43910</v>
      </c>
      <c r="Z109" s="159" t="s">
        <v>174</v>
      </c>
      <c r="AA109" s="159"/>
      <c r="AB109" s="159"/>
      <c r="AC109" s="158">
        <v>43924</v>
      </c>
    </row>
    <row r="110" spans="3:59" x14ac:dyDescent="0.25">
      <c r="W110" s="69"/>
      <c r="X110" s="291">
        <v>33840</v>
      </c>
      <c r="Y110" s="292">
        <v>509</v>
      </c>
      <c r="Z110" s="270">
        <v>43912</v>
      </c>
      <c r="AA110" s="69" t="s">
        <v>400</v>
      </c>
      <c r="AB110" s="69"/>
      <c r="AC110" s="165"/>
    </row>
    <row r="111" spans="3:59" x14ac:dyDescent="0.25">
      <c r="X111" s="291">
        <v>44189</v>
      </c>
      <c r="Y111" s="293">
        <v>689</v>
      </c>
      <c r="Z111" s="270">
        <v>43913</v>
      </c>
      <c r="AA111" s="69" t="s">
        <v>325</v>
      </c>
      <c r="AB111" s="69"/>
      <c r="AC111" s="165"/>
    </row>
    <row r="112" spans="3:59" x14ac:dyDescent="0.25">
      <c r="X112" s="290">
        <v>55398</v>
      </c>
      <c r="Y112" s="292">
        <v>957</v>
      </c>
      <c r="Z112" s="158">
        <v>43914</v>
      </c>
      <c r="AA112" s="159" t="s">
        <v>175</v>
      </c>
      <c r="AB112" s="159"/>
      <c r="AC112" s="158">
        <v>43928</v>
      </c>
      <c r="AE112" s="69"/>
      <c r="AF112" s="69"/>
    </row>
    <row r="113" spans="3:55" x14ac:dyDescent="0.25">
      <c r="X113" s="291">
        <v>55398</v>
      </c>
      <c r="Y113" s="293">
        <v>957</v>
      </c>
      <c r="Z113" s="270">
        <v>43914</v>
      </c>
      <c r="AA113" t="s">
        <v>237</v>
      </c>
      <c r="AE113" s="69"/>
      <c r="AF113" s="69"/>
    </row>
    <row r="114" spans="3:55" x14ac:dyDescent="0.25">
      <c r="C114" s="69"/>
      <c r="D114" s="69"/>
      <c r="E114" s="69"/>
      <c r="F114" s="69"/>
      <c r="G114" s="69"/>
      <c r="H114" s="69"/>
      <c r="I114" s="69"/>
      <c r="J114" s="69"/>
      <c r="K114" s="69"/>
      <c r="L114" s="69"/>
      <c r="M114" s="69"/>
      <c r="N114" s="69"/>
      <c r="O114" s="69"/>
      <c r="P114" s="69"/>
      <c r="Q114" s="69"/>
      <c r="R114" s="69"/>
      <c r="S114" s="69"/>
      <c r="T114" s="69"/>
      <c r="U114" s="69"/>
      <c r="V114" s="69"/>
      <c r="W114" s="69"/>
      <c r="X114" s="291">
        <v>55398</v>
      </c>
      <c r="Y114" s="293">
        <v>957</v>
      </c>
      <c r="Z114" s="165">
        <v>43914</v>
      </c>
      <c r="AA114" s="69" t="s">
        <v>297</v>
      </c>
      <c r="AB114" s="69"/>
      <c r="AC114" s="69"/>
      <c r="AD114" s="69"/>
      <c r="AE114" s="69"/>
      <c r="AF114" s="69"/>
      <c r="AG114" s="69"/>
      <c r="AH114" s="69"/>
    </row>
    <row r="115" spans="3:55" x14ac:dyDescent="0.25">
      <c r="C115" s="69"/>
      <c r="D115" s="69"/>
      <c r="E115" s="69"/>
      <c r="F115" s="69"/>
      <c r="G115" s="69"/>
      <c r="H115" s="69"/>
      <c r="I115" s="69"/>
      <c r="J115" s="69"/>
      <c r="K115" s="69"/>
      <c r="L115" s="69"/>
      <c r="M115" s="69"/>
      <c r="N115" s="69"/>
      <c r="O115" s="69"/>
      <c r="P115" s="69"/>
      <c r="Q115" s="69"/>
      <c r="R115" s="69"/>
      <c r="S115" s="69"/>
      <c r="T115" s="69"/>
      <c r="U115" s="69"/>
      <c r="V115" s="69"/>
      <c r="W115" s="69"/>
      <c r="Y115" s="291">
        <v>68905</v>
      </c>
      <c r="Z115" s="293">
        <v>1260</v>
      </c>
      <c r="AA115" s="165">
        <v>43915</v>
      </c>
      <c r="AB115" s="69" t="s">
        <v>399</v>
      </c>
      <c r="AC115" s="69"/>
      <c r="AD115" s="69"/>
      <c r="AE115" s="69"/>
      <c r="AF115" s="69"/>
      <c r="AG115" s="69"/>
      <c r="AH115" s="69"/>
    </row>
    <row r="116" spans="3:55" x14ac:dyDescent="0.25">
      <c r="C116" s="69"/>
      <c r="D116" s="69"/>
      <c r="E116" s="69"/>
      <c r="F116" s="69"/>
      <c r="G116" s="69"/>
      <c r="H116" s="69"/>
      <c r="I116" s="69"/>
      <c r="J116" s="69"/>
      <c r="K116" s="69"/>
      <c r="L116" s="69"/>
      <c r="M116" s="69"/>
      <c r="N116" s="69"/>
      <c r="O116" s="69"/>
      <c r="P116" s="69"/>
      <c r="Q116" s="69"/>
      <c r="R116" s="69"/>
      <c r="S116" s="69"/>
      <c r="T116" s="69"/>
      <c r="U116" s="69"/>
      <c r="V116" s="69"/>
      <c r="W116" s="69"/>
      <c r="X116" s="69"/>
      <c r="Y116" s="291">
        <v>105217</v>
      </c>
      <c r="Z116" s="293">
        <v>2110</v>
      </c>
      <c r="AA116" s="217">
        <v>43917</v>
      </c>
      <c r="AB116" s="217" t="s">
        <v>221</v>
      </c>
      <c r="AC116" s="69"/>
      <c r="AD116" s="69"/>
      <c r="AE116" s="69"/>
      <c r="AF116" s="69"/>
      <c r="AG116" s="69"/>
      <c r="AH116" s="69"/>
      <c r="AO116" s="69"/>
      <c r="AP116" s="69"/>
      <c r="AQ116" s="69"/>
      <c r="AR116" s="69"/>
      <c r="AS116" s="69"/>
      <c r="AT116" s="69"/>
      <c r="AU116" s="69"/>
      <c r="AV116" s="69"/>
      <c r="AW116" s="69"/>
      <c r="AX116" s="69"/>
      <c r="AY116" s="69"/>
      <c r="AZ116" s="69"/>
    </row>
    <row r="117" spans="3:55" x14ac:dyDescent="0.25">
      <c r="C117" s="69"/>
      <c r="D117" s="69"/>
      <c r="E117" s="69"/>
      <c r="F117" s="69"/>
      <c r="G117" s="69"/>
      <c r="H117" s="69"/>
      <c r="I117" s="69"/>
      <c r="J117" s="69"/>
      <c r="K117" s="69"/>
      <c r="L117" s="69"/>
      <c r="M117" s="69"/>
      <c r="N117" s="69"/>
      <c r="O117" s="69"/>
      <c r="P117" s="69"/>
      <c r="Q117" s="69"/>
      <c r="R117" s="69"/>
      <c r="S117" s="69"/>
      <c r="T117" s="69"/>
      <c r="U117" s="69"/>
      <c r="V117" s="69"/>
      <c r="W117" s="69"/>
      <c r="X117" s="69"/>
      <c r="Y117" s="291">
        <v>105217</v>
      </c>
      <c r="Z117" s="293">
        <v>2110</v>
      </c>
      <c r="AA117" s="270">
        <v>43917</v>
      </c>
      <c r="AB117" t="s">
        <v>248</v>
      </c>
      <c r="AC117" s="69"/>
      <c r="AD117" s="69"/>
      <c r="AE117" s="69"/>
      <c r="AF117" s="69"/>
      <c r="AG117" s="69"/>
      <c r="AH117" s="69"/>
      <c r="AO117" s="69"/>
      <c r="AP117" s="69"/>
      <c r="AQ117" s="69"/>
      <c r="AR117" s="69"/>
      <c r="AS117" s="69"/>
      <c r="AT117" s="69"/>
      <c r="AU117" s="69"/>
      <c r="AV117" s="69"/>
      <c r="AW117" s="69"/>
      <c r="AX117" s="69"/>
      <c r="AY117" s="69"/>
      <c r="AZ117" s="69"/>
    </row>
    <row r="118" spans="3:55" x14ac:dyDescent="0.25">
      <c r="C118" s="69"/>
      <c r="D118" s="69"/>
      <c r="E118" s="69"/>
      <c r="F118" s="69"/>
      <c r="G118" s="69"/>
      <c r="H118" s="69"/>
      <c r="I118" s="69"/>
      <c r="J118" s="69"/>
      <c r="K118" s="69"/>
      <c r="L118" s="69"/>
      <c r="M118" s="69"/>
      <c r="N118" s="69"/>
      <c r="O118" s="69"/>
      <c r="P118" s="69"/>
      <c r="Q118" s="69"/>
      <c r="R118" s="69"/>
      <c r="S118" s="69"/>
      <c r="T118" s="69"/>
      <c r="U118" s="69"/>
      <c r="V118" s="69"/>
      <c r="W118" s="69"/>
      <c r="X118" s="69"/>
      <c r="Y118" s="291">
        <v>105217</v>
      </c>
      <c r="Z118" s="293">
        <v>2110</v>
      </c>
      <c r="AA118" s="270">
        <v>43917</v>
      </c>
      <c r="AB118" t="s">
        <v>277</v>
      </c>
      <c r="AC118" s="69"/>
      <c r="AD118" s="69"/>
      <c r="AE118" s="69"/>
      <c r="AF118" s="69"/>
      <c r="AG118" s="69"/>
      <c r="AH118" s="69"/>
      <c r="AJ118" s="69"/>
      <c r="AK118" s="69"/>
      <c r="AL118" s="69"/>
      <c r="AM118" s="69"/>
      <c r="AN118" s="69"/>
      <c r="AO118" s="69"/>
      <c r="AP118" s="69"/>
      <c r="AQ118" s="69"/>
      <c r="AR118" s="69"/>
      <c r="AS118" s="69"/>
      <c r="AT118" s="69"/>
      <c r="AU118" s="69"/>
      <c r="AV118" s="69"/>
      <c r="AW118" s="69"/>
      <c r="AX118" s="69"/>
      <c r="AY118" s="69"/>
      <c r="AZ118" s="69"/>
      <c r="BC118" s="69"/>
    </row>
    <row r="119" spans="3:55" x14ac:dyDescent="0.25">
      <c r="C119" s="69"/>
      <c r="D119" s="69"/>
      <c r="E119" s="69"/>
      <c r="F119" s="69"/>
      <c r="G119" s="69"/>
      <c r="H119" s="69"/>
      <c r="I119" s="69"/>
      <c r="J119" s="69"/>
      <c r="K119" s="69"/>
      <c r="L119" s="69"/>
      <c r="M119" s="69"/>
      <c r="N119" s="69"/>
      <c r="O119" s="69"/>
      <c r="P119" s="69"/>
      <c r="Q119" s="69"/>
      <c r="R119" s="69"/>
      <c r="S119" s="69"/>
      <c r="T119" s="69"/>
      <c r="U119" s="69"/>
      <c r="V119" s="69"/>
      <c r="W119" s="69"/>
      <c r="X119" s="69"/>
      <c r="Y119" s="291">
        <v>105217</v>
      </c>
      <c r="Z119" s="293">
        <v>2110</v>
      </c>
      <c r="AA119" s="270">
        <v>43917</v>
      </c>
      <c r="AB119" t="s">
        <v>311</v>
      </c>
      <c r="AC119" s="69"/>
      <c r="AD119" s="69"/>
      <c r="AE119" s="69"/>
      <c r="AF119" s="69"/>
      <c r="AG119" s="69"/>
      <c r="AH119" s="69"/>
      <c r="AO119" s="69"/>
      <c r="AP119" s="69"/>
      <c r="AQ119" s="69"/>
      <c r="AR119" s="69"/>
      <c r="AS119" s="69"/>
      <c r="AT119" s="69"/>
      <c r="AU119" s="69"/>
      <c r="AV119" s="69"/>
      <c r="AW119" s="69"/>
      <c r="AX119" s="69"/>
      <c r="AY119" s="69"/>
      <c r="AZ119" s="69"/>
      <c r="BC119" s="69"/>
    </row>
    <row r="120" spans="3:55" x14ac:dyDescent="0.25">
      <c r="C120" s="69"/>
      <c r="D120" s="69"/>
      <c r="E120" s="69"/>
      <c r="F120" s="69"/>
      <c r="G120" s="69"/>
      <c r="H120" s="69"/>
      <c r="I120" s="69"/>
      <c r="J120" s="69"/>
      <c r="K120" s="69"/>
      <c r="L120" s="69"/>
      <c r="M120" s="69"/>
      <c r="N120" s="69"/>
      <c r="O120" s="69"/>
      <c r="P120" s="69"/>
      <c r="Q120" s="69"/>
      <c r="R120" s="69"/>
      <c r="S120" s="69"/>
      <c r="T120" s="69"/>
      <c r="U120" s="69"/>
      <c r="V120" s="69"/>
      <c r="W120" s="69"/>
      <c r="X120" s="69"/>
      <c r="Y120" s="35"/>
      <c r="Z120" s="290">
        <v>124788</v>
      </c>
      <c r="AA120" s="297">
        <v>2754</v>
      </c>
      <c r="AB120" s="296">
        <v>43918</v>
      </c>
      <c r="AC120" s="69" t="s">
        <v>529</v>
      </c>
      <c r="AD120" s="69"/>
      <c r="AE120" s="69"/>
      <c r="AF120" s="69"/>
      <c r="AG120" s="69"/>
      <c r="AH120" s="69"/>
      <c r="AO120" s="69"/>
      <c r="AP120" s="69"/>
      <c r="AQ120" s="69"/>
      <c r="AR120" s="69"/>
      <c r="AS120" s="69"/>
      <c r="AT120" s="69"/>
      <c r="AU120" s="69"/>
      <c r="AV120" s="69"/>
      <c r="AW120" s="69"/>
      <c r="AX120" s="69"/>
      <c r="AY120" s="69"/>
      <c r="AZ120" s="69"/>
      <c r="BC120" s="69"/>
    </row>
    <row r="121" spans="3:55" x14ac:dyDescent="0.25">
      <c r="X121" s="236"/>
      <c r="Y121" s="165"/>
      <c r="Z121" s="291">
        <v>124788</v>
      </c>
      <c r="AA121" s="293">
        <v>2754</v>
      </c>
      <c r="AB121" s="271">
        <v>43918</v>
      </c>
      <c r="AC121" t="s">
        <v>245</v>
      </c>
      <c r="AD121" s="69"/>
      <c r="AE121" s="69"/>
      <c r="AO121" s="69"/>
      <c r="AP121" s="69"/>
      <c r="AQ121" s="69"/>
      <c r="AR121" s="69"/>
      <c r="AS121" s="69"/>
      <c r="AT121" s="69"/>
      <c r="AU121" s="69"/>
      <c r="AV121" s="69"/>
      <c r="AW121" s="69"/>
      <c r="AX121" s="69"/>
      <c r="AY121" s="69"/>
      <c r="AZ121" s="69"/>
      <c r="BC121" s="69"/>
    </row>
    <row r="122" spans="3:55" x14ac:dyDescent="0.25">
      <c r="X122" s="236"/>
      <c r="Y122" s="165"/>
      <c r="Z122" s="291">
        <v>144980</v>
      </c>
      <c r="AA122" s="293">
        <v>3251</v>
      </c>
      <c r="AB122" s="296">
        <v>43919</v>
      </c>
      <c r="AC122" t="s">
        <v>528</v>
      </c>
      <c r="AD122" s="69"/>
      <c r="AE122" s="69"/>
      <c r="AO122" s="69"/>
      <c r="AP122" s="69"/>
      <c r="AQ122" s="69"/>
      <c r="AR122" s="69"/>
      <c r="AS122" s="69"/>
      <c r="AT122" s="69"/>
      <c r="AU122" s="69"/>
      <c r="AV122" s="69"/>
      <c r="AW122" s="69"/>
      <c r="AX122" s="69"/>
      <c r="AY122" s="69"/>
      <c r="AZ122" s="69"/>
      <c r="BC122" s="69"/>
    </row>
    <row r="123" spans="3:55" x14ac:dyDescent="0.25">
      <c r="Z123" s="291">
        <v>168177</v>
      </c>
      <c r="AA123" s="293">
        <v>4066</v>
      </c>
      <c r="AB123" s="296">
        <v>43920</v>
      </c>
      <c r="AC123" t="s">
        <v>527</v>
      </c>
      <c r="AD123" s="69"/>
      <c r="AE123" s="69"/>
      <c r="BC123" s="69"/>
    </row>
    <row r="124" spans="3:55" x14ac:dyDescent="0.25">
      <c r="Z124" s="291">
        <v>168177</v>
      </c>
      <c r="AA124" s="293">
        <v>4066</v>
      </c>
      <c r="AB124" s="270">
        <v>43920</v>
      </c>
      <c r="AC124" t="s">
        <v>251</v>
      </c>
      <c r="AD124" s="69"/>
      <c r="AE124" s="69"/>
      <c r="BA124" s="69"/>
      <c r="BB124" s="69"/>
      <c r="BC124" s="69"/>
    </row>
    <row r="125" spans="3:55" x14ac:dyDescent="0.25">
      <c r="Z125" s="291">
        <v>168177</v>
      </c>
      <c r="AA125" s="293">
        <v>4066</v>
      </c>
      <c r="AB125" s="270">
        <v>43920</v>
      </c>
      <c r="AC125" t="s">
        <v>324</v>
      </c>
      <c r="AD125" s="69"/>
      <c r="AE125" s="69"/>
      <c r="BC125" s="69"/>
    </row>
    <row r="126" spans="3:55" x14ac:dyDescent="0.25">
      <c r="Z126" s="291">
        <v>193353</v>
      </c>
      <c r="AA126" s="297">
        <v>5151</v>
      </c>
      <c r="AB126" s="296">
        <v>43921</v>
      </c>
      <c r="AC126" t="s">
        <v>530</v>
      </c>
      <c r="AD126" s="69"/>
      <c r="AE126" s="69"/>
      <c r="BC126" s="69"/>
    </row>
    <row r="127" spans="3:55" x14ac:dyDescent="0.25">
      <c r="Z127" s="291">
        <v>220295</v>
      </c>
      <c r="AA127" s="293">
        <v>6394</v>
      </c>
      <c r="AB127" s="150">
        <v>43922</v>
      </c>
      <c r="AC127" t="s">
        <v>525</v>
      </c>
      <c r="AD127" s="69"/>
      <c r="AE127" s="69"/>
      <c r="BC127" s="69"/>
    </row>
    <row r="128" spans="3:55" x14ac:dyDescent="0.25">
      <c r="Z128" s="291">
        <v>220295</v>
      </c>
      <c r="AA128" s="293">
        <v>6394</v>
      </c>
      <c r="AB128" s="339">
        <v>43922</v>
      </c>
      <c r="AC128" t="s">
        <v>526</v>
      </c>
      <c r="AD128" s="69"/>
      <c r="AE128" s="69"/>
      <c r="BC128" s="69"/>
    </row>
    <row r="129" spans="3:59" x14ac:dyDescent="0.25">
      <c r="AA129" s="290">
        <v>250708</v>
      </c>
      <c r="AB129" s="293">
        <v>7576</v>
      </c>
      <c r="AC129" s="270">
        <v>43923</v>
      </c>
      <c r="AD129" s="69" t="s">
        <v>305</v>
      </c>
      <c r="AE129" s="69"/>
      <c r="AF129" s="69"/>
      <c r="AG129" s="69"/>
      <c r="AI129" s="69"/>
      <c r="BC129" s="69"/>
    </row>
    <row r="130" spans="3:59" x14ac:dyDescent="0.25">
      <c r="AA130" s="291">
        <v>283477</v>
      </c>
      <c r="AB130" s="293">
        <v>8839</v>
      </c>
      <c r="AC130" s="158">
        <v>43924</v>
      </c>
      <c r="AD130" s="159" t="s">
        <v>222</v>
      </c>
      <c r="AE130" s="158">
        <v>43938</v>
      </c>
      <c r="AF130" s="69"/>
      <c r="AG130" s="69"/>
      <c r="AI130" s="69"/>
      <c r="AJ130" s="69"/>
      <c r="AK130" s="69"/>
      <c r="AL130" s="69"/>
      <c r="AM130" s="69"/>
      <c r="AN130" s="69"/>
      <c r="BC130" s="69"/>
    </row>
    <row r="131" spans="3:59" x14ac:dyDescent="0.25">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291">
        <v>317994</v>
      </c>
      <c r="AB131" s="292">
        <v>10384</v>
      </c>
      <c r="AC131" s="270">
        <v>43925</v>
      </c>
      <c r="AD131" t="s">
        <v>224</v>
      </c>
      <c r="AH131" s="69"/>
      <c r="AI131" s="69"/>
      <c r="BC131" s="69"/>
      <c r="BD131" s="69"/>
      <c r="BE131" s="69"/>
      <c r="BF131" s="69"/>
      <c r="BG131" s="69"/>
    </row>
    <row r="132" spans="3:59" s="69" customFormat="1" x14ac:dyDescent="0.25">
      <c r="AA132" s="291">
        <v>343747</v>
      </c>
      <c r="AB132" s="293">
        <v>11793</v>
      </c>
      <c r="AC132" s="296">
        <v>43926</v>
      </c>
      <c r="AD132" t="s">
        <v>531</v>
      </c>
      <c r="AE132"/>
      <c r="AF132"/>
      <c r="AG132"/>
      <c r="AJ132"/>
      <c r="AK132"/>
      <c r="AL132"/>
      <c r="AM132"/>
      <c r="AN132"/>
      <c r="AO132"/>
      <c r="AP132"/>
      <c r="AQ132"/>
      <c r="AR132"/>
      <c r="AS132"/>
      <c r="AT132"/>
      <c r="AU132"/>
      <c r="AV132"/>
      <c r="AW132"/>
      <c r="AX132"/>
      <c r="AY132"/>
      <c r="AZ132"/>
      <c r="BA132"/>
      <c r="BB132"/>
    </row>
    <row r="133" spans="3:59" x14ac:dyDescent="0.25">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291">
        <v>343747</v>
      </c>
      <c r="AB133" s="293">
        <v>11793</v>
      </c>
      <c r="AC133" s="165">
        <v>43926</v>
      </c>
      <c r="AD133" t="s">
        <v>326</v>
      </c>
      <c r="AH133" s="69"/>
      <c r="AI133" s="69"/>
      <c r="AQ133" s="69"/>
      <c r="AR133" s="69"/>
      <c r="AS133" s="69"/>
      <c r="AT133" s="69"/>
      <c r="AU133" s="69"/>
      <c r="AV133" s="69"/>
      <c r="AW133" s="69"/>
      <c r="AX133" s="69"/>
      <c r="AY133" s="69"/>
      <c r="AZ133" s="69"/>
      <c r="BD133" s="69"/>
      <c r="BE133" s="69"/>
      <c r="BF133" s="69"/>
      <c r="BG133" s="69"/>
    </row>
    <row r="134" spans="3:59" x14ac:dyDescent="0.25">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291">
        <v>375348</v>
      </c>
      <c r="AB134" s="293">
        <v>13298</v>
      </c>
      <c r="AC134" s="296">
        <v>43927</v>
      </c>
      <c r="AD134" t="s">
        <v>532</v>
      </c>
      <c r="AH134" s="69"/>
      <c r="AI134" s="69"/>
      <c r="AQ134" s="69"/>
      <c r="AR134" s="69"/>
      <c r="AS134" s="69"/>
      <c r="AT134" s="69"/>
      <c r="AU134" s="69"/>
      <c r="AV134" s="69"/>
      <c r="AW134" s="69"/>
      <c r="AX134" s="69"/>
      <c r="AY134" s="69"/>
      <c r="AZ134" s="69"/>
      <c r="BD134" s="69"/>
      <c r="BE134" s="69"/>
      <c r="BF134" s="69"/>
      <c r="BG134" s="69"/>
    </row>
    <row r="135" spans="3:59" x14ac:dyDescent="0.25">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291">
        <v>441569</v>
      </c>
      <c r="AB135" s="293">
        <v>17691</v>
      </c>
      <c r="AC135" s="150">
        <v>43929</v>
      </c>
      <c r="AD135" t="s">
        <v>515</v>
      </c>
      <c r="AH135" s="69"/>
      <c r="AI135" s="69"/>
      <c r="AQ135" s="69"/>
      <c r="AR135" s="69"/>
      <c r="AS135" s="69"/>
      <c r="AT135" s="69"/>
      <c r="AU135" s="69"/>
      <c r="AV135" s="69"/>
      <c r="AW135" s="69"/>
      <c r="AX135" s="69"/>
      <c r="AY135" s="69"/>
      <c r="AZ135" s="69"/>
      <c r="BD135" s="69"/>
      <c r="BE135" s="69"/>
      <c r="BF135" s="69"/>
      <c r="BG135" s="69"/>
    </row>
    <row r="136" spans="3:59" x14ac:dyDescent="0.25">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290">
        <v>509604</v>
      </c>
      <c r="AB136" s="293">
        <v>22038</v>
      </c>
      <c r="AC136" s="339">
        <v>43931</v>
      </c>
      <c r="AD136" t="s">
        <v>524</v>
      </c>
      <c r="AH136" s="69"/>
      <c r="AI136" s="69"/>
      <c r="AQ136" s="69"/>
      <c r="AR136" s="69"/>
      <c r="AS136" s="69"/>
      <c r="AT136" s="69"/>
      <c r="AU136" s="69"/>
      <c r="AV136" s="69"/>
      <c r="AW136" s="69"/>
      <c r="AX136" s="69"/>
      <c r="AY136" s="69"/>
      <c r="AZ136" s="69"/>
      <c r="BD136" s="69"/>
      <c r="BE136" s="69"/>
      <c r="BF136" s="69"/>
      <c r="BG136" s="69"/>
    </row>
    <row r="137" spans="3:59" x14ac:dyDescent="0.25">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291">
        <v>539942</v>
      </c>
      <c r="AC137" s="293">
        <v>24062</v>
      </c>
      <c r="AD137" s="270">
        <v>43932</v>
      </c>
      <c r="AE137" t="s">
        <v>233</v>
      </c>
      <c r="AH137" s="69"/>
      <c r="AI137" s="69"/>
      <c r="BD137" s="69"/>
      <c r="BE137" s="69"/>
      <c r="BF137" s="69"/>
      <c r="BG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291">
        <v>567708</v>
      </c>
      <c r="AC138" s="297">
        <v>25789</v>
      </c>
      <c r="AD138" s="296">
        <v>43933</v>
      </c>
      <c r="AE138" t="s">
        <v>533</v>
      </c>
      <c r="AH138" s="69"/>
      <c r="AI138" s="69"/>
      <c r="BD138" s="69"/>
      <c r="BE138" s="69"/>
      <c r="BF138" s="69"/>
      <c r="BG138" s="69"/>
    </row>
    <row r="139" spans="3:59" x14ac:dyDescent="0.25">
      <c r="AB139" s="291">
        <v>594693</v>
      </c>
      <c r="AC139" s="293">
        <v>27515</v>
      </c>
      <c r="AD139" s="270">
        <v>43934</v>
      </c>
      <c r="AE139" t="s">
        <v>225</v>
      </c>
      <c r="BD139" s="69"/>
      <c r="BE139" s="69"/>
      <c r="BF139" s="69"/>
      <c r="BG139" s="69"/>
    </row>
    <row r="140" spans="3:59" x14ac:dyDescent="0.25">
      <c r="AB140" s="291">
        <v>621953</v>
      </c>
      <c r="AC140" s="293">
        <v>30081</v>
      </c>
      <c r="AD140" s="217">
        <v>43935</v>
      </c>
      <c r="AE140" t="s">
        <v>249</v>
      </c>
      <c r="BD140" s="69"/>
      <c r="BE140" s="69"/>
      <c r="BF140" s="69"/>
      <c r="BG140" s="69"/>
    </row>
    <row r="141" spans="3:59" x14ac:dyDescent="0.25">
      <c r="AC141" s="291">
        <v>652474</v>
      </c>
      <c r="AD141" s="293">
        <v>32712</v>
      </c>
      <c r="AE141" s="270">
        <v>43936</v>
      </c>
      <c r="AF141" s="69" t="s">
        <v>250</v>
      </c>
      <c r="AO141" s="69"/>
      <c r="AP141" s="69"/>
      <c r="AQ141" s="69"/>
      <c r="AR141" s="69"/>
      <c r="AS141" s="69"/>
      <c r="AT141" s="69"/>
      <c r="AU141" s="69"/>
      <c r="AV141" s="69"/>
      <c r="AW141" s="69"/>
      <c r="AX141" s="69"/>
      <c r="AY141" s="69"/>
      <c r="AZ141" s="69"/>
      <c r="BD141" s="69"/>
      <c r="BE141" s="69"/>
      <c r="BF141" s="69"/>
      <c r="BG141" s="69"/>
    </row>
    <row r="142" spans="3:59" x14ac:dyDescent="0.25">
      <c r="AC142" s="291">
        <v>652474</v>
      </c>
      <c r="AD142" s="293">
        <v>32712</v>
      </c>
      <c r="AE142" s="270">
        <v>43936</v>
      </c>
      <c r="AF142" t="s">
        <v>255</v>
      </c>
      <c r="BD142" s="69"/>
      <c r="BE142" s="69"/>
      <c r="BF142" s="69"/>
      <c r="BG142" s="69"/>
    </row>
    <row r="143" spans="3:59" x14ac:dyDescent="0.25">
      <c r="AC143" s="291">
        <v>652474</v>
      </c>
      <c r="AD143" s="293">
        <v>32712</v>
      </c>
      <c r="AE143" s="270">
        <v>43936</v>
      </c>
      <c r="AF143" t="s">
        <v>253</v>
      </c>
      <c r="AI143" s="69"/>
      <c r="BD143" s="69"/>
      <c r="BE143" s="69"/>
      <c r="BF143" s="69"/>
      <c r="BG143" s="69"/>
    </row>
    <row r="144" spans="3:59" x14ac:dyDescent="0.25">
      <c r="AC144" s="291">
        <v>652474</v>
      </c>
      <c r="AD144" s="293">
        <v>32712</v>
      </c>
      <c r="AE144" s="217">
        <v>43936</v>
      </c>
      <c r="AF144" t="s">
        <v>322</v>
      </c>
      <c r="AH144" s="217">
        <f>AE144+14</f>
        <v>43950</v>
      </c>
      <c r="AI144" s="69"/>
      <c r="BA144" s="69"/>
      <c r="BB144" s="69"/>
      <c r="BC144" s="69"/>
      <c r="BD144" s="69"/>
      <c r="BE144" s="69"/>
      <c r="BF144" s="69"/>
      <c r="BG144" s="69"/>
    </row>
    <row r="145" spans="3:59" x14ac:dyDescent="0.25">
      <c r="AC145" s="291">
        <v>682454</v>
      </c>
      <c r="AD145" s="293">
        <v>34905</v>
      </c>
      <c r="AE145" s="270">
        <v>43937</v>
      </c>
      <c r="AF145" t="s">
        <v>296</v>
      </c>
      <c r="BD145" s="69"/>
      <c r="BE145" s="69"/>
      <c r="BF145" s="69"/>
      <c r="BG145" s="69"/>
    </row>
    <row r="146" spans="3:59" x14ac:dyDescent="0.25">
      <c r="AC146" s="291">
        <v>714822</v>
      </c>
      <c r="AD146" s="293">
        <v>37448</v>
      </c>
      <c r="AE146" s="296">
        <v>43938</v>
      </c>
      <c r="AF146" t="s">
        <v>534</v>
      </c>
      <c r="BD146" s="69"/>
      <c r="BE146" s="69"/>
      <c r="BF146" s="69"/>
      <c r="BG146" s="69"/>
    </row>
    <row r="147" spans="3:59" x14ac:dyDescent="0.25">
      <c r="AC147" s="291">
        <v>714822</v>
      </c>
      <c r="AD147" s="293">
        <v>37448</v>
      </c>
      <c r="AE147" s="270">
        <v>43938</v>
      </c>
      <c r="AF147" t="s">
        <v>252</v>
      </c>
      <c r="BD147" s="69"/>
      <c r="BE147" s="69"/>
      <c r="BF147" s="69"/>
      <c r="BG147" s="69"/>
    </row>
    <row r="148" spans="3:59" x14ac:dyDescent="0.25">
      <c r="AC148" s="291">
        <v>714822</v>
      </c>
      <c r="AD148" s="293">
        <v>37448</v>
      </c>
      <c r="AE148" s="270">
        <v>43938</v>
      </c>
      <c r="AF148" t="s">
        <v>354</v>
      </c>
      <c r="AJ148" s="69"/>
      <c r="AK148" s="69"/>
      <c r="AL148" s="69"/>
      <c r="AM148" s="69"/>
      <c r="AN148" s="69"/>
      <c r="AO148" s="69"/>
      <c r="AP148" s="69"/>
      <c r="AQ148" s="69"/>
      <c r="AR148" s="69"/>
      <c r="AS148" s="69"/>
      <c r="AT148" s="69"/>
      <c r="AU148" s="69"/>
      <c r="AV148" s="69"/>
      <c r="AW148" s="69"/>
      <c r="AX148" s="69"/>
      <c r="AY148" s="69"/>
      <c r="AZ148" s="69"/>
      <c r="BD148" s="69"/>
      <c r="BE148" s="69"/>
      <c r="BF148" s="69"/>
      <c r="BG148" s="69"/>
    </row>
    <row r="149" spans="3:59" x14ac:dyDescent="0.25">
      <c r="AC149" s="291">
        <v>743901</v>
      </c>
      <c r="AD149" s="293">
        <v>39331</v>
      </c>
      <c r="AE149" s="296">
        <v>43939</v>
      </c>
      <c r="AF149" t="s">
        <v>535</v>
      </c>
      <c r="AJ149" s="69"/>
      <c r="AK149" s="69"/>
      <c r="AL149" s="69"/>
      <c r="AM149" s="69"/>
      <c r="AN149" s="69"/>
      <c r="AO149" s="69"/>
      <c r="AP149" s="69"/>
      <c r="AQ149" s="69"/>
      <c r="AR149" s="69"/>
      <c r="AS149" s="69"/>
      <c r="AT149" s="69"/>
      <c r="AU149" s="69"/>
      <c r="AV149" s="69"/>
      <c r="AW149" s="69"/>
      <c r="AX149" s="69"/>
      <c r="AY149" s="69"/>
      <c r="AZ149" s="69"/>
      <c r="BD149" s="69"/>
      <c r="BE149" s="69"/>
      <c r="BF149" s="69"/>
      <c r="BG149" s="69"/>
    </row>
    <row r="150" spans="3:59" x14ac:dyDescent="0.25">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291">
        <v>743901</v>
      </c>
      <c r="AD150" s="293">
        <v>39331</v>
      </c>
      <c r="AE150" s="270">
        <v>43939</v>
      </c>
      <c r="AF150" s="69" t="s">
        <v>258</v>
      </c>
      <c r="AJ150" s="69"/>
      <c r="AK150" s="69"/>
      <c r="AL150" s="69"/>
      <c r="AM150" s="69"/>
      <c r="AN150" s="69"/>
      <c r="BC150" s="69"/>
    </row>
    <row r="151" spans="3:59" x14ac:dyDescent="0.25">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291">
        <v>743901</v>
      </c>
      <c r="AD151" s="293">
        <v>39331</v>
      </c>
      <c r="AE151" s="270">
        <v>43939</v>
      </c>
      <c r="AF151" s="69" t="s">
        <v>363</v>
      </c>
      <c r="AJ151" s="69"/>
      <c r="AK151" s="69"/>
      <c r="AL151" s="69"/>
      <c r="AM151" s="69"/>
      <c r="AN151" s="69"/>
      <c r="BC151" s="69"/>
    </row>
    <row r="152" spans="3:59" x14ac:dyDescent="0.25">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D152" s="291">
        <v>770014</v>
      </c>
      <c r="AE152" s="293">
        <v>40901</v>
      </c>
      <c r="AF152" s="270">
        <v>43940</v>
      </c>
      <c r="AG152" s="47" t="s">
        <v>508</v>
      </c>
      <c r="AJ152" s="69"/>
      <c r="AK152" s="69"/>
      <c r="AL152" s="69"/>
      <c r="AM152" s="69"/>
      <c r="AN152" s="69"/>
      <c r="BC152" s="69"/>
    </row>
    <row r="153" spans="3:59" x14ac:dyDescent="0.25">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291">
        <v>798145</v>
      </c>
      <c r="AE153" s="293">
        <v>42853</v>
      </c>
      <c r="AF153" s="270">
        <v>43941</v>
      </c>
      <c r="AG153" s="69" t="s">
        <v>306</v>
      </c>
      <c r="AJ153" s="69"/>
      <c r="AK153" s="69"/>
      <c r="AL153" s="69"/>
      <c r="AM153" s="69"/>
      <c r="AN153" s="69"/>
    </row>
    <row r="154" spans="3:59" x14ac:dyDescent="0.25">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291">
        <v>798145</v>
      </c>
      <c r="AE154" s="293">
        <v>42853</v>
      </c>
      <c r="AF154" s="270">
        <v>43941</v>
      </c>
      <c r="AG154" s="69" t="s">
        <v>523</v>
      </c>
      <c r="AJ154" s="69"/>
      <c r="AK154" s="69"/>
      <c r="AL154" s="69"/>
      <c r="AM154" s="69"/>
      <c r="AN154" s="69"/>
    </row>
    <row r="155" spans="3:59" x14ac:dyDescent="0.25">
      <c r="AD155" s="291">
        <v>824229</v>
      </c>
      <c r="AE155" s="293">
        <v>45536</v>
      </c>
      <c r="AF155" s="217">
        <v>43942</v>
      </c>
      <c r="AG155" t="s">
        <v>295</v>
      </c>
      <c r="AH155" s="69"/>
      <c r="AI155" s="69"/>
      <c r="AJ155" s="69"/>
      <c r="AK155" s="69"/>
      <c r="AL155" s="69"/>
      <c r="AM155" s="69"/>
      <c r="AN155" s="69"/>
      <c r="BA155" s="69"/>
      <c r="BB155" s="69"/>
    </row>
    <row r="156" spans="3:59" x14ac:dyDescent="0.25">
      <c r="AD156" s="291">
        <v>854385</v>
      </c>
      <c r="AE156" s="293">
        <v>47894</v>
      </c>
      <c r="AF156" s="217">
        <v>43943</v>
      </c>
      <c r="AG156" t="s">
        <v>292</v>
      </c>
      <c r="BA156" s="69"/>
      <c r="BB156" s="69"/>
    </row>
    <row r="157" spans="3:59" x14ac:dyDescent="0.25">
      <c r="AD157" s="291">
        <v>854385</v>
      </c>
      <c r="AE157" s="293">
        <v>47894</v>
      </c>
      <c r="AF157" s="270">
        <v>43943</v>
      </c>
      <c r="AG157" s="69" t="s">
        <v>304</v>
      </c>
      <c r="BA157" s="69"/>
      <c r="BB157" s="69"/>
    </row>
    <row r="158" spans="3:59" x14ac:dyDescent="0.25">
      <c r="AD158" s="291">
        <v>854385</v>
      </c>
      <c r="AE158" s="293">
        <v>47894</v>
      </c>
      <c r="AF158" s="270">
        <v>43943</v>
      </c>
      <c r="AG158" t="s">
        <v>290</v>
      </c>
      <c r="BA158" s="69"/>
      <c r="BB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91">
        <v>886274</v>
      </c>
      <c r="AF159" s="292">
        <v>50234</v>
      </c>
      <c r="AG159" s="270">
        <v>43944</v>
      </c>
      <c r="AH159" t="s">
        <v>293</v>
      </c>
      <c r="BA159" s="69"/>
      <c r="BB159" s="69"/>
    </row>
    <row r="160" spans="3:59"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291">
        <v>886274</v>
      </c>
      <c r="AF160" s="293">
        <v>50234</v>
      </c>
      <c r="AG160" s="270">
        <v>43944</v>
      </c>
      <c r="AH160" t="s">
        <v>294</v>
      </c>
      <c r="AK160" s="69"/>
      <c r="AL160" s="69"/>
      <c r="AM160" s="69"/>
      <c r="AN160" s="69"/>
    </row>
    <row r="161" spans="3:59" x14ac:dyDescent="0.25">
      <c r="AE161" s="291">
        <v>886274</v>
      </c>
      <c r="AF161" s="293">
        <v>50234</v>
      </c>
      <c r="AG161" s="217">
        <v>43944</v>
      </c>
      <c r="AH161" t="s">
        <v>321</v>
      </c>
      <c r="AK161" s="69"/>
      <c r="AL161" s="69"/>
      <c r="AM161" s="69"/>
      <c r="AN161" s="69"/>
    </row>
    <row r="162" spans="3:59" x14ac:dyDescent="0.25">
      <c r="AE162" s="291">
        <v>925232</v>
      </c>
      <c r="AF162" s="293">
        <v>52191</v>
      </c>
      <c r="AG162" s="270">
        <v>43945</v>
      </c>
      <c r="AH162" t="s">
        <v>307</v>
      </c>
    </row>
    <row r="163" spans="3:59" x14ac:dyDescent="0.25">
      <c r="AE163" s="291">
        <v>925232</v>
      </c>
      <c r="AF163" s="293">
        <v>52191</v>
      </c>
      <c r="AG163" s="270">
        <v>43945</v>
      </c>
      <c r="AH163" t="s">
        <v>509</v>
      </c>
    </row>
    <row r="164" spans="3:59" x14ac:dyDescent="0.25">
      <c r="AE164" s="291">
        <v>925232</v>
      </c>
      <c r="AF164" s="293">
        <v>52191</v>
      </c>
      <c r="AG164" s="217">
        <v>43945</v>
      </c>
      <c r="AH164" s="69" t="s">
        <v>312</v>
      </c>
    </row>
    <row r="165" spans="3:59" x14ac:dyDescent="0.25">
      <c r="AE165" s="291">
        <v>925232</v>
      </c>
      <c r="AF165" s="293">
        <v>52191</v>
      </c>
      <c r="AG165" s="217">
        <v>43945</v>
      </c>
      <c r="AH165" s="69" t="s">
        <v>397</v>
      </c>
    </row>
    <row r="166" spans="3:59" x14ac:dyDescent="0.25">
      <c r="AE166" s="291">
        <v>925232</v>
      </c>
      <c r="AF166" s="293">
        <v>52191</v>
      </c>
      <c r="AG166" s="217">
        <v>43945</v>
      </c>
      <c r="AH166" s="69" t="s">
        <v>416</v>
      </c>
    </row>
    <row r="167" spans="3:59" x14ac:dyDescent="0.25">
      <c r="AE167" s="291">
        <v>960651</v>
      </c>
      <c r="AF167" s="293">
        <v>54191</v>
      </c>
      <c r="AG167" s="165">
        <v>43946</v>
      </c>
      <c r="AH167" s="69" t="s">
        <v>309</v>
      </c>
      <c r="AO167" s="69"/>
      <c r="AP167" s="69"/>
      <c r="AQ167" s="69"/>
      <c r="AR167" s="69"/>
      <c r="AS167" s="69"/>
      <c r="AT167" s="69"/>
      <c r="AU167" s="69"/>
      <c r="AV167" s="69"/>
      <c r="AW167" s="69"/>
      <c r="AX167" s="69"/>
      <c r="AY167" s="69"/>
      <c r="AZ167" s="69"/>
    </row>
    <row r="168" spans="3:59" x14ac:dyDescent="0.25">
      <c r="AE168" s="291">
        <v>960651</v>
      </c>
      <c r="AF168" s="293">
        <v>54191</v>
      </c>
      <c r="AG168" s="271">
        <v>43946</v>
      </c>
      <c r="AH168" s="69" t="s">
        <v>315</v>
      </c>
      <c r="AO168" s="69"/>
      <c r="AP168" s="69"/>
      <c r="AQ168" s="69"/>
      <c r="AR168" s="69"/>
      <c r="AS168" s="69"/>
      <c r="AT168" s="69"/>
      <c r="AU168" s="69"/>
      <c r="AV168" s="69"/>
      <c r="AW168" s="69"/>
      <c r="AX168" s="69"/>
      <c r="AY168" s="69"/>
      <c r="AZ168" s="69"/>
      <c r="BA168" s="69"/>
      <c r="BB168" s="69"/>
    </row>
    <row r="169" spans="3:59" s="69" customFormat="1" x14ac:dyDescent="0.25">
      <c r="C169"/>
      <c r="D169"/>
      <c r="E169"/>
      <c r="F169"/>
      <c r="G169"/>
      <c r="H169"/>
      <c r="I169"/>
      <c r="J169"/>
      <c r="K169"/>
      <c r="L169"/>
      <c r="M169"/>
      <c r="N169"/>
      <c r="O169"/>
      <c r="P169"/>
      <c r="Q169"/>
      <c r="R169"/>
      <c r="S169"/>
      <c r="T169"/>
      <c r="U169"/>
      <c r="V169"/>
      <c r="W169"/>
      <c r="X169"/>
      <c r="Y169"/>
      <c r="Z169"/>
      <c r="AA169"/>
      <c r="AB169"/>
      <c r="AC169"/>
      <c r="AD169"/>
      <c r="AE169" s="291">
        <v>960651</v>
      </c>
      <c r="AF169" s="293">
        <v>54191</v>
      </c>
      <c r="AG169" s="271">
        <v>43946</v>
      </c>
      <c r="AH169" s="69" t="s">
        <v>314</v>
      </c>
      <c r="AI169"/>
      <c r="AJ169"/>
      <c r="AK169"/>
      <c r="AL169"/>
      <c r="AM169"/>
      <c r="AN169"/>
      <c r="BA169"/>
      <c r="BB169"/>
      <c r="BC169"/>
    </row>
    <row r="170" spans="3:59" s="69" customFormat="1" x14ac:dyDescent="0.25">
      <c r="C170"/>
      <c r="D170"/>
      <c r="E170"/>
      <c r="F170"/>
      <c r="G170"/>
      <c r="H170"/>
      <c r="I170"/>
      <c r="J170"/>
      <c r="K170"/>
      <c r="L170"/>
      <c r="M170"/>
      <c r="N170"/>
      <c r="O170"/>
      <c r="P170"/>
      <c r="Q170"/>
      <c r="R170"/>
      <c r="S170"/>
      <c r="T170"/>
      <c r="U170"/>
      <c r="V170"/>
      <c r="W170"/>
      <c r="X170"/>
      <c r="Y170"/>
      <c r="Z170"/>
      <c r="AA170"/>
      <c r="AB170"/>
      <c r="AC170"/>
      <c r="AD170"/>
      <c r="AE170"/>
      <c r="AF170" s="290">
        <v>1010356</v>
      </c>
      <c r="AG170" s="293">
        <v>56795</v>
      </c>
      <c r="AH170" s="271">
        <v>43948</v>
      </c>
      <c r="AI170" t="s">
        <v>313</v>
      </c>
      <c r="AJ170"/>
      <c r="AK170"/>
      <c r="AL170"/>
      <c r="AM170"/>
      <c r="AN170"/>
      <c r="BA170"/>
      <c r="BB170"/>
      <c r="BC170"/>
      <c r="BD170"/>
      <c r="BE170"/>
      <c r="BF170"/>
      <c r="BG170"/>
    </row>
    <row r="171" spans="3:59" s="69" customFormat="1" x14ac:dyDescent="0.25">
      <c r="C171"/>
      <c r="D171"/>
      <c r="E171"/>
      <c r="F171"/>
      <c r="G171"/>
      <c r="H171"/>
      <c r="I171"/>
      <c r="J171"/>
      <c r="K171"/>
      <c r="L171"/>
      <c r="M171"/>
      <c r="N171"/>
      <c r="O171"/>
      <c r="P171"/>
      <c r="Q171"/>
      <c r="R171"/>
      <c r="S171"/>
      <c r="T171"/>
      <c r="U171"/>
      <c r="V171"/>
      <c r="W171"/>
      <c r="X171"/>
      <c r="Y171"/>
      <c r="Z171"/>
      <c r="AA171"/>
      <c r="AB171"/>
      <c r="AC171"/>
      <c r="AD171"/>
      <c r="AE171"/>
      <c r="AF171" s="291">
        <v>1010356</v>
      </c>
      <c r="AG171" s="293">
        <v>56795</v>
      </c>
      <c r="AH171" s="270">
        <v>43948</v>
      </c>
      <c r="AI171" s="69" t="s">
        <v>303</v>
      </c>
      <c r="AJ171"/>
      <c r="AK171"/>
      <c r="AL171"/>
      <c r="AM171"/>
      <c r="AN171"/>
      <c r="AO171"/>
      <c r="AP171"/>
      <c r="AQ171" s="217"/>
      <c r="AR171" s="217"/>
      <c r="AS171" s="217"/>
      <c r="AT171" s="217"/>
      <c r="AU171" s="217"/>
      <c r="AV171"/>
      <c r="AW171"/>
      <c r="AX171"/>
      <c r="AY171"/>
      <c r="AZ171"/>
      <c r="BA171"/>
      <c r="BB171"/>
      <c r="BC171"/>
      <c r="BD171"/>
      <c r="BE171"/>
      <c r="BF171"/>
      <c r="BG171"/>
    </row>
    <row r="172" spans="3:59" s="69" customFormat="1" x14ac:dyDescent="0.25">
      <c r="C172"/>
      <c r="D172"/>
      <c r="E172"/>
      <c r="F172"/>
      <c r="G172"/>
      <c r="H172"/>
      <c r="I172"/>
      <c r="J172"/>
      <c r="K172"/>
      <c r="L172"/>
      <c r="M172"/>
      <c r="N172"/>
      <c r="O172"/>
      <c r="P172"/>
      <c r="Q172"/>
      <c r="R172"/>
      <c r="S172"/>
      <c r="T172"/>
      <c r="U172"/>
      <c r="V172"/>
      <c r="W172"/>
      <c r="X172"/>
      <c r="Y172"/>
      <c r="Z172"/>
      <c r="AA172"/>
      <c r="AB172"/>
      <c r="AC172"/>
      <c r="AD172"/>
      <c r="AF172" s="291">
        <v>1035765</v>
      </c>
      <c r="AG172" s="293">
        <v>59265</v>
      </c>
      <c r="AH172" s="192">
        <v>43949</v>
      </c>
      <c r="AI172" t="s">
        <v>536</v>
      </c>
      <c r="AJ172"/>
      <c r="AO172"/>
      <c r="AP172"/>
      <c r="AQ172"/>
      <c r="AR172"/>
      <c r="AS172"/>
      <c r="AT172"/>
      <c r="AU172"/>
      <c r="AV172"/>
      <c r="AW172"/>
      <c r="AX172"/>
      <c r="AY172"/>
      <c r="AZ172"/>
      <c r="BA172"/>
      <c r="BB172"/>
      <c r="BC172"/>
      <c r="BD172"/>
      <c r="BE172"/>
      <c r="BF172"/>
      <c r="BG172"/>
    </row>
    <row r="173" spans="3:59" s="69" customFormat="1" x14ac:dyDescent="0.25">
      <c r="C173"/>
      <c r="D173"/>
      <c r="E173"/>
      <c r="F173"/>
      <c r="G173"/>
      <c r="H173"/>
      <c r="I173"/>
      <c r="J173"/>
      <c r="K173"/>
      <c r="L173"/>
      <c r="M173"/>
      <c r="N173"/>
      <c r="O173"/>
      <c r="P173"/>
      <c r="Q173"/>
      <c r="R173"/>
      <c r="S173"/>
      <c r="T173"/>
      <c r="U173"/>
      <c r="V173"/>
      <c r="W173"/>
      <c r="X173"/>
      <c r="Y173"/>
      <c r="Z173"/>
      <c r="AA173"/>
      <c r="AB173"/>
      <c r="AC173"/>
      <c r="AD173"/>
      <c r="AE173"/>
      <c r="AF173" s="291">
        <v>1035765</v>
      </c>
      <c r="AG173" s="293">
        <v>59265</v>
      </c>
      <c r="AH173" s="270">
        <v>43949</v>
      </c>
      <c r="AI173" t="s">
        <v>310</v>
      </c>
      <c r="AL173"/>
      <c r="AM173"/>
      <c r="AN173"/>
      <c r="AO173"/>
      <c r="AP173"/>
      <c r="AQ173"/>
      <c r="AR173"/>
      <c r="AS173"/>
      <c r="AT173"/>
      <c r="AU173"/>
      <c r="AV173"/>
      <c r="AW173"/>
      <c r="AX173"/>
      <c r="AY173"/>
      <c r="AZ173"/>
      <c r="BC173"/>
      <c r="BD173"/>
      <c r="BE173"/>
      <c r="BF173"/>
      <c r="BG173"/>
    </row>
    <row r="174" spans="3:59" s="69" customFormat="1" x14ac:dyDescent="0.25">
      <c r="C174"/>
      <c r="D174"/>
      <c r="E174"/>
      <c r="F174"/>
      <c r="G174"/>
      <c r="H174"/>
      <c r="I174"/>
      <c r="J174"/>
      <c r="K174"/>
      <c r="L174"/>
      <c r="M174"/>
      <c r="N174"/>
      <c r="O174"/>
      <c r="P174"/>
      <c r="Q174"/>
      <c r="R174"/>
      <c r="S174"/>
      <c r="T174"/>
      <c r="U174"/>
      <c r="V174"/>
      <c r="W174"/>
      <c r="X174"/>
      <c r="Y174"/>
      <c r="Z174"/>
      <c r="AA174"/>
      <c r="AB174"/>
      <c r="AC174"/>
      <c r="AD174"/>
      <c r="AE174"/>
      <c r="AF174" s="291">
        <v>1035765</v>
      </c>
      <c r="AG174" s="293">
        <v>59265</v>
      </c>
      <c r="AH174" s="217">
        <v>43949</v>
      </c>
      <c r="AI174" t="s">
        <v>320</v>
      </c>
      <c r="AJ174"/>
      <c r="AK174"/>
      <c r="AL174"/>
      <c r="AM174"/>
      <c r="AN174"/>
      <c r="AO174"/>
      <c r="AP174"/>
      <c r="AQ174"/>
      <c r="AR174"/>
      <c r="AS174"/>
      <c r="AT174"/>
      <c r="AU174"/>
      <c r="AV174"/>
      <c r="AW174"/>
      <c r="AX174"/>
      <c r="AY174"/>
      <c r="AZ174"/>
      <c r="BA174"/>
      <c r="BB174"/>
      <c r="BC174"/>
      <c r="BD174"/>
      <c r="BE174"/>
      <c r="BF174"/>
      <c r="BG174"/>
    </row>
    <row r="175" spans="3:59" s="69" customFormat="1" x14ac:dyDescent="0.25">
      <c r="C175"/>
      <c r="D175"/>
      <c r="E175"/>
      <c r="F175"/>
      <c r="G175"/>
      <c r="H175"/>
      <c r="I175"/>
      <c r="J175"/>
      <c r="K175"/>
      <c r="L175"/>
      <c r="M175"/>
      <c r="N175"/>
      <c r="O175"/>
      <c r="P175"/>
      <c r="Q175"/>
      <c r="R175"/>
      <c r="S175"/>
      <c r="T175"/>
      <c r="U175"/>
      <c r="V175"/>
      <c r="W175"/>
      <c r="X175"/>
      <c r="Y175"/>
      <c r="Z175"/>
      <c r="AA175"/>
      <c r="AB175"/>
      <c r="AC175"/>
      <c r="AD175"/>
      <c r="AE175"/>
      <c r="AF175" s="291">
        <v>1064194</v>
      </c>
      <c r="AG175" s="293">
        <v>61655</v>
      </c>
      <c r="AH175" s="192">
        <v>43950</v>
      </c>
      <c r="AI175" t="s">
        <v>537</v>
      </c>
      <c r="AJ175"/>
      <c r="AK175"/>
      <c r="AL175"/>
      <c r="AM175"/>
      <c r="AN175"/>
      <c r="AO175"/>
      <c r="AP175"/>
      <c r="AQ175"/>
      <c r="AR175"/>
      <c r="AS175"/>
      <c r="AT175"/>
      <c r="AU175"/>
      <c r="AV175"/>
      <c r="AW175"/>
      <c r="AX175"/>
      <c r="AY175"/>
      <c r="AZ175"/>
      <c r="BA175"/>
      <c r="BB175"/>
      <c r="BC175"/>
      <c r="BD175"/>
      <c r="BE175"/>
      <c r="BF175"/>
      <c r="BG175"/>
    </row>
    <row r="176" spans="3:59" s="69" customFormat="1" x14ac:dyDescent="0.25">
      <c r="C176"/>
      <c r="D176"/>
      <c r="E176"/>
      <c r="F176"/>
      <c r="G176"/>
      <c r="H176"/>
      <c r="I176"/>
      <c r="J176"/>
      <c r="K176"/>
      <c r="L176"/>
      <c r="M176"/>
      <c r="N176"/>
      <c r="O176"/>
      <c r="P176"/>
      <c r="Q176"/>
      <c r="R176"/>
      <c r="S176"/>
      <c r="T176"/>
      <c r="U176"/>
      <c r="V176"/>
      <c r="W176"/>
      <c r="X176"/>
      <c r="Y176"/>
      <c r="Z176"/>
      <c r="AA176"/>
      <c r="AB176"/>
      <c r="AC176"/>
      <c r="AD176"/>
      <c r="AE176"/>
      <c r="AF176" s="291">
        <v>1064194</v>
      </c>
      <c r="AG176" s="293">
        <v>61655</v>
      </c>
      <c r="AH176" s="270">
        <v>43950</v>
      </c>
      <c r="AI176" t="s">
        <v>522</v>
      </c>
      <c r="AJ176"/>
      <c r="AK176"/>
      <c r="AL176"/>
      <c r="AM176"/>
      <c r="AN176"/>
      <c r="AO176"/>
      <c r="AP176"/>
      <c r="AQ176"/>
      <c r="AR176"/>
      <c r="AS176"/>
      <c r="AT176"/>
      <c r="AU176"/>
      <c r="AV176"/>
      <c r="AW176"/>
      <c r="AX176"/>
      <c r="AY176"/>
      <c r="AZ176"/>
      <c r="BA176"/>
      <c r="BB176"/>
      <c r="BC176"/>
      <c r="BD176"/>
      <c r="BE176"/>
      <c r="BF176"/>
      <c r="BG176"/>
    </row>
    <row r="177" spans="3:59" s="69" customFormat="1" x14ac:dyDescent="0.25">
      <c r="AF177" s="291">
        <v>1095023</v>
      </c>
      <c r="AG177" s="293">
        <v>63856</v>
      </c>
      <c r="AH177" s="270">
        <v>43951</v>
      </c>
      <c r="AI177" t="s">
        <v>316</v>
      </c>
      <c r="AJ177"/>
      <c r="AK177"/>
      <c r="AO177"/>
      <c r="AP177"/>
      <c r="AQ177"/>
      <c r="AR177"/>
      <c r="AS177"/>
      <c r="AT177"/>
      <c r="AU177"/>
      <c r="AV177"/>
      <c r="AW177"/>
      <c r="AX177"/>
      <c r="AY177"/>
      <c r="AZ177"/>
      <c r="BA177"/>
      <c r="BB177"/>
      <c r="BC177"/>
      <c r="BD177"/>
      <c r="BE177"/>
      <c r="BF177"/>
      <c r="BG177"/>
    </row>
    <row r="178" spans="3:59" s="69" customFormat="1" x14ac:dyDescent="0.25">
      <c r="AF178" s="291">
        <v>1095023</v>
      </c>
      <c r="AG178" s="293">
        <v>63856</v>
      </c>
      <c r="AH178" s="270">
        <v>43951</v>
      </c>
      <c r="AI178" t="s">
        <v>317</v>
      </c>
      <c r="BA178"/>
      <c r="BB178"/>
      <c r="BD178"/>
      <c r="BE178"/>
      <c r="BF178"/>
      <c r="BG178"/>
    </row>
    <row r="179" spans="3:59" s="69" customFormat="1" x14ac:dyDescent="0.25">
      <c r="C179"/>
      <c r="D179"/>
      <c r="E179"/>
      <c r="F179"/>
      <c r="G179"/>
      <c r="H179"/>
      <c r="I179"/>
      <c r="J179"/>
      <c r="K179"/>
      <c r="L179"/>
      <c r="M179"/>
      <c r="N179"/>
      <c r="O179"/>
      <c r="P179"/>
      <c r="Q179"/>
      <c r="R179"/>
      <c r="S179"/>
      <c r="T179"/>
      <c r="U179"/>
      <c r="V179"/>
      <c r="W179"/>
      <c r="X179"/>
      <c r="Y179"/>
      <c r="Z179"/>
      <c r="AA179"/>
      <c r="AB179"/>
      <c r="AC179"/>
      <c r="AD179"/>
      <c r="AE179"/>
      <c r="AF179" s="291">
        <v>1095023</v>
      </c>
      <c r="AG179" s="293">
        <v>63856</v>
      </c>
      <c r="AH179" s="217">
        <v>43951</v>
      </c>
      <c r="AI179" t="s">
        <v>319</v>
      </c>
      <c r="AL179"/>
      <c r="AM179"/>
      <c r="AN179"/>
      <c r="BA179"/>
      <c r="BB179"/>
      <c r="BD179"/>
      <c r="BE179"/>
      <c r="BF179"/>
      <c r="BG179"/>
    </row>
    <row r="180" spans="3:59" s="69" customFormat="1" x14ac:dyDescent="0.25">
      <c r="C180"/>
      <c r="D180"/>
      <c r="E180"/>
      <c r="F180"/>
      <c r="G180"/>
      <c r="H180"/>
      <c r="I180"/>
      <c r="J180"/>
      <c r="K180"/>
      <c r="L180"/>
      <c r="M180"/>
      <c r="N180"/>
      <c r="O180"/>
      <c r="P180"/>
      <c r="Q180"/>
      <c r="R180"/>
      <c r="S180"/>
      <c r="T180"/>
      <c r="U180"/>
      <c r="V180"/>
      <c r="W180"/>
      <c r="X180"/>
      <c r="Y180"/>
      <c r="Z180"/>
      <c r="AA180"/>
      <c r="AB180"/>
      <c r="AC180"/>
      <c r="AD180"/>
      <c r="AE180"/>
      <c r="AF180" s="291">
        <v>1095023</v>
      </c>
      <c r="AG180" s="293">
        <v>63856</v>
      </c>
      <c r="AH180" s="165">
        <v>43951</v>
      </c>
      <c r="AI180" s="69" t="s">
        <v>318</v>
      </c>
      <c r="AJ180"/>
      <c r="AK180"/>
      <c r="AL180"/>
      <c r="AM180"/>
      <c r="AN180"/>
      <c r="AO180"/>
      <c r="AP180"/>
      <c r="AQ180"/>
      <c r="AR180"/>
      <c r="AS180"/>
      <c r="AT180"/>
      <c r="AU180"/>
      <c r="AV180"/>
      <c r="AW180"/>
      <c r="AX180"/>
      <c r="AY180"/>
      <c r="AZ180"/>
      <c r="BA180"/>
      <c r="BB180"/>
      <c r="BC180"/>
      <c r="BD180"/>
      <c r="BE180"/>
      <c r="BF180"/>
      <c r="BG180"/>
    </row>
    <row r="181" spans="3:59" s="69" customFormat="1" x14ac:dyDescent="0.25">
      <c r="C181"/>
      <c r="D181"/>
      <c r="E181"/>
      <c r="F181"/>
      <c r="G181"/>
      <c r="H181"/>
      <c r="I181"/>
      <c r="J181"/>
      <c r="K181"/>
      <c r="L181"/>
      <c r="M181"/>
      <c r="N181"/>
      <c r="O181"/>
      <c r="P181"/>
      <c r="Q181"/>
      <c r="R181"/>
      <c r="S181"/>
      <c r="T181"/>
      <c r="U181"/>
      <c r="V181"/>
      <c r="W181"/>
      <c r="X181"/>
      <c r="Y181"/>
      <c r="Z181"/>
      <c r="AA181"/>
      <c r="AB181"/>
      <c r="AC181"/>
      <c r="AD181"/>
      <c r="AE181"/>
      <c r="AF181" s="291">
        <v>1095023</v>
      </c>
      <c r="AG181" s="293">
        <v>63856</v>
      </c>
      <c r="AH181" s="270">
        <v>43951</v>
      </c>
      <c r="AI181" s="69" t="s">
        <v>347</v>
      </c>
      <c r="AJ181"/>
      <c r="AK181"/>
      <c r="AL181"/>
      <c r="AM181"/>
      <c r="AN181"/>
      <c r="AO181"/>
      <c r="AP181"/>
      <c r="AQ181"/>
      <c r="AR181"/>
      <c r="AS181"/>
      <c r="AT181"/>
      <c r="AU181"/>
      <c r="AV181"/>
      <c r="AW181"/>
      <c r="AX181"/>
      <c r="AY181"/>
      <c r="AZ181"/>
      <c r="BC181"/>
      <c r="BD181"/>
      <c r="BE181"/>
      <c r="BF181"/>
      <c r="BG181"/>
    </row>
    <row r="182" spans="3:59" s="69" customFormat="1" x14ac:dyDescent="0.25">
      <c r="C182"/>
      <c r="D182"/>
      <c r="E182"/>
      <c r="F182"/>
      <c r="G182"/>
      <c r="H182"/>
      <c r="I182"/>
      <c r="J182"/>
      <c r="K182"/>
      <c r="L182"/>
      <c r="M182"/>
      <c r="N182"/>
      <c r="O182"/>
      <c r="P182"/>
      <c r="Q182"/>
      <c r="R182"/>
      <c r="S182"/>
      <c r="T182"/>
      <c r="U182"/>
      <c r="V182"/>
      <c r="W182"/>
      <c r="X182"/>
      <c r="Y182"/>
      <c r="Z182"/>
      <c r="AA182"/>
      <c r="AB182"/>
      <c r="AC182"/>
      <c r="AD182"/>
      <c r="AE182"/>
      <c r="AF182" s="291">
        <v>1095023</v>
      </c>
      <c r="AG182" s="293">
        <v>63856</v>
      </c>
      <c r="AH182" s="217">
        <v>43951</v>
      </c>
      <c r="AI182" s="69" t="s">
        <v>339</v>
      </c>
      <c r="AL182"/>
      <c r="AM182"/>
      <c r="AN182"/>
      <c r="AO182"/>
      <c r="AP182"/>
      <c r="AQ182"/>
      <c r="AR182"/>
      <c r="AS182"/>
      <c r="AT182"/>
      <c r="AU182"/>
      <c r="AV182"/>
      <c r="AW182"/>
      <c r="AX182"/>
      <c r="AY182"/>
      <c r="AZ182"/>
      <c r="BA182"/>
      <c r="BB182"/>
      <c r="BD182"/>
      <c r="BE182"/>
      <c r="BF182"/>
      <c r="BG182"/>
    </row>
    <row r="183" spans="3:59" s="69" customFormat="1" x14ac:dyDescent="0.25">
      <c r="C183"/>
      <c r="D183"/>
      <c r="E183"/>
      <c r="F183"/>
      <c r="G183"/>
      <c r="H183"/>
      <c r="I183"/>
      <c r="J183"/>
      <c r="K183"/>
      <c r="L183"/>
      <c r="M183"/>
      <c r="N183"/>
      <c r="O183"/>
      <c r="P183"/>
      <c r="Q183"/>
      <c r="R183"/>
      <c r="S183"/>
      <c r="T183"/>
      <c r="U183"/>
      <c r="V183"/>
      <c r="W183"/>
      <c r="X183"/>
      <c r="Y183"/>
      <c r="Z183"/>
      <c r="AA183"/>
      <c r="AB183"/>
      <c r="AC183"/>
      <c r="AD183"/>
      <c r="AE183"/>
      <c r="AF183" s="291">
        <v>1131030</v>
      </c>
      <c r="AG183" s="293">
        <v>65753</v>
      </c>
      <c r="AH183" s="217">
        <v>43952</v>
      </c>
      <c r="AI183" t="s">
        <v>323</v>
      </c>
      <c r="AJ183"/>
      <c r="AK183"/>
      <c r="AL183"/>
      <c r="AM183"/>
      <c r="AN183"/>
      <c r="AO183"/>
      <c r="AP183"/>
      <c r="AQ183"/>
      <c r="AR183"/>
      <c r="AS183"/>
      <c r="AT183"/>
      <c r="AU183"/>
      <c r="AV183"/>
      <c r="AW183"/>
      <c r="AX183"/>
      <c r="AY183"/>
      <c r="AZ183"/>
      <c r="BA183"/>
      <c r="BB183"/>
      <c r="BD183"/>
      <c r="BE183"/>
      <c r="BF183"/>
      <c r="BG183"/>
    </row>
    <row r="184" spans="3:59" s="69" customFormat="1" x14ac:dyDescent="0.25">
      <c r="C184"/>
      <c r="D184"/>
      <c r="E184"/>
      <c r="F184"/>
      <c r="G184"/>
      <c r="H184"/>
      <c r="I184"/>
      <c r="J184"/>
      <c r="K184"/>
      <c r="L184"/>
      <c r="M184"/>
      <c r="N184"/>
      <c r="O184"/>
      <c r="P184"/>
      <c r="Q184"/>
      <c r="R184"/>
      <c r="S184"/>
      <c r="T184"/>
      <c r="U184"/>
      <c r="V184"/>
      <c r="W184"/>
      <c r="X184"/>
      <c r="Y184"/>
      <c r="Z184"/>
      <c r="AA184"/>
      <c r="AB184"/>
      <c r="AC184"/>
      <c r="AD184"/>
      <c r="AE184"/>
      <c r="AF184" s="291">
        <v>1131030</v>
      </c>
      <c r="AG184" s="293">
        <v>65753</v>
      </c>
      <c r="AH184" s="270">
        <v>43952</v>
      </c>
      <c r="AI184" t="s">
        <v>520</v>
      </c>
      <c r="AJ184"/>
      <c r="AK184"/>
      <c r="AL184"/>
      <c r="AM184"/>
      <c r="AN184"/>
      <c r="AO184"/>
      <c r="AP184"/>
      <c r="AQ184"/>
      <c r="AR184"/>
      <c r="AS184"/>
      <c r="AT184"/>
      <c r="AU184"/>
      <c r="AV184"/>
      <c r="AW184"/>
      <c r="AX184"/>
      <c r="AY184"/>
      <c r="AZ184"/>
      <c r="BA184"/>
      <c r="BB184"/>
      <c r="BD184"/>
      <c r="BE184"/>
      <c r="BF184"/>
      <c r="BG184"/>
    </row>
    <row r="185" spans="3:59" x14ac:dyDescent="0.25">
      <c r="AF185" s="291">
        <v>1188122</v>
      </c>
      <c r="AG185" s="293">
        <v>68597</v>
      </c>
      <c r="AH185" s="217">
        <v>43954</v>
      </c>
      <c r="AI185" t="s">
        <v>521</v>
      </c>
      <c r="AJ185" s="69"/>
      <c r="AK185" s="69"/>
      <c r="BC185" s="69"/>
    </row>
    <row r="186" spans="3:59" x14ac:dyDescent="0.25">
      <c r="AF186" s="291">
        <v>1212835</v>
      </c>
      <c r="AG186" s="293">
        <v>69921</v>
      </c>
      <c r="AH186" s="270">
        <v>43955</v>
      </c>
      <c r="AI186" t="s">
        <v>519</v>
      </c>
      <c r="AJ186" s="69"/>
      <c r="AK186" s="69"/>
      <c r="BC186" s="69"/>
    </row>
    <row r="187" spans="3:59" x14ac:dyDescent="0.25">
      <c r="AF187" s="291">
        <v>1237633</v>
      </c>
      <c r="AG187" s="293">
        <v>72271</v>
      </c>
      <c r="AH187" s="217">
        <v>43956</v>
      </c>
      <c r="AI187" t="s">
        <v>333</v>
      </c>
      <c r="AJ187" s="69"/>
      <c r="AK187" s="69"/>
    </row>
    <row r="188" spans="3:59" x14ac:dyDescent="0.25">
      <c r="AF188" s="291">
        <v>1237633</v>
      </c>
      <c r="AG188" s="293">
        <v>72271</v>
      </c>
      <c r="AH188" s="217">
        <v>43956</v>
      </c>
      <c r="AI188" t="s">
        <v>370</v>
      </c>
      <c r="AJ188" s="69"/>
      <c r="AK188" s="69"/>
    </row>
    <row r="189" spans="3:59" x14ac:dyDescent="0.25">
      <c r="AF189" s="291">
        <v>1237633</v>
      </c>
      <c r="AG189" s="293">
        <v>72271</v>
      </c>
      <c r="AH189" s="217">
        <v>43956</v>
      </c>
      <c r="AI189" t="s">
        <v>332</v>
      </c>
    </row>
    <row r="190" spans="3:59" s="69" customFormat="1" x14ac:dyDescent="0.25">
      <c r="C190"/>
      <c r="D190"/>
      <c r="E190"/>
      <c r="F190"/>
      <c r="G190"/>
      <c r="H190"/>
      <c r="I190"/>
      <c r="J190"/>
      <c r="K190"/>
      <c r="L190"/>
      <c r="M190"/>
      <c r="N190"/>
      <c r="O190"/>
      <c r="P190"/>
      <c r="Q190"/>
      <c r="R190"/>
      <c r="S190"/>
      <c r="T190"/>
      <c r="U190"/>
      <c r="V190"/>
      <c r="W190"/>
      <c r="X190"/>
      <c r="Y190"/>
      <c r="Z190"/>
      <c r="AA190"/>
      <c r="AB190"/>
      <c r="AC190"/>
      <c r="AD190"/>
      <c r="AE190"/>
      <c r="AF190" s="291">
        <v>1237633</v>
      </c>
      <c r="AG190" s="293">
        <v>72271</v>
      </c>
      <c r="AH190" s="270">
        <v>43956</v>
      </c>
      <c r="AI190" t="s">
        <v>331</v>
      </c>
      <c r="AJ190"/>
      <c r="AK190"/>
      <c r="AL190"/>
      <c r="AM190"/>
      <c r="AN190"/>
      <c r="AO190"/>
      <c r="AP190"/>
      <c r="AQ190"/>
      <c r="AR190"/>
      <c r="AS190"/>
      <c r="AT190"/>
      <c r="AU190"/>
      <c r="AV190"/>
      <c r="AW190"/>
      <c r="AX190"/>
      <c r="AY190"/>
      <c r="AZ190"/>
      <c r="BA190"/>
      <c r="BB190"/>
      <c r="BC190"/>
    </row>
    <row r="191" spans="3:59" x14ac:dyDescent="0.25">
      <c r="AG191" s="291">
        <v>1292623</v>
      </c>
      <c r="AH191" s="293">
        <v>76928</v>
      </c>
      <c r="AI191" s="270">
        <v>43958</v>
      </c>
      <c r="AJ191" t="s">
        <v>340</v>
      </c>
      <c r="BC191" s="69"/>
    </row>
    <row r="192" spans="3:59" x14ac:dyDescent="0.25">
      <c r="AG192" s="291">
        <v>1321785</v>
      </c>
      <c r="AH192" s="293">
        <v>78615</v>
      </c>
      <c r="AI192" s="217">
        <v>43959</v>
      </c>
      <c r="AJ192" t="s">
        <v>361</v>
      </c>
    </row>
    <row r="193" spans="3:59" x14ac:dyDescent="0.25">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291">
        <v>1321785</v>
      </c>
      <c r="AH193" s="293">
        <v>78615</v>
      </c>
      <c r="AI193" s="270">
        <v>43959</v>
      </c>
      <c r="AJ193" s="69" t="s">
        <v>337</v>
      </c>
      <c r="AK193" s="69"/>
      <c r="AL193" s="69"/>
      <c r="AM193" s="69"/>
      <c r="AN193" s="69"/>
      <c r="AO193" s="69"/>
      <c r="AP193" s="69"/>
      <c r="AQ193" s="69"/>
      <c r="AR193" s="69"/>
      <c r="AS193" s="69"/>
      <c r="AT193" s="69"/>
      <c r="AU193" s="69"/>
      <c r="AV193" s="69"/>
      <c r="AW193" s="69"/>
      <c r="AX193" s="69"/>
      <c r="AY193" s="69"/>
      <c r="AZ193" s="69"/>
      <c r="BD193" s="69"/>
      <c r="BE193" s="69"/>
      <c r="BF193" s="69"/>
      <c r="BG193" s="69"/>
    </row>
    <row r="194" spans="3:59" x14ac:dyDescent="0.25">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291">
        <v>1321785</v>
      </c>
      <c r="AH194" s="293">
        <v>78615</v>
      </c>
      <c r="AI194" s="165">
        <v>43959</v>
      </c>
      <c r="AJ194" s="69" t="s">
        <v>334</v>
      </c>
      <c r="AM194" s="69"/>
      <c r="AN194" s="69"/>
      <c r="AO194" s="69"/>
      <c r="AP194" s="69"/>
      <c r="AQ194" s="69"/>
      <c r="AR194" s="69"/>
      <c r="AS194" s="69"/>
      <c r="AT194" s="69"/>
      <c r="AU194" s="69"/>
      <c r="AV194" s="69"/>
      <c r="AW194" s="69"/>
      <c r="AX194" s="69"/>
      <c r="AY194" s="69"/>
      <c r="AZ194" s="69"/>
      <c r="BD194" s="69"/>
      <c r="BE194" s="69"/>
      <c r="BF194" s="69"/>
      <c r="BG194" s="69"/>
    </row>
    <row r="195" spans="3:59" x14ac:dyDescent="0.25">
      <c r="AG195" s="291">
        <v>1321785</v>
      </c>
      <c r="AH195" s="293">
        <v>78615</v>
      </c>
      <c r="AI195" s="217">
        <v>43959</v>
      </c>
      <c r="AJ195" s="69" t="s">
        <v>338</v>
      </c>
    </row>
    <row r="196" spans="3:59" x14ac:dyDescent="0.25">
      <c r="D196" s="69"/>
      <c r="E196" s="69"/>
      <c r="F196" s="69"/>
      <c r="G196" s="69"/>
      <c r="H196" s="69"/>
      <c r="I196" s="69"/>
      <c r="J196" s="69"/>
      <c r="K196" s="69"/>
      <c r="L196" s="69"/>
      <c r="M196" s="69"/>
      <c r="N196" s="69"/>
      <c r="O196" s="69"/>
      <c r="P196" s="69"/>
      <c r="Q196" s="69"/>
      <c r="R196" s="165"/>
      <c r="S196" s="69"/>
      <c r="T196" s="69"/>
      <c r="U196" s="69"/>
      <c r="AG196" s="291">
        <v>1321785</v>
      </c>
      <c r="AH196" s="293">
        <v>78615</v>
      </c>
      <c r="AI196" s="217">
        <v>43959</v>
      </c>
      <c r="AJ196" s="69" t="s">
        <v>344</v>
      </c>
    </row>
    <row r="197" spans="3:59" x14ac:dyDescent="0.25">
      <c r="D197" s="69"/>
      <c r="E197" s="69"/>
      <c r="F197" s="69"/>
      <c r="G197" s="69"/>
      <c r="H197" s="69"/>
      <c r="I197" s="69"/>
      <c r="J197" s="69"/>
      <c r="K197" s="69"/>
      <c r="L197" s="69"/>
      <c r="M197" s="69"/>
      <c r="N197" s="69"/>
      <c r="O197" s="69"/>
      <c r="P197" s="69"/>
      <c r="Q197" s="69"/>
      <c r="R197" s="165"/>
      <c r="S197" s="69"/>
      <c r="T197" s="69"/>
      <c r="U197" s="69"/>
      <c r="AG197" s="291">
        <v>1347309</v>
      </c>
      <c r="AH197" s="293">
        <v>80037</v>
      </c>
      <c r="AI197" s="217">
        <v>43960</v>
      </c>
      <c r="AJ197" s="69" t="s">
        <v>360</v>
      </c>
      <c r="BA197" s="69"/>
      <c r="BB197" s="69"/>
      <c r="BC197" s="69"/>
      <c r="BD197" s="69"/>
      <c r="BE197" s="69"/>
      <c r="BF197" s="69"/>
      <c r="BG197" s="69"/>
    </row>
    <row r="198" spans="3:59" x14ac:dyDescent="0.25">
      <c r="D198" s="69"/>
      <c r="E198" s="69"/>
      <c r="F198" s="69"/>
      <c r="G198" s="69"/>
      <c r="H198" s="69"/>
      <c r="I198" s="69"/>
      <c r="J198" s="69"/>
      <c r="K198" s="69"/>
      <c r="L198" s="69"/>
      <c r="M198" s="69"/>
      <c r="N198" s="69"/>
      <c r="O198" s="69"/>
      <c r="P198" s="69"/>
      <c r="Q198" s="69"/>
      <c r="R198" s="165"/>
      <c r="S198" s="69"/>
      <c r="T198" s="69"/>
      <c r="U198" s="69"/>
      <c r="AG198" s="291">
        <v>1347309</v>
      </c>
      <c r="AH198" s="293">
        <v>80037</v>
      </c>
      <c r="AI198" s="217">
        <v>43960</v>
      </c>
      <c r="AJ198" s="69" t="s">
        <v>335</v>
      </c>
      <c r="BA198" s="69"/>
      <c r="BB198" s="69"/>
      <c r="BC198" s="69"/>
    </row>
    <row r="199" spans="3:59" x14ac:dyDescent="0.25">
      <c r="C199" s="69"/>
      <c r="D199" s="69"/>
      <c r="E199" s="69"/>
      <c r="F199" s="69"/>
      <c r="G199" s="69"/>
      <c r="H199" s="69"/>
      <c r="I199" s="69"/>
      <c r="J199" s="69"/>
      <c r="K199" s="69"/>
      <c r="L199" s="69"/>
      <c r="M199" s="69"/>
      <c r="N199" s="69"/>
      <c r="O199" s="69"/>
      <c r="P199" s="69"/>
      <c r="Q199" s="69"/>
      <c r="R199" s="165"/>
      <c r="S199" s="69"/>
      <c r="T199" s="69"/>
      <c r="U199" s="69"/>
      <c r="V199" s="69"/>
      <c r="W199" s="69"/>
      <c r="AB199" s="69"/>
      <c r="AC199" s="69"/>
      <c r="AD199" s="69"/>
      <c r="AE199" s="69"/>
      <c r="AF199" s="69"/>
      <c r="AG199" s="291">
        <v>1347309</v>
      </c>
      <c r="AH199" s="293">
        <v>80037</v>
      </c>
      <c r="AI199" s="270">
        <v>43960</v>
      </c>
      <c r="AJ199" s="69" t="s">
        <v>343</v>
      </c>
      <c r="AM199" s="69"/>
      <c r="AN199" s="69"/>
      <c r="AO199" s="69"/>
      <c r="AP199" s="69"/>
      <c r="AQ199" s="69"/>
      <c r="AR199" s="69"/>
      <c r="AS199" s="69"/>
      <c r="AT199" s="69"/>
      <c r="AU199" s="69"/>
      <c r="AV199" s="69"/>
      <c r="AW199" s="69"/>
      <c r="AX199" s="69"/>
      <c r="AY199" s="69"/>
      <c r="AZ199" s="69"/>
      <c r="BA199" s="69"/>
      <c r="BB199" s="69"/>
      <c r="BD199" s="69"/>
      <c r="BE199" s="69"/>
      <c r="BF199" s="69"/>
      <c r="BG199" s="69"/>
    </row>
    <row r="200" spans="3:59" x14ac:dyDescent="0.25">
      <c r="AG200" s="291">
        <v>1347309</v>
      </c>
      <c r="AH200" s="293">
        <v>80037</v>
      </c>
      <c r="AI200" s="217">
        <v>43960</v>
      </c>
      <c r="AJ200" s="69" t="s">
        <v>336</v>
      </c>
      <c r="BA200" s="69"/>
      <c r="BB200" s="69"/>
      <c r="BD200" s="69"/>
      <c r="BE200" s="69"/>
      <c r="BF200" s="69"/>
      <c r="BG200" s="69"/>
    </row>
    <row r="201" spans="3:59" x14ac:dyDescent="0.25">
      <c r="AG201" s="291">
        <v>1367638</v>
      </c>
      <c r="AH201" s="293">
        <v>80787</v>
      </c>
      <c r="AI201" s="217">
        <v>43961</v>
      </c>
      <c r="AJ201" s="69" t="s">
        <v>341</v>
      </c>
    </row>
    <row r="202" spans="3:59" x14ac:dyDescent="0.25">
      <c r="AG202" s="291">
        <v>1367638</v>
      </c>
      <c r="AH202" s="293">
        <v>80787</v>
      </c>
      <c r="AI202" s="270">
        <v>43961</v>
      </c>
      <c r="AJ202" s="69" t="s">
        <v>342</v>
      </c>
    </row>
    <row r="203" spans="3:59" s="69" customFormat="1" x14ac:dyDescent="0.25">
      <c r="C203"/>
      <c r="D203"/>
      <c r="E203"/>
      <c r="F203"/>
      <c r="G203"/>
      <c r="H203"/>
      <c r="I203"/>
      <c r="J203"/>
      <c r="K203"/>
      <c r="L203"/>
      <c r="M203"/>
      <c r="N203"/>
      <c r="O203"/>
      <c r="P203"/>
      <c r="Q203"/>
      <c r="R203"/>
      <c r="S203"/>
      <c r="T203"/>
      <c r="U203"/>
      <c r="V203"/>
      <c r="W203"/>
      <c r="X203"/>
      <c r="Y203"/>
      <c r="Z203"/>
      <c r="AA203"/>
      <c r="AB203"/>
      <c r="AC203"/>
      <c r="AD203"/>
      <c r="AE203"/>
      <c r="AF203"/>
      <c r="AG203" s="291">
        <v>1385834</v>
      </c>
      <c r="AH203" s="293">
        <v>81795</v>
      </c>
      <c r="AI203" s="217">
        <v>43962</v>
      </c>
      <c r="AJ203" s="69" t="s">
        <v>345</v>
      </c>
      <c r="AK203"/>
      <c r="AL203"/>
      <c r="AM203"/>
      <c r="AN203"/>
      <c r="AO203"/>
      <c r="AP203"/>
      <c r="AQ203"/>
      <c r="AR203"/>
      <c r="AS203"/>
      <c r="AT203"/>
      <c r="AU203"/>
      <c r="AV203"/>
      <c r="AW203"/>
      <c r="AX203"/>
      <c r="AY203"/>
      <c r="AZ203"/>
      <c r="BA203"/>
      <c r="BB203"/>
      <c r="BC203"/>
      <c r="BD203"/>
      <c r="BE203"/>
      <c r="BF203"/>
      <c r="BG203"/>
    </row>
    <row r="204" spans="3:59" s="69" customFormat="1" x14ac:dyDescent="0.25">
      <c r="C204"/>
      <c r="D204"/>
      <c r="E204"/>
      <c r="F204"/>
      <c r="G204"/>
      <c r="H204"/>
      <c r="I204"/>
      <c r="J204"/>
      <c r="K204"/>
      <c r="L204"/>
      <c r="M204"/>
      <c r="N204"/>
      <c r="O204"/>
      <c r="P204"/>
      <c r="Q204"/>
      <c r="R204"/>
      <c r="S204"/>
      <c r="T204"/>
      <c r="U204"/>
      <c r="V204"/>
      <c r="W204"/>
      <c r="X204"/>
      <c r="Y204"/>
      <c r="Z204"/>
      <c r="AA204"/>
      <c r="AB204"/>
      <c r="AC204"/>
      <c r="AD204"/>
      <c r="AE204"/>
      <c r="AF204"/>
      <c r="AG204" s="291">
        <v>1385834</v>
      </c>
      <c r="AH204" s="293">
        <v>81795</v>
      </c>
      <c r="AI204" s="270">
        <v>43962</v>
      </c>
      <c r="AJ204" s="69" t="s">
        <v>346</v>
      </c>
      <c r="AK204"/>
      <c r="AL204"/>
      <c r="AM204"/>
      <c r="AN204"/>
      <c r="AO204"/>
      <c r="AP204"/>
      <c r="AQ204"/>
      <c r="AR204"/>
      <c r="AS204"/>
      <c r="AT204"/>
      <c r="AU204"/>
      <c r="AV204"/>
      <c r="AW204"/>
      <c r="AX204"/>
      <c r="AY204"/>
      <c r="AZ204"/>
      <c r="BA204"/>
      <c r="BB204"/>
      <c r="BC204"/>
      <c r="BD204"/>
      <c r="BE204"/>
      <c r="BF204"/>
      <c r="BG204"/>
    </row>
    <row r="205" spans="3:59" x14ac:dyDescent="0.25">
      <c r="AG205" s="291">
        <v>1385834</v>
      </c>
      <c r="AH205" s="293">
        <v>81795</v>
      </c>
      <c r="AI205" s="165">
        <v>43962</v>
      </c>
      <c r="AJ205" s="69" t="s">
        <v>351</v>
      </c>
      <c r="BA205" s="69"/>
      <c r="BB205" s="69"/>
      <c r="BD205" s="69"/>
      <c r="BE205" s="69"/>
      <c r="BF205" s="69"/>
      <c r="BG205" s="69"/>
    </row>
    <row r="206" spans="3:59" x14ac:dyDescent="0.25">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291">
        <v>1385834</v>
      </c>
      <c r="AH206" s="293">
        <v>81795</v>
      </c>
      <c r="AI206" s="165">
        <v>43962</v>
      </c>
      <c r="AJ206" s="69" t="s">
        <v>349</v>
      </c>
      <c r="AK206" s="69"/>
      <c r="AL206" s="69"/>
      <c r="AM206" s="69"/>
      <c r="AN206" s="69"/>
      <c r="AO206" s="69"/>
      <c r="AP206" s="69"/>
      <c r="AQ206" s="69"/>
      <c r="AR206" s="69"/>
      <c r="AS206" s="69"/>
      <c r="AT206" s="69"/>
      <c r="AU206" s="69"/>
      <c r="AV206" s="69"/>
      <c r="AW206" s="69"/>
      <c r="AX206" s="69"/>
      <c r="AY206" s="69"/>
      <c r="AZ206" s="69"/>
      <c r="BA206" s="69"/>
      <c r="BB206" s="69"/>
    </row>
    <row r="207" spans="3:59" x14ac:dyDescent="0.25">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291">
        <v>1385834</v>
      </c>
      <c r="AH207" s="293">
        <v>81795</v>
      </c>
      <c r="AI207" s="270">
        <v>43962</v>
      </c>
      <c r="AJ207" s="69" t="s">
        <v>350</v>
      </c>
      <c r="AK207" s="69"/>
      <c r="AL207" s="69"/>
      <c r="AM207" s="69"/>
      <c r="AN207" s="69"/>
      <c r="AO207" s="69"/>
      <c r="AP207" s="69"/>
      <c r="AQ207" s="69"/>
      <c r="AR207" s="69"/>
      <c r="AS207" s="69"/>
      <c r="AT207" s="69"/>
      <c r="AU207" s="69"/>
      <c r="AV207" s="69"/>
      <c r="AW207" s="69"/>
      <c r="AX207" s="69"/>
      <c r="AY207" s="69"/>
      <c r="AZ207" s="69"/>
    </row>
    <row r="208" spans="3:59" x14ac:dyDescent="0.25">
      <c r="AG208" s="291">
        <v>1408636</v>
      </c>
      <c r="AH208" s="293">
        <v>83425</v>
      </c>
      <c r="AI208" s="270">
        <v>43963</v>
      </c>
      <c r="AJ208" t="s">
        <v>348</v>
      </c>
    </row>
    <row r="209" spans="3:59" x14ac:dyDescent="0.25">
      <c r="AG209" s="291">
        <v>1430347</v>
      </c>
      <c r="AH209" s="293">
        <v>85197</v>
      </c>
      <c r="AI209" s="270">
        <v>43964</v>
      </c>
      <c r="AJ209" t="s">
        <v>352</v>
      </c>
      <c r="BC209" s="69"/>
    </row>
    <row r="210" spans="3:59" x14ac:dyDescent="0.25">
      <c r="AG210" s="291">
        <v>1430347</v>
      </c>
      <c r="AH210" s="293">
        <v>85197</v>
      </c>
      <c r="AI210" s="217">
        <v>43964</v>
      </c>
      <c r="AJ210" t="s">
        <v>364</v>
      </c>
      <c r="AK210" s="217">
        <f>AI210+14</f>
        <v>43978</v>
      </c>
      <c r="BC210" s="69"/>
    </row>
    <row r="211" spans="3:59" x14ac:dyDescent="0.25">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291">
        <v>1484285</v>
      </c>
      <c r="AH211" s="293">
        <v>88507</v>
      </c>
      <c r="AI211" s="217">
        <v>43966</v>
      </c>
      <c r="AJ211" t="s">
        <v>365</v>
      </c>
      <c r="AK211" s="69"/>
      <c r="AL211" s="69"/>
      <c r="AM211" s="69"/>
      <c r="AN211" s="69"/>
      <c r="AO211" s="69"/>
      <c r="AP211" s="69"/>
      <c r="AQ211" s="69"/>
      <c r="AR211" s="69"/>
      <c r="AS211" s="69"/>
      <c r="AT211" s="69"/>
      <c r="AU211" s="69"/>
      <c r="AV211" s="69"/>
      <c r="AW211" s="69"/>
      <c r="AX211" s="69"/>
      <c r="AY211" s="69"/>
      <c r="AZ211" s="69"/>
      <c r="BC211" s="69"/>
    </row>
    <row r="212" spans="3:59" x14ac:dyDescent="0.25">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291">
        <v>1484285</v>
      </c>
      <c r="AH212" s="293">
        <v>88507</v>
      </c>
      <c r="AI212" s="165">
        <v>43966</v>
      </c>
      <c r="AJ212" s="69" t="s">
        <v>366</v>
      </c>
      <c r="AL212" s="69"/>
      <c r="AM212" s="69"/>
      <c r="AN212" s="69"/>
      <c r="AO212" s="69"/>
      <c r="AP212" s="69"/>
      <c r="AQ212" s="69"/>
      <c r="AR212" s="69"/>
      <c r="AS212" s="69"/>
      <c r="AT212" s="69"/>
      <c r="AU212" s="69"/>
      <c r="AV212" s="69"/>
      <c r="AW212" s="69"/>
      <c r="AX212" s="69"/>
      <c r="AY212" s="69"/>
      <c r="AZ212" s="69"/>
    </row>
    <row r="213" spans="3:59" x14ac:dyDescent="0.25">
      <c r="AG213" s="291">
        <v>1484285</v>
      </c>
      <c r="AH213" s="293">
        <v>88507</v>
      </c>
      <c r="AI213" s="270">
        <v>43966</v>
      </c>
      <c r="AJ213" s="69" t="s">
        <v>367</v>
      </c>
    </row>
    <row r="214" spans="3:59" x14ac:dyDescent="0.25">
      <c r="AG214" s="291">
        <v>1507773</v>
      </c>
      <c r="AH214" s="293">
        <v>90113</v>
      </c>
      <c r="AI214" s="270">
        <v>43967</v>
      </c>
      <c r="AJ214" s="69" t="s">
        <v>368</v>
      </c>
    </row>
    <row r="215" spans="3:59" x14ac:dyDescent="0.25">
      <c r="AG215" s="291">
        <v>1507773</v>
      </c>
      <c r="AH215" s="293">
        <v>90113</v>
      </c>
      <c r="AI215" s="165">
        <v>43967</v>
      </c>
      <c r="AJ215" s="69" t="s">
        <v>385</v>
      </c>
    </row>
    <row r="216" spans="3:59" x14ac:dyDescent="0.25">
      <c r="AG216" s="291">
        <v>1527664</v>
      </c>
      <c r="AH216" s="293">
        <v>90978</v>
      </c>
      <c r="AI216" s="217">
        <v>43968</v>
      </c>
      <c r="AJ216" t="s">
        <v>375</v>
      </c>
    </row>
    <row r="217" spans="3:59" x14ac:dyDescent="0.25">
      <c r="AG217" s="291">
        <v>1527664</v>
      </c>
      <c r="AH217" s="293">
        <v>90978</v>
      </c>
      <c r="AI217" s="270">
        <v>43968</v>
      </c>
      <c r="AJ217" t="s">
        <v>369</v>
      </c>
    </row>
    <row r="218" spans="3:59" s="69" customFormat="1" x14ac:dyDescent="0.25">
      <c r="AH218" s="291">
        <v>1570583</v>
      </c>
      <c r="AI218" s="293">
        <v>93533</v>
      </c>
      <c r="AJ218" s="270">
        <v>43970</v>
      </c>
      <c r="AK218" t="s">
        <v>373</v>
      </c>
    </row>
    <row r="219" spans="3:59" x14ac:dyDescent="0.25">
      <c r="AH219" s="291">
        <v>1570583</v>
      </c>
      <c r="AI219" s="293">
        <v>93533</v>
      </c>
      <c r="AJ219" s="217">
        <v>43970</v>
      </c>
      <c r="AK219" t="s">
        <v>376</v>
      </c>
      <c r="BA219" s="69"/>
      <c r="BB219" s="69"/>
      <c r="BC219" s="69"/>
      <c r="BD219" s="69"/>
      <c r="BE219" s="69"/>
      <c r="BF219" s="69"/>
      <c r="BG219" s="69"/>
    </row>
    <row r="220" spans="3:59" x14ac:dyDescent="0.25">
      <c r="AH220" s="291">
        <v>1570583</v>
      </c>
      <c r="AI220" s="293">
        <v>93533</v>
      </c>
      <c r="AJ220" s="270">
        <v>43970</v>
      </c>
      <c r="AK220" t="s">
        <v>371</v>
      </c>
    </row>
    <row r="221" spans="3:59" s="69" customFormat="1" x14ac:dyDescent="0.25">
      <c r="C221"/>
      <c r="D221"/>
      <c r="E221"/>
      <c r="F221"/>
      <c r="G221"/>
      <c r="H221"/>
      <c r="I221"/>
      <c r="J221"/>
      <c r="K221"/>
      <c r="L221"/>
      <c r="M221"/>
      <c r="N221"/>
      <c r="O221"/>
      <c r="P221"/>
      <c r="Q221"/>
      <c r="R221"/>
      <c r="S221"/>
      <c r="T221"/>
      <c r="U221"/>
      <c r="V221"/>
      <c r="W221"/>
      <c r="X221"/>
      <c r="Y221"/>
      <c r="Z221"/>
      <c r="AA221"/>
      <c r="AB221"/>
      <c r="AC221"/>
      <c r="AD221"/>
      <c r="AE221"/>
      <c r="AF221"/>
      <c r="AG221"/>
      <c r="AH221" s="291">
        <v>1570583</v>
      </c>
      <c r="AI221" s="293">
        <v>93533</v>
      </c>
      <c r="AJ221" s="270">
        <v>43970</v>
      </c>
      <c r="AK221" t="s">
        <v>374</v>
      </c>
      <c r="AL221"/>
      <c r="AM221"/>
      <c r="AN221"/>
      <c r="AO221"/>
      <c r="AP221"/>
      <c r="AQ221"/>
      <c r="AR221"/>
      <c r="AS221"/>
      <c r="AT221"/>
      <c r="AU221"/>
      <c r="AV221"/>
      <c r="AW221"/>
      <c r="AX221"/>
      <c r="AY221"/>
      <c r="AZ221"/>
      <c r="BA221"/>
      <c r="BB221"/>
      <c r="BC221"/>
      <c r="BD221"/>
      <c r="BE221"/>
      <c r="BF221"/>
      <c r="BG221"/>
    </row>
    <row r="222" spans="3:59" s="69" customFormat="1" x14ac:dyDescent="0.25">
      <c r="C222"/>
      <c r="D222"/>
      <c r="E222"/>
      <c r="F222"/>
      <c r="G222"/>
      <c r="H222"/>
      <c r="I222"/>
      <c r="J222"/>
      <c r="K222"/>
      <c r="L222"/>
      <c r="M222"/>
      <c r="N222"/>
      <c r="O222"/>
      <c r="P222"/>
      <c r="Q222"/>
      <c r="R222"/>
      <c r="S222"/>
      <c r="T222"/>
      <c r="U222"/>
      <c r="V222"/>
      <c r="W222"/>
      <c r="X222"/>
      <c r="Y222"/>
      <c r="Z222"/>
      <c r="AA222"/>
      <c r="AB222"/>
      <c r="AC222"/>
      <c r="AD222"/>
      <c r="AE222"/>
      <c r="AF222"/>
      <c r="AG222"/>
      <c r="AH222" s="291">
        <v>1570583</v>
      </c>
      <c r="AI222" s="293">
        <v>93533</v>
      </c>
      <c r="AJ222" s="217">
        <v>43970</v>
      </c>
      <c r="AK222" t="s">
        <v>377</v>
      </c>
      <c r="AL222"/>
      <c r="AM222"/>
      <c r="AN222"/>
      <c r="AO222"/>
      <c r="AP222"/>
      <c r="AQ222"/>
      <c r="AR222"/>
      <c r="AS222"/>
      <c r="AT222"/>
      <c r="AU222"/>
      <c r="AV222"/>
      <c r="AW222"/>
      <c r="AX222"/>
      <c r="AY222"/>
      <c r="AZ222"/>
      <c r="BA222"/>
      <c r="BB222"/>
      <c r="BC222"/>
      <c r="BD222"/>
      <c r="BE222"/>
      <c r="BF222"/>
      <c r="BG222"/>
    </row>
    <row r="223" spans="3:59" x14ac:dyDescent="0.25">
      <c r="AH223" s="291">
        <v>1570583</v>
      </c>
      <c r="AI223" s="293">
        <v>93533</v>
      </c>
      <c r="AJ223" s="217">
        <v>43970</v>
      </c>
      <c r="AK223" t="s">
        <v>372</v>
      </c>
    </row>
    <row r="224" spans="3:59" x14ac:dyDescent="0.25">
      <c r="AH224" s="291">
        <v>1570583</v>
      </c>
      <c r="AI224" s="293">
        <v>93533</v>
      </c>
      <c r="AJ224" s="217">
        <v>43970</v>
      </c>
      <c r="AK224" t="s">
        <v>389</v>
      </c>
    </row>
    <row r="225" spans="3:59" s="69" customFormat="1" x14ac:dyDescent="0.25">
      <c r="C225"/>
      <c r="D225"/>
      <c r="E225"/>
      <c r="F225"/>
      <c r="G225"/>
      <c r="H225"/>
      <c r="I225"/>
      <c r="J225"/>
      <c r="K225"/>
      <c r="L225"/>
      <c r="M225"/>
      <c r="N225"/>
      <c r="O225"/>
      <c r="P225"/>
      <c r="Q225"/>
      <c r="R225"/>
      <c r="S225"/>
      <c r="T225"/>
      <c r="U225"/>
      <c r="V225"/>
      <c r="W225"/>
      <c r="X225"/>
      <c r="Y225"/>
      <c r="Z225"/>
      <c r="AA225"/>
      <c r="AB225"/>
      <c r="AC225"/>
      <c r="AD225"/>
      <c r="AE225"/>
      <c r="AF225"/>
      <c r="AG225"/>
      <c r="AH225" s="291">
        <v>1570583</v>
      </c>
      <c r="AI225" s="293">
        <v>93533</v>
      </c>
      <c r="AJ225" s="217">
        <v>43970</v>
      </c>
      <c r="AK225" t="s">
        <v>393</v>
      </c>
      <c r="AL225"/>
      <c r="AM225"/>
      <c r="AN225"/>
      <c r="AO225"/>
      <c r="AP225"/>
      <c r="AQ225"/>
      <c r="AR225"/>
      <c r="AS225"/>
      <c r="AT225"/>
      <c r="AU225"/>
      <c r="AV225"/>
      <c r="AW225"/>
      <c r="AX225"/>
      <c r="AY225"/>
      <c r="AZ225"/>
    </row>
    <row r="226" spans="3:59" x14ac:dyDescent="0.25">
      <c r="AH226" s="291">
        <v>1591991</v>
      </c>
      <c r="AI226" s="293">
        <v>94994</v>
      </c>
      <c r="AJ226" s="217">
        <v>43971</v>
      </c>
      <c r="AK226" t="s">
        <v>378</v>
      </c>
    </row>
    <row r="227" spans="3:59" s="69" customFormat="1" x14ac:dyDescent="0.25">
      <c r="C227"/>
      <c r="D227"/>
      <c r="E227"/>
      <c r="F227"/>
      <c r="G227"/>
      <c r="H227"/>
      <c r="I227"/>
      <c r="J227"/>
      <c r="K227"/>
      <c r="L227"/>
      <c r="M227"/>
      <c r="N227"/>
      <c r="O227"/>
      <c r="P227"/>
      <c r="Q227"/>
      <c r="R227"/>
      <c r="S227"/>
      <c r="T227"/>
      <c r="U227"/>
      <c r="V227"/>
      <c r="W227"/>
      <c r="X227"/>
      <c r="Y227"/>
      <c r="Z227"/>
      <c r="AA227"/>
      <c r="AB227"/>
      <c r="AC227"/>
      <c r="AD227"/>
      <c r="AE227"/>
      <c r="AF227"/>
      <c r="AG227"/>
      <c r="AH227" s="291">
        <v>1591991</v>
      </c>
      <c r="AI227" s="293">
        <v>94994</v>
      </c>
      <c r="AJ227" s="217">
        <v>43971</v>
      </c>
      <c r="AK227" t="s">
        <v>398</v>
      </c>
      <c r="AL227"/>
      <c r="AM227"/>
      <c r="AN227"/>
      <c r="AO227"/>
      <c r="AP227"/>
      <c r="AQ227"/>
      <c r="AR227"/>
      <c r="AS227"/>
      <c r="AT227"/>
      <c r="AU227"/>
      <c r="AV227"/>
      <c r="AW227"/>
      <c r="AX227"/>
      <c r="AY227"/>
      <c r="AZ227"/>
      <c r="BA227"/>
      <c r="BB227"/>
      <c r="BC227"/>
      <c r="BD227"/>
      <c r="BE227"/>
      <c r="BF227"/>
      <c r="BG227"/>
    </row>
    <row r="228" spans="3:59" s="69" customFormat="1" x14ac:dyDescent="0.25">
      <c r="C228"/>
      <c r="D228"/>
      <c r="E228"/>
      <c r="F228"/>
      <c r="G228"/>
      <c r="H228"/>
      <c r="I228"/>
      <c r="J228"/>
      <c r="K228"/>
      <c r="L228"/>
      <c r="M228"/>
      <c r="N228"/>
      <c r="O228"/>
      <c r="P228"/>
      <c r="Q228"/>
      <c r="R228"/>
      <c r="S228"/>
      <c r="T228"/>
      <c r="U228"/>
      <c r="V228"/>
      <c r="W228"/>
      <c r="X228"/>
      <c r="Y228"/>
      <c r="Z228"/>
      <c r="AA228"/>
      <c r="AB228"/>
      <c r="AC228"/>
      <c r="AD228"/>
      <c r="AE228"/>
      <c r="AF228"/>
      <c r="AG228"/>
      <c r="AH228" s="291">
        <v>1591991</v>
      </c>
      <c r="AI228" s="293">
        <v>94994</v>
      </c>
      <c r="AJ228" s="217">
        <v>43971</v>
      </c>
      <c r="AK228" t="s">
        <v>424</v>
      </c>
      <c r="AL228"/>
      <c r="AM228"/>
      <c r="AN228"/>
      <c r="AO228"/>
      <c r="AP228"/>
      <c r="AQ228"/>
      <c r="AR228"/>
      <c r="AS228"/>
      <c r="AT228"/>
      <c r="AU228"/>
      <c r="AV228"/>
      <c r="AW228"/>
      <c r="AX228"/>
      <c r="AY228"/>
      <c r="AZ228"/>
      <c r="BA228"/>
      <c r="BB228"/>
      <c r="BC228"/>
      <c r="BD228"/>
      <c r="BE228"/>
      <c r="BF228"/>
      <c r="BG228"/>
    </row>
    <row r="229" spans="3:59" s="69" customFormat="1" x14ac:dyDescent="0.25">
      <c r="C229"/>
      <c r="D229"/>
      <c r="E229"/>
      <c r="F229"/>
      <c r="G229"/>
      <c r="H229"/>
      <c r="I229"/>
      <c r="J229"/>
      <c r="K229"/>
      <c r="L229"/>
      <c r="M229"/>
      <c r="N229"/>
      <c r="O229"/>
      <c r="P229"/>
      <c r="Q229"/>
      <c r="R229"/>
      <c r="S229"/>
      <c r="T229"/>
      <c r="U229"/>
      <c r="V229"/>
      <c r="W229"/>
      <c r="X229"/>
      <c r="Y229"/>
      <c r="Z229"/>
      <c r="AA229"/>
      <c r="AB229"/>
      <c r="AC229"/>
      <c r="AD229"/>
      <c r="AE229"/>
      <c r="AF229"/>
      <c r="AG229"/>
      <c r="AH229" s="291">
        <v>1620902</v>
      </c>
      <c r="AI229" s="293">
        <v>96354</v>
      </c>
      <c r="AJ229" s="217">
        <v>43972</v>
      </c>
      <c r="AK229" t="s">
        <v>379</v>
      </c>
      <c r="AL229"/>
      <c r="AM229"/>
      <c r="AN229"/>
      <c r="AO229"/>
      <c r="AP229"/>
      <c r="AQ229"/>
      <c r="AR229"/>
      <c r="AS229"/>
      <c r="AT229"/>
      <c r="AU229"/>
      <c r="AV229"/>
      <c r="AW229"/>
      <c r="AX229"/>
      <c r="AY229"/>
      <c r="AZ229"/>
      <c r="BA229"/>
      <c r="BB229"/>
      <c r="BC229"/>
      <c r="BD229"/>
      <c r="BE229"/>
      <c r="BF229"/>
      <c r="BG229"/>
    </row>
    <row r="230" spans="3:59" x14ac:dyDescent="0.25">
      <c r="AH230" s="291">
        <v>1620902</v>
      </c>
      <c r="AI230" s="293">
        <v>96354</v>
      </c>
      <c r="AJ230" s="270">
        <v>43972</v>
      </c>
      <c r="AK230" t="s">
        <v>392</v>
      </c>
    </row>
    <row r="231" spans="3:59" x14ac:dyDescent="0.25">
      <c r="AH231" s="291">
        <v>1620902</v>
      </c>
      <c r="AI231" s="293">
        <v>96354</v>
      </c>
      <c r="AJ231" s="270">
        <v>43972</v>
      </c>
      <c r="AK231" t="s">
        <v>382</v>
      </c>
    </row>
    <row r="232" spans="3:59" x14ac:dyDescent="0.25">
      <c r="AH232" s="291">
        <v>1620902</v>
      </c>
      <c r="AI232" s="293">
        <v>96354</v>
      </c>
      <c r="AJ232" s="217">
        <v>43972</v>
      </c>
      <c r="AK232" t="s">
        <v>381</v>
      </c>
    </row>
    <row r="233" spans="3:59" x14ac:dyDescent="0.25">
      <c r="AH233" s="291">
        <v>1620902</v>
      </c>
      <c r="AI233" s="293">
        <v>96354</v>
      </c>
      <c r="AJ233" s="270">
        <v>43972</v>
      </c>
      <c r="AK233" t="s">
        <v>380</v>
      </c>
    </row>
    <row r="234" spans="3:59" x14ac:dyDescent="0.25">
      <c r="AH234" s="291">
        <v>1620902</v>
      </c>
      <c r="AI234" s="293">
        <v>96354</v>
      </c>
      <c r="AJ234" s="270">
        <v>43972</v>
      </c>
      <c r="AK234" t="s">
        <v>423</v>
      </c>
    </row>
    <row r="235" spans="3:59" x14ac:dyDescent="0.25">
      <c r="AH235" s="291">
        <v>1620902</v>
      </c>
      <c r="AI235" s="293">
        <v>96354</v>
      </c>
      <c r="AJ235" s="270">
        <v>43972</v>
      </c>
      <c r="AK235" t="s">
        <v>425</v>
      </c>
    </row>
    <row r="236" spans="3:59" x14ac:dyDescent="0.25">
      <c r="AH236" s="291">
        <v>1645094</v>
      </c>
      <c r="AI236" s="293">
        <v>97647</v>
      </c>
      <c r="AJ236" s="165">
        <v>43973</v>
      </c>
      <c r="AK236" t="s">
        <v>390</v>
      </c>
    </row>
    <row r="237" spans="3:59" s="69" customFormat="1" x14ac:dyDescent="0.25">
      <c r="C237"/>
      <c r="D237"/>
      <c r="E237"/>
      <c r="F237"/>
      <c r="G237"/>
      <c r="H237"/>
      <c r="I237"/>
      <c r="J237"/>
      <c r="K237"/>
      <c r="L237"/>
      <c r="M237"/>
      <c r="N237"/>
      <c r="O237"/>
      <c r="P237"/>
      <c r="Q237"/>
      <c r="R237"/>
      <c r="S237"/>
      <c r="T237"/>
      <c r="U237"/>
      <c r="V237"/>
      <c r="W237"/>
      <c r="X237"/>
      <c r="Y237"/>
      <c r="Z237"/>
      <c r="AA237"/>
      <c r="AB237"/>
      <c r="AC237"/>
      <c r="AD237"/>
      <c r="AE237"/>
      <c r="AF237"/>
      <c r="AG237"/>
      <c r="AH237" s="291">
        <v>1645094</v>
      </c>
      <c r="AI237" s="293">
        <v>97647</v>
      </c>
      <c r="AJ237" s="165">
        <v>43973</v>
      </c>
      <c r="AK237" t="s">
        <v>396</v>
      </c>
      <c r="AL237"/>
      <c r="AM237"/>
      <c r="AN237"/>
      <c r="AO237"/>
      <c r="AP237"/>
      <c r="AQ237"/>
      <c r="AR237"/>
      <c r="AS237"/>
      <c r="AT237"/>
      <c r="AU237"/>
      <c r="AV237"/>
      <c r="AW237"/>
      <c r="AX237"/>
      <c r="AY237"/>
      <c r="AZ237"/>
      <c r="BA237"/>
      <c r="BB237"/>
      <c r="BC237"/>
      <c r="BD237"/>
      <c r="BE237"/>
      <c r="BF237"/>
      <c r="BG237"/>
    </row>
    <row r="238" spans="3:59" s="69" customFormat="1" x14ac:dyDescent="0.25">
      <c r="C238"/>
      <c r="D238"/>
      <c r="E238"/>
      <c r="F238"/>
      <c r="G238"/>
      <c r="H238"/>
      <c r="I238"/>
      <c r="J238"/>
      <c r="K238"/>
      <c r="L238"/>
      <c r="M238"/>
      <c r="N238"/>
      <c r="O238"/>
      <c r="P238"/>
      <c r="Q238"/>
      <c r="R238"/>
      <c r="S238"/>
      <c r="T238"/>
      <c r="U238"/>
      <c r="V238"/>
      <c r="W238"/>
      <c r="X238"/>
      <c r="Y238"/>
      <c r="Z238"/>
      <c r="AA238"/>
      <c r="AB238"/>
      <c r="AC238"/>
      <c r="AD238"/>
      <c r="AE238"/>
      <c r="AF238"/>
      <c r="AG238"/>
      <c r="AH238" s="291">
        <v>1645094</v>
      </c>
      <c r="AI238" s="293">
        <v>97647</v>
      </c>
      <c r="AJ238" s="165">
        <v>43973</v>
      </c>
      <c r="AK238" t="s">
        <v>512</v>
      </c>
      <c r="AL238"/>
      <c r="AM238"/>
      <c r="AN238"/>
      <c r="AO238"/>
      <c r="AP238"/>
      <c r="AQ238"/>
      <c r="AR238"/>
      <c r="AS238"/>
      <c r="AT238"/>
      <c r="AU238"/>
      <c r="AV238"/>
      <c r="AW238"/>
      <c r="AX238"/>
      <c r="AY238"/>
      <c r="AZ238"/>
      <c r="BA238"/>
      <c r="BB238"/>
      <c r="BC238"/>
      <c r="BD238"/>
      <c r="BE238"/>
      <c r="BF238"/>
      <c r="BG238"/>
    </row>
    <row r="239" spans="3:59" x14ac:dyDescent="0.25">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291">
        <v>1645094</v>
      </c>
      <c r="AI239" s="293">
        <v>97647</v>
      </c>
      <c r="AJ239" s="270">
        <v>43973</v>
      </c>
      <c r="AK239" t="s">
        <v>388</v>
      </c>
      <c r="AL239" s="69"/>
      <c r="AM239" s="69"/>
      <c r="AN239" s="69"/>
      <c r="AO239" s="69"/>
      <c r="AP239" s="69"/>
      <c r="AQ239" s="69"/>
      <c r="AR239" s="69"/>
      <c r="AS239" s="69"/>
      <c r="AT239" s="69"/>
      <c r="AU239" s="69"/>
      <c r="AV239" s="69"/>
      <c r="AW239" s="69"/>
      <c r="AX239" s="69"/>
      <c r="AY239" s="69"/>
      <c r="AZ239" s="69"/>
      <c r="BA239" s="69"/>
      <c r="BB239" s="69"/>
      <c r="BC239" s="69"/>
      <c r="BD239" s="69"/>
      <c r="BE239" s="69"/>
      <c r="BF239" s="69"/>
      <c r="BG239" s="69"/>
    </row>
    <row r="240" spans="3:59" x14ac:dyDescent="0.25">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291">
        <v>1644899</v>
      </c>
      <c r="AI240" s="293">
        <v>98678</v>
      </c>
      <c r="AJ240" s="165">
        <v>43974</v>
      </c>
      <c r="AK240" s="69" t="s">
        <v>394</v>
      </c>
      <c r="AL240" s="69"/>
      <c r="AM240" s="69"/>
      <c r="AN240" s="69"/>
      <c r="AO240" s="69"/>
      <c r="AP240" s="69"/>
      <c r="AQ240" s="69"/>
      <c r="AR240" s="69"/>
      <c r="AS240" s="69"/>
      <c r="AT240" s="69"/>
      <c r="AU240" s="69"/>
      <c r="AV240" s="69"/>
      <c r="AW240" s="69"/>
      <c r="AX240" s="69"/>
      <c r="AY240" s="69"/>
      <c r="AZ240" s="69"/>
      <c r="BA240" s="69"/>
      <c r="BB240" s="69"/>
      <c r="BC240" s="69"/>
      <c r="BD240" s="69"/>
      <c r="BE240" s="69"/>
      <c r="BF240" s="69"/>
      <c r="BG240" s="69"/>
    </row>
    <row r="241" spans="3:59" x14ac:dyDescent="0.25">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291">
        <v>1644899</v>
      </c>
      <c r="AI241" s="293">
        <v>98678</v>
      </c>
      <c r="AJ241" s="165">
        <v>43974</v>
      </c>
      <c r="AK241" s="69" t="s">
        <v>417</v>
      </c>
      <c r="AL241" s="69"/>
      <c r="AM241" s="69"/>
      <c r="AN241" s="69"/>
      <c r="AO241" s="69"/>
      <c r="AP241" s="69"/>
      <c r="AQ241" s="69"/>
      <c r="AR241" s="69"/>
      <c r="AS241" s="69"/>
      <c r="AT241" s="69"/>
      <c r="AU241" s="69"/>
      <c r="AV241" s="69"/>
      <c r="AW241" s="69"/>
      <c r="AX241" s="69"/>
      <c r="AY241" s="69"/>
      <c r="AZ241" s="69"/>
      <c r="BA241" s="69"/>
      <c r="BB241" s="69"/>
      <c r="BC241" s="69"/>
      <c r="BD241" s="69"/>
      <c r="BE241" s="69"/>
      <c r="BF241" s="69"/>
      <c r="BG241" s="69"/>
    </row>
    <row r="242" spans="3:59" x14ac:dyDescent="0.25">
      <c r="AH242" s="291">
        <v>1686436</v>
      </c>
      <c r="AI242" s="293">
        <v>99293</v>
      </c>
      <c r="AJ242" s="165">
        <v>43975</v>
      </c>
      <c r="AK242" s="69" t="s">
        <v>421</v>
      </c>
    </row>
    <row r="243" spans="3:59" x14ac:dyDescent="0.25">
      <c r="AH243" s="291">
        <v>1686436</v>
      </c>
      <c r="AI243" s="293">
        <v>99293</v>
      </c>
      <c r="AJ243" s="165">
        <v>43975</v>
      </c>
      <c r="AK243" s="69" t="s">
        <v>395</v>
      </c>
    </row>
    <row r="244" spans="3:59" x14ac:dyDescent="0.25">
      <c r="AH244" s="291">
        <v>1706226</v>
      </c>
      <c r="AI244" s="293">
        <v>99798</v>
      </c>
      <c r="AJ244" s="217">
        <v>43976</v>
      </c>
      <c r="AK244" s="69" t="s">
        <v>413</v>
      </c>
    </row>
    <row r="245" spans="3:59" x14ac:dyDescent="0.25">
      <c r="AH245" s="291">
        <v>1706226</v>
      </c>
      <c r="AI245" s="293">
        <v>99798</v>
      </c>
      <c r="AJ245" s="270">
        <v>43976</v>
      </c>
      <c r="AK245" s="69" t="s">
        <v>415</v>
      </c>
    </row>
    <row r="246" spans="3:59" x14ac:dyDescent="0.25">
      <c r="AH246" s="291">
        <v>1706226</v>
      </c>
      <c r="AI246" s="293">
        <v>99798</v>
      </c>
      <c r="AJ246" s="270">
        <v>43976</v>
      </c>
      <c r="AK246" s="69" t="s">
        <v>412</v>
      </c>
      <c r="AL246" s="69"/>
    </row>
    <row r="247" spans="3:59" x14ac:dyDescent="0.25">
      <c r="AH247" s="291">
        <v>1706226</v>
      </c>
      <c r="AI247" s="293">
        <v>99798</v>
      </c>
      <c r="AJ247" s="270">
        <v>43976</v>
      </c>
      <c r="AK247" s="69" t="s">
        <v>414</v>
      </c>
    </row>
    <row r="248" spans="3:59" x14ac:dyDescent="0.25">
      <c r="AH248" s="291">
        <v>1706226</v>
      </c>
      <c r="AI248" s="293">
        <v>99798</v>
      </c>
      <c r="AJ248" s="270">
        <v>43976</v>
      </c>
      <c r="AK248" s="69" t="s">
        <v>419</v>
      </c>
    </row>
    <row r="249" spans="3:59" x14ac:dyDescent="0.25">
      <c r="AH249" s="291">
        <v>1706226</v>
      </c>
      <c r="AI249" s="293">
        <v>99798</v>
      </c>
      <c r="AJ249" s="217">
        <v>43976</v>
      </c>
      <c r="AK249" s="69" t="s">
        <v>420</v>
      </c>
    </row>
    <row r="250" spans="3:59" x14ac:dyDescent="0.25">
      <c r="AH250" s="291">
        <v>1706226</v>
      </c>
      <c r="AI250" s="293">
        <v>99798</v>
      </c>
      <c r="AJ250" s="271">
        <v>43976</v>
      </c>
      <c r="AK250" s="69" t="s">
        <v>422</v>
      </c>
      <c r="AL250" s="255"/>
    </row>
    <row r="251" spans="3:59" x14ac:dyDescent="0.25">
      <c r="AH251" s="291">
        <v>1725275</v>
      </c>
      <c r="AI251" s="292">
        <v>100572</v>
      </c>
      <c r="AJ251" s="192">
        <v>43977</v>
      </c>
      <c r="AK251" s="69" t="s">
        <v>538</v>
      </c>
    </row>
    <row r="252" spans="3:59" x14ac:dyDescent="0.25">
      <c r="AH252" s="291">
        <v>1725275</v>
      </c>
      <c r="AI252" s="293">
        <v>100572</v>
      </c>
      <c r="AJ252" s="270">
        <v>43977</v>
      </c>
      <c r="AK252" s="47" t="s">
        <v>510</v>
      </c>
    </row>
    <row r="253" spans="3:59" x14ac:dyDescent="0.25">
      <c r="AH253" s="291">
        <v>1725275</v>
      </c>
      <c r="AI253" s="293">
        <v>100572</v>
      </c>
      <c r="AJ253" s="270">
        <v>43977</v>
      </c>
      <c r="AK253" s="47" t="s">
        <v>426</v>
      </c>
    </row>
    <row r="254" spans="3:59" x14ac:dyDescent="0.25">
      <c r="AH254" s="291">
        <v>1745803</v>
      </c>
      <c r="AI254" s="310">
        <v>102107</v>
      </c>
      <c r="AJ254" s="270">
        <v>43978</v>
      </c>
      <c r="AK254" s="47" t="s">
        <v>418</v>
      </c>
    </row>
    <row r="255" spans="3:59" x14ac:dyDescent="0.25">
      <c r="AH255" s="291">
        <v>1745803</v>
      </c>
      <c r="AI255" s="310">
        <v>102107</v>
      </c>
      <c r="AJ255" s="270">
        <v>43978</v>
      </c>
      <c r="AK255" s="47" t="s">
        <v>511</v>
      </c>
    </row>
    <row r="256" spans="3:59" x14ac:dyDescent="0.25">
      <c r="AH256" s="311">
        <v>1768461</v>
      </c>
      <c r="AI256" s="310">
        <v>103330</v>
      </c>
      <c r="AJ256" s="270">
        <v>43979</v>
      </c>
      <c r="AK256" s="47" t="s">
        <v>427</v>
      </c>
    </row>
    <row r="257" spans="1:58" s="69" customFormat="1" x14ac:dyDescent="0.25">
      <c r="AI257" s="311">
        <v>1793530</v>
      </c>
      <c r="AJ257" s="310">
        <v>104542</v>
      </c>
      <c r="AK257" s="270">
        <v>43980</v>
      </c>
      <c r="AL257" s="47" t="s">
        <v>517</v>
      </c>
    </row>
    <row r="258" spans="1:58" s="69" customFormat="1" x14ac:dyDescent="0.25">
      <c r="AI258" s="311">
        <v>1793530</v>
      </c>
      <c r="AJ258" s="310">
        <v>104542</v>
      </c>
      <c r="AK258" s="270">
        <v>43980</v>
      </c>
      <c r="AL258" s="69" t="s">
        <v>518</v>
      </c>
    </row>
    <row r="259" spans="1:58" s="69" customFormat="1" x14ac:dyDescent="0.25"/>
    <row r="261" spans="1:58" x14ac:dyDescent="0.25">
      <c r="A261" s="4" t="s">
        <v>189</v>
      </c>
      <c r="B261" s="221">
        <v>330565500</v>
      </c>
    </row>
    <row r="262" spans="1:58" x14ac:dyDescent="0.25">
      <c r="A262" s="4"/>
      <c r="B262" s="309"/>
    </row>
    <row r="263" spans="1:58" x14ac:dyDescent="0.25">
      <c r="A263" s="57" t="s">
        <v>383</v>
      </c>
      <c r="B263" s="294">
        <v>1.4E-2</v>
      </c>
    </row>
    <row r="264" spans="1:58" s="69" customFormat="1" x14ac:dyDescent="0.25">
      <c r="A264" s="62"/>
      <c r="B264" s="169"/>
      <c r="C264" s="69" t="s">
        <v>301</v>
      </c>
    </row>
    <row r="265" spans="1:58" x14ac:dyDescent="0.25">
      <c r="A265" s="4" t="s">
        <v>113</v>
      </c>
      <c r="B265" s="155">
        <f>B263/B273</f>
        <v>0.23728813559322035</v>
      </c>
      <c r="C265" t="s">
        <v>384</v>
      </c>
      <c r="D265" s="69"/>
      <c r="E265" s="69"/>
      <c r="G265" s="69"/>
      <c r="H265" s="69"/>
      <c r="I265" s="69"/>
      <c r="J265" s="69"/>
      <c r="K265" s="69"/>
      <c r="L265" s="69"/>
      <c r="M265" s="69"/>
      <c r="N265" s="69"/>
      <c r="O265" s="69"/>
      <c r="P265" s="69"/>
      <c r="Q265" s="69"/>
      <c r="R265" s="69"/>
      <c r="S265" s="165"/>
      <c r="T265" s="69"/>
      <c r="U265" s="165"/>
      <c r="X265" s="198"/>
      <c r="Y265" s="16"/>
    </row>
    <row r="266" spans="1:58" x14ac:dyDescent="0.25">
      <c r="A266" s="37" t="s">
        <v>115</v>
      </c>
      <c r="B266" s="114">
        <v>7.0000000000000007E-2</v>
      </c>
      <c r="C266" s="248"/>
      <c r="D266" s="69"/>
      <c r="E266" s="69"/>
      <c r="F266" s="69"/>
      <c r="G266" s="69"/>
      <c r="H266" s="69"/>
      <c r="I266" s="69"/>
      <c r="J266" s="69"/>
      <c r="K266" s="69"/>
      <c r="L266" s="69"/>
      <c r="M266" s="69"/>
      <c r="N266" s="69"/>
      <c r="O266" s="69"/>
      <c r="P266" s="69"/>
      <c r="Q266" s="69"/>
      <c r="R266" s="69"/>
      <c r="S266" s="69"/>
      <c r="T266" s="165"/>
      <c r="U266" s="165"/>
      <c r="V266" s="69"/>
      <c r="W266" s="69"/>
      <c r="X266" s="16"/>
      <c r="Y266" s="16"/>
    </row>
    <row r="267" spans="1:58" x14ac:dyDescent="0.25">
      <c r="A267" s="4" t="s">
        <v>178</v>
      </c>
      <c r="B267" s="249">
        <v>2.4</v>
      </c>
      <c r="C267" s="64">
        <f>(B261/1000)*B267</f>
        <v>793357.2</v>
      </c>
      <c r="D267" s="69"/>
      <c r="E267" s="69"/>
      <c r="F267" s="69"/>
      <c r="G267" s="69"/>
      <c r="H267" s="69"/>
      <c r="I267" s="69"/>
      <c r="J267" s="69"/>
      <c r="K267" s="69"/>
      <c r="L267" s="69"/>
      <c r="M267" s="69"/>
      <c r="N267" s="69"/>
      <c r="O267" s="69"/>
      <c r="P267" s="69"/>
      <c r="Q267" s="69"/>
      <c r="R267" s="69"/>
      <c r="S267" s="69"/>
      <c r="T267" s="69"/>
      <c r="U267" s="69"/>
      <c r="V267" s="69"/>
      <c r="W267" s="69"/>
      <c r="X267" s="16"/>
      <c r="Y267" s="16"/>
      <c r="AA267" s="120"/>
    </row>
    <row r="268" spans="1:58" x14ac:dyDescent="0.25">
      <c r="A268" s="37" t="s">
        <v>179</v>
      </c>
      <c r="B268" s="250">
        <v>34.700000000000003</v>
      </c>
      <c r="C268" s="61">
        <f>(B261/100000)*B268</f>
        <v>114706.22850000001</v>
      </c>
      <c r="D268" s="69"/>
      <c r="E268" s="69"/>
      <c r="F268" s="69"/>
      <c r="G268" s="69"/>
      <c r="H268" s="69"/>
      <c r="I268" s="69"/>
      <c r="J268" s="69"/>
      <c r="K268" s="69"/>
      <c r="L268" s="69"/>
      <c r="M268" s="69"/>
      <c r="N268" s="69"/>
      <c r="O268" s="69"/>
      <c r="P268" s="69"/>
      <c r="Q268" s="69"/>
      <c r="R268" s="69"/>
      <c r="S268" s="69"/>
      <c r="T268" s="69"/>
      <c r="U268" s="69"/>
      <c r="V268" s="150"/>
      <c r="W268" s="69"/>
    </row>
    <row r="269" spans="1:58" x14ac:dyDescent="0.25">
      <c r="A269" s="41"/>
      <c r="B269" s="288"/>
      <c r="C269" s="10"/>
      <c r="D269" s="69"/>
      <c r="E269" s="69"/>
      <c r="F269" s="69"/>
      <c r="G269" s="69"/>
      <c r="H269" s="69"/>
      <c r="I269" s="69"/>
      <c r="J269" s="69"/>
      <c r="K269" s="69"/>
      <c r="L269" s="69"/>
      <c r="M269" s="69"/>
      <c r="N269" s="69"/>
      <c r="O269" s="69"/>
      <c r="P269" s="69"/>
      <c r="Q269" s="69"/>
      <c r="R269" s="69"/>
      <c r="S269" s="69"/>
      <c r="T269" s="69"/>
      <c r="U269" s="69"/>
      <c r="V269" s="150"/>
      <c r="W269" s="69"/>
    </row>
    <row r="270" spans="1:58" x14ac:dyDescent="0.25">
      <c r="A270" s="4" t="s">
        <v>74</v>
      </c>
      <c r="B270" s="112">
        <v>0.81</v>
      </c>
      <c r="C270" s="2"/>
      <c r="D270" s="69"/>
      <c r="E270" s="69"/>
      <c r="F270" s="69"/>
      <c r="G270" s="69"/>
      <c r="H270" s="69"/>
      <c r="I270" s="69"/>
      <c r="J270" s="69"/>
      <c r="K270" s="69"/>
      <c r="L270" s="69"/>
      <c r="M270" s="69"/>
      <c r="N270" s="69"/>
      <c r="O270" s="69"/>
      <c r="P270" s="69"/>
      <c r="Q270" s="69"/>
      <c r="R270" s="69"/>
      <c r="S270" s="69"/>
      <c r="T270" s="69"/>
      <c r="U270" s="69"/>
      <c r="Z270" s="217"/>
      <c r="AC270" s="255"/>
    </row>
    <row r="271" spans="1:58" x14ac:dyDescent="0.25">
      <c r="A271" s="41" t="s">
        <v>75</v>
      </c>
      <c r="B271" s="113">
        <v>0.14000000000000001</v>
      </c>
      <c r="C271" s="2"/>
      <c r="D271" s="69"/>
      <c r="E271" s="69"/>
      <c r="F271" s="69"/>
      <c r="G271" s="69"/>
      <c r="H271" s="69"/>
      <c r="I271" s="69"/>
      <c r="J271" s="69"/>
      <c r="K271" s="69"/>
      <c r="L271" s="69"/>
      <c r="M271" s="69"/>
      <c r="N271" s="69"/>
      <c r="O271" s="69"/>
      <c r="P271" s="69"/>
      <c r="Q271" s="69"/>
      <c r="R271" s="69"/>
      <c r="S271" s="69"/>
      <c r="T271" s="69"/>
      <c r="U271" s="47"/>
      <c r="V271" s="69"/>
      <c r="W271" s="165"/>
      <c r="AC271" s="217"/>
      <c r="AV271" s="255"/>
      <c r="AW271" s="255"/>
      <c r="AX271" s="255"/>
      <c r="AY271" s="255"/>
      <c r="AZ271" s="255"/>
    </row>
    <row r="272" spans="1:58" x14ac:dyDescent="0.25">
      <c r="A272" s="37" t="s">
        <v>109</v>
      </c>
      <c r="B272" s="114">
        <v>0.05</v>
      </c>
      <c r="C272" s="2"/>
      <c r="D272" s="212" t="s">
        <v>168</v>
      </c>
      <c r="T272" s="16"/>
      <c r="U272" s="16"/>
      <c r="V272" s="259"/>
      <c r="W272" s="16"/>
      <c r="AE272" s="2"/>
      <c r="AJ272" s="217"/>
      <c r="AK272" s="217"/>
      <c r="BA272" s="175"/>
      <c r="BB272" s="175"/>
      <c r="BC272" s="175"/>
      <c r="BD272" s="175"/>
      <c r="BE272" s="175"/>
      <c r="BF272" s="175"/>
    </row>
    <row r="273" spans="1:63" x14ac:dyDescent="0.25">
      <c r="A273" s="37" t="s">
        <v>114</v>
      </c>
      <c r="B273" s="65">
        <v>5.8999999999999997E-2</v>
      </c>
      <c r="C273" s="2"/>
      <c r="D273" s="179" t="s">
        <v>160</v>
      </c>
      <c r="U273" s="16"/>
      <c r="V273" s="16"/>
      <c r="W273" s="16"/>
      <c r="AI273" s="217"/>
      <c r="AJ273" s="217"/>
      <c r="AV273" s="176"/>
      <c r="AW273" s="176"/>
      <c r="AX273" s="176"/>
      <c r="AY273" s="176"/>
      <c r="AZ273" s="176"/>
    </row>
    <row r="274" spans="1:63" x14ac:dyDescent="0.25">
      <c r="A274" s="153" t="s">
        <v>299</v>
      </c>
      <c r="B274" s="154">
        <v>43851</v>
      </c>
      <c r="C274" s="2"/>
      <c r="D274" s="256">
        <f>(BA277-P277)/(LOG(BA278/P278)/LOG(2))</f>
        <v>36.631578947368418</v>
      </c>
      <c r="E274" s="175"/>
      <c r="L274" s="217"/>
      <c r="M274" s="217"/>
      <c r="N274" s="217"/>
      <c r="S274" s="16"/>
      <c r="T274" s="16"/>
      <c r="U274" s="16"/>
      <c r="V274" s="16"/>
      <c r="W274" s="16"/>
      <c r="AC274" t="s">
        <v>330</v>
      </c>
      <c r="AK274" s="217"/>
      <c r="AL274" s="217"/>
    </row>
    <row r="275" spans="1:63" x14ac:dyDescent="0.25">
      <c r="A275" s="16"/>
      <c r="B275" s="50" t="s">
        <v>54</v>
      </c>
      <c r="C275" s="10"/>
      <c r="D275" s="16"/>
      <c r="E275" s="16"/>
      <c r="F275" s="16"/>
      <c r="G275" s="16"/>
      <c r="H275" s="16"/>
      <c r="I275" s="16"/>
      <c r="J275" s="16"/>
      <c r="K275" s="16"/>
      <c r="L275" s="16"/>
      <c r="M275" s="16"/>
      <c r="N275" s="16"/>
      <c r="O275" s="16"/>
      <c r="Q275" s="16"/>
      <c r="R275" s="16"/>
      <c r="S275" s="16"/>
      <c r="T275" s="16"/>
      <c r="U275" s="16"/>
      <c r="V275" s="16"/>
      <c r="W275" s="16"/>
      <c r="X275" s="16"/>
      <c r="Y275" s="16"/>
      <c r="Z275" s="16"/>
      <c r="AA275" s="16"/>
      <c r="AB275" s="16"/>
      <c r="AC275" s="16"/>
      <c r="AD275" s="16"/>
      <c r="AE275" s="16"/>
      <c r="AF275" s="16" t="s">
        <v>291</v>
      </c>
      <c r="AG275" s="16"/>
      <c r="AH275" s="16"/>
      <c r="AI275" s="16"/>
      <c r="AJ275" s="16"/>
      <c r="AK275" s="16"/>
      <c r="AL275" s="16"/>
      <c r="AM275" s="16"/>
      <c r="AN275" s="16"/>
      <c r="AO275" s="16"/>
      <c r="AP275" s="16"/>
      <c r="AQ275" s="16"/>
      <c r="AR275" s="16"/>
      <c r="AS275" s="16"/>
      <c r="AT275" s="16"/>
      <c r="AU275" s="16"/>
      <c r="BH275" s="152"/>
    </row>
    <row r="276" spans="1:63" x14ac:dyDescent="0.25">
      <c r="A276" s="53" t="s">
        <v>41</v>
      </c>
      <c r="B276" s="192">
        <v>43882</v>
      </c>
      <c r="C276" s="192">
        <v>43890</v>
      </c>
      <c r="D276" s="192">
        <v>43893</v>
      </c>
      <c r="E276" s="192">
        <v>43895</v>
      </c>
      <c r="F276" s="192">
        <v>43904</v>
      </c>
      <c r="G276" s="192">
        <v>43912</v>
      </c>
      <c r="H276" s="192">
        <v>43918</v>
      </c>
      <c r="I276" s="192">
        <v>43923</v>
      </c>
      <c r="J276" s="192">
        <v>43932</v>
      </c>
      <c r="K276" s="192">
        <v>43948</v>
      </c>
      <c r="L276" s="192">
        <v>43990</v>
      </c>
      <c r="M276" s="192">
        <v>44074</v>
      </c>
      <c r="N276" s="192">
        <v>44242</v>
      </c>
      <c r="O276" s="192"/>
      <c r="Q276" s="133" t="s">
        <v>300</v>
      </c>
      <c r="R276" s="16"/>
      <c r="S276" s="16"/>
      <c r="T276" s="16"/>
      <c r="U276" s="16"/>
      <c r="V276" s="16"/>
      <c r="W276" s="16"/>
      <c r="X276" s="16"/>
      <c r="Y276" s="182"/>
      <c r="Z276" s="16"/>
      <c r="AA276" s="16"/>
      <c r="AB276" s="16"/>
      <c r="AC276" s="16" t="s">
        <v>266</v>
      </c>
      <c r="AG276" t="s">
        <v>302</v>
      </c>
      <c r="AL276" s="16"/>
      <c r="AM276" s="16"/>
      <c r="AN276" s="16"/>
      <c r="AO276" s="16"/>
      <c r="AP276" s="16"/>
      <c r="AQ276" s="16"/>
      <c r="AR276" s="16"/>
      <c r="AS276" s="16"/>
      <c r="AT276" s="16"/>
      <c r="AU276" s="16"/>
      <c r="BB276" s="212" t="s">
        <v>169</v>
      </c>
      <c r="BH276" s="252" t="s">
        <v>188</v>
      </c>
    </row>
    <row r="277" spans="1:63" x14ac:dyDescent="0.25">
      <c r="A277" s="4" t="s">
        <v>11</v>
      </c>
      <c r="B277" s="84">
        <v>8</v>
      </c>
      <c r="C277" s="157">
        <v>3</v>
      </c>
      <c r="D277" s="258">
        <v>2</v>
      </c>
      <c r="E277" s="157">
        <v>3</v>
      </c>
      <c r="F277" s="258">
        <v>2</v>
      </c>
      <c r="G277" s="157">
        <v>3</v>
      </c>
      <c r="H277" s="156">
        <v>5</v>
      </c>
      <c r="I277" s="257">
        <v>9</v>
      </c>
      <c r="J277">
        <v>16</v>
      </c>
      <c r="K277">
        <v>42</v>
      </c>
      <c r="L277">
        <v>84</v>
      </c>
      <c r="M277">
        <v>168</v>
      </c>
      <c r="N277">
        <v>336</v>
      </c>
      <c r="O277" s="220"/>
      <c r="P277" s="277">
        <v>43882</v>
      </c>
      <c r="Q277" s="278">
        <f t="shared" ref="Q277:AD277" si="0">P277+HLOOKUP(P277+1, $B$276:$O$277,2,TRUE)</f>
        <v>43890</v>
      </c>
      <c r="R277" s="279">
        <f t="shared" si="0"/>
        <v>43893</v>
      </c>
      <c r="S277" s="278">
        <f t="shared" si="0"/>
        <v>43895</v>
      </c>
      <c r="T277" s="278">
        <f t="shared" si="0"/>
        <v>43898</v>
      </c>
      <c r="U277" s="278">
        <f t="shared" si="0"/>
        <v>43901</v>
      </c>
      <c r="V277" s="279">
        <f t="shared" si="0"/>
        <v>43904</v>
      </c>
      <c r="W277" s="279">
        <f t="shared" si="0"/>
        <v>43906</v>
      </c>
      <c r="X277" s="279">
        <f t="shared" si="0"/>
        <v>43908</v>
      </c>
      <c r="Y277" s="279">
        <f t="shared" si="0"/>
        <v>43910</v>
      </c>
      <c r="Z277" s="278">
        <f t="shared" si="0"/>
        <v>43912</v>
      </c>
      <c r="AA277" s="280">
        <f t="shared" si="0"/>
        <v>43915</v>
      </c>
      <c r="AB277" s="280">
        <f t="shared" si="0"/>
        <v>43918</v>
      </c>
      <c r="AC277" s="281">
        <f t="shared" si="0"/>
        <v>43923</v>
      </c>
      <c r="AD277" s="282">
        <f t="shared" si="0"/>
        <v>43932</v>
      </c>
      <c r="AE277" s="283">
        <f>$AD$277+(($AH$277-$AD$277)*0.25)</f>
        <v>43936</v>
      </c>
      <c r="AF277" s="283">
        <f>$AD$277+(($AH$277-$AD$277)*0.5)</f>
        <v>43940</v>
      </c>
      <c r="AG277" s="283">
        <f>$AD$277+(($AH$277-$AD$277)*0.75)</f>
        <v>43944</v>
      </c>
      <c r="AH277" s="282">
        <f>AD277+HLOOKUP(AD277+1, $B$276:$O$277,2,TRUE)</f>
        <v>43948</v>
      </c>
      <c r="AI277" s="283">
        <f>$AH$277+(($AL$277-$AH$277)*0.25)</f>
        <v>43958.5</v>
      </c>
      <c r="AJ277" s="283">
        <f>$AH$277+(($AL$277-$AH$277)*0.5)</f>
        <v>43969</v>
      </c>
      <c r="AK277" s="287">
        <f>$AH$277+(($AL$277-$AH$277)*0.77)</f>
        <v>43980.34</v>
      </c>
      <c r="AL277" s="228">
        <f>AH277+HLOOKUP(AH277+1, $B$276:$O$277,2,TRUE)</f>
        <v>43990</v>
      </c>
      <c r="AM277" s="285">
        <f>$AL$277+(($AQ$277-$AL$277)*0.2)</f>
        <v>44006.8</v>
      </c>
      <c r="AN277" s="285">
        <f>$AL$277+(($AQ$277-$AL$277)*0.4)</f>
        <v>44023.6</v>
      </c>
      <c r="AO277" s="285">
        <f>$AL$277+(($AQ$277-$AL$277)*0.6)</f>
        <v>44040.4</v>
      </c>
      <c r="AP277" s="285">
        <f>$AL$277+(($AQ$277-$AL$277)*0.8)</f>
        <v>44057.2</v>
      </c>
      <c r="AQ277" s="228">
        <f>AL277+HLOOKUP(AL277+1, $B$276:$O$277,2,TRUE)</f>
        <v>44074</v>
      </c>
      <c r="AR277" s="285">
        <f>$AQ$277+(($AV$277-$AQ$277)*0.2)</f>
        <v>44107.6</v>
      </c>
      <c r="AS277" s="285">
        <f>$AQ$277+(($AV$277-$AQ$277)*0.4)</f>
        <v>44141.2</v>
      </c>
      <c r="AT277" s="285">
        <f>$AQ$277+(($AV$277-$AQ$277)*0.6)</f>
        <v>44174.8</v>
      </c>
      <c r="AU277" s="285">
        <f>$AQ$277+(($AV$277-$AQ$277)*0.8)</f>
        <v>44208.4</v>
      </c>
      <c r="AV277" s="228">
        <f>AQ277+HLOOKUP(AQ277+1, $B$276:$O$277,2,TRUE)</f>
        <v>44242</v>
      </c>
      <c r="AW277" s="285">
        <f>$AV$277+(($BA$277-$AV$277)*0.2)</f>
        <v>44309.2</v>
      </c>
      <c r="AX277" s="285">
        <f>$AV$277+(($BA$277-$AV$277)*0.4)</f>
        <v>44376.4</v>
      </c>
      <c r="AY277" s="285">
        <f>$AV$277+(($BA$277-$AV$277)*0.6)</f>
        <v>44443.6</v>
      </c>
      <c r="AZ277" s="285">
        <f>$AV$277+(($BA$277-$AV$277)*0.8)</f>
        <v>44510.8</v>
      </c>
      <c r="BA277" s="237">
        <f>AV277+HLOOKUP(AV277+1, $B$276:$O$277,2,TRUE)</f>
        <v>44578</v>
      </c>
      <c r="BB277" s="228">
        <f>BA277+HLOOKUP(BA277+1, $B$276:$O$277,2,TRUE)</f>
        <v>44914</v>
      </c>
      <c r="BC277" s="228">
        <f t="shared" ref="BB277:BG277" si="1">BB277+HLOOKUP(BB277+1, $B$276:$O$277,2,TRUE)</f>
        <v>45250</v>
      </c>
      <c r="BD277" s="228">
        <f t="shared" si="1"/>
        <v>45586</v>
      </c>
      <c r="BE277" s="228">
        <f t="shared" si="1"/>
        <v>45922</v>
      </c>
      <c r="BF277" s="237">
        <f t="shared" si="1"/>
        <v>46258</v>
      </c>
      <c r="BG277" s="237">
        <f t="shared" si="1"/>
        <v>46594</v>
      </c>
      <c r="BH277" s="251">
        <f>BG277+(7*8)</f>
        <v>46650</v>
      </c>
      <c r="BI277" s="70"/>
      <c r="BJ277" s="70"/>
      <c r="BK277" s="69"/>
    </row>
    <row r="278" spans="1:63" x14ac:dyDescent="0.25">
      <c r="A278" s="41" t="s">
        <v>107</v>
      </c>
      <c r="B278" s="16"/>
      <c r="C278" s="16"/>
      <c r="D278" s="16"/>
      <c r="E278" s="16"/>
      <c r="F278" s="16"/>
      <c r="G278" s="16"/>
      <c r="H278" s="16"/>
      <c r="I278" s="16"/>
      <c r="J278" s="16"/>
      <c r="K278" s="16"/>
      <c r="L278" s="16"/>
      <c r="M278" s="16"/>
      <c r="N278" s="16"/>
      <c r="O278" s="16"/>
      <c r="P278" s="273">
        <v>31.25</v>
      </c>
      <c r="Q278" s="274">
        <f>P278*2</f>
        <v>62.5</v>
      </c>
      <c r="R278" s="274">
        <f t="shared" ref="R278:AD278" si="2">Q278*2</f>
        <v>125</v>
      </c>
      <c r="S278" s="274">
        <f t="shared" si="2"/>
        <v>250</v>
      </c>
      <c r="T278" s="274">
        <f t="shared" si="2"/>
        <v>500</v>
      </c>
      <c r="U278" s="274">
        <f t="shared" si="2"/>
        <v>1000</v>
      </c>
      <c r="V278" s="274">
        <f t="shared" si="2"/>
        <v>2000</v>
      </c>
      <c r="W278" s="274">
        <f t="shared" si="2"/>
        <v>4000</v>
      </c>
      <c r="X278" s="274">
        <f t="shared" si="2"/>
        <v>8000</v>
      </c>
      <c r="Y278" s="274">
        <f>X278*2</f>
        <v>16000</v>
      </c>
      <c r="Z278" s="274">
        <f>Y278*2</f>
        <v>32000</v>
      </c>
      <c r="AA278" s="274">
        <f>Z278*2</f>
        <v>64000</v>
      </c>
      <c r="AB278" s="274">
        <f>AA278*2</f>
        <v>128000</v>
      </c>
      <c r="AC278" s="274">
        <f t="shared" si="2"/>
        <v>256000</v>
      </c>
      <c r="AD278" s="274">
        <f t="shared" si="2"/>
        <v>512000</v>
      </c>
      <c r="AE278" s="274">
        <f>$AD$278+(($AH$278-$AD$278)*0.25)</f>
        <v>640000</v>
      </c>
      <c r="AF278" s="274">
        <f>$AD$278+(($AH$278-$AD$278)*0.5)</f>
        <v>768000</v>
      </c>
      <c r="AG278" s="274">
        <f>$AD$278+(($AH$278-$AD$278)*0.75)</f>
        <v>896000</v>
      </c>
      <c r="AH278" s="274">
        <f>AD278*2</f>
        <v>1024000</v>
      </c>
      <c r="AI278" s="274">
        <f>$AH$278+(($AL$278-$AH$278)*0.28)</f>
        <v>1310720</v>
      </c>
      <c r="AJ278" s="274">
        <f>$AH$278+(($AL$278-$AH$278)*0.5)</f>
        <v>1536000</v>
      </c>
      <c r="AK278" s="274">
        <f>$AH$278+(($AL$278-$AH$278)*0.75)</f>
        <v>1792000</v>
      </c>
      <c r="AL278" s="274">
        <f>AH278*2</f>
        <v>2048000</v>
      </c>
      <c r="AM278" s="274">
        <f>$AL$278+(($AQ$278-$AL$278)*0.2)</f>
        <v>2457600</v>
      </c>
      <c r="AN278" s="274">
        <f>$AL$278+(($AQ$278-$AL$278)*0.4)</f>
        <v>2867200</v>
      </c>
      <c r="AO278" s="274">
        <f>$AL$278+(($AQ$278-$AL$278)*0.6)</f>
        <v>3276800</v>
      </c>
      <c r="AP278" s="274">
        <f>$AL$278+(($AQ$278-$AL$278)*0.8)</f>
        <v>3686400</v>
      </c>
      <c r="AQ278" s="274">
        <f>AL278*2</f>
        <v>4096000</v>
      </c>
      <c r="AR278" s="274">
        <f>$AQ$278+(($AV$278-$AQ$278)*0.2)</f>
        <v>4915200</v>
      </c>
      <c r="AS278" s="274">
        <f>$AQ$278+(($AV$278-$AQ$278)*0.4)</f>
        <v>5734400</v>
      </c>
      <c r="AT278" s="274">
        <f>$AQ$278+(($AV$278-$AQ$278)*0.6)</f>
        <v>6553600</v>
      </c>
      <c r="AU278" s="274">
        <f>$AQ$278+(($AV$278-$AQ$278)*0.8)</f>
        <v>7372800</v>
      </c>
      <c r="AV278" s="274">
        <f>AQ278*2</f>
        <v>8192000</v>
      </c>
      <c r="AW278" s="274">
        <f>$AV$278+(($BA$278-$AV$278)*0.2)</f>
        <v>9830400</v>
      </c>
      <c r="AX278" s="274">
        <f>$AV$278+(($BA$278-$AV$278)*0.4)</f>
        <v>11468800</v>
      </c>
      <c r="AY278" s="274">
        <f>$AV$278+(($BA$278-$AV$278)*0.6)</f>
        <v>13107200</v>
      </c>
      <c r="AZ278" s="274">
        <f>$AV$278+(($BA$278-$AV$278)*0.8)</f>
        <v>14745600</v>
      </c>
      <c r="BA278" s="275">
        <f>AV278*2</f>
        <v>16384000</v>
      </c>
      <c r="BB278" s="238">
        <f t="shared" ref="BB278:BE278" si="3">BA278*2</f>
        <v>32768000</v>
      </c>
      <c r="BC278" s="208">
        <f t="shared" si="3"/>
        <v>65536000</v>
      </c>
      <c r="BD278" s="208">
        <f t="shared" si="3"/>
        <v>131072000</v>
      </c>
      <c r="BE278" s="208">
        <f t="shared" si="3"/>
        <v>262144000</v>
      </c>
      <c r="BF278" s="209">
        <f>B261</f>
        <v>330565500</v>
      </c>
      <c r="BG278" s="199">
        <f>B261</f>
        <v>330565500</v>
      </c>
      <c r="BH278" s="242">
        <f>B261*BH279</f>
        <v>23139585.000000004</v>
      </c>
      <c r="BI278" s="45"/>
      <c r="BJ278" s="45"/>
      <c r="BK278" s="69"/>
    </row>
    <row r="279" spans="1:63" x14ac:dyDescent="0.25">
      <c r="A279" s="41" t="s">
        <v>108</v>
      </c>
      <c r="B279" s="16"/>
      <c r="C279" s="16"/>
      <c r="D279" s="16"/>
      <c r="E279" s="16"/>
      <c r="F279" s="16"/>
      <c r="G279" s="16"/>
      <c r="H279" s="16"/>
      <c r="I279" s="16"/>
      <c r="J279" s="16"/>
      <c r="K279" s="16"/>
      <c r="L279" s="16"/>
      <c r="M279" s="16"/>
      <c r="N279" s="16"/>
      <c r="O279" s="16"/>
      <c r="P279" s="218">
        <f t="shared" ref="P279:AP279" si="4">P278/$B$261</f>
        <v>9.453497113280122E-8</v>
      </c>
      <c r="Q279" s="219">
        <f t="shared" si="4"/>
        <v>1.8906994226560244E-7</v>
      </c>
      <c r="R279" s="219">
        <f t="shared" si="4"/>
        <v>3.7813988453120488E-7</v>
      </c>
      <c r="S279" s="196">
        <f t="shared" si="4"/>
        <v>7.5627976906240976E-7</v>
      </c>
      <c r="T279" s="196">
        <f t="shared" si="4"/>
        <v>1.5125595381248195E-6</v>
      </c>
      <c r="U279" s="196">
        <f t="shared" si="4"/>
        <v>3.025119076249639E-6</v>
      </c>
      <c r="V279" s="196">
        <f t="shared" si="4"/>
        <v>6.0502381524992781E-6</v>
      </c>
      <c r="W279" s="66">
        <f t="shared" si="4"/>
        <v>1.2100476304998556E-5</v>
      </c>
      <c r="X279" s="36">
        <f t="shared" si="4"/>
        <v>2.4200952609997112E-5</v>
      </c>
      <c r="Y279" s="36">
        <f>Y278/$B$261</f>
        <v>4.8401905219994225E-5</v>
      </c>
      <c r="Z279" s="36">
        <f>Z278/$B$261</f>
        <v>9.6803810439988449E-5</v>
      </c>
      <c r="AA279" s="36">
        <f>AA278/$B$261</f>
        <v>1.936076208799769E-4</v>
      </c>
      <c r="AB279" s="36">
        <f>AB278/$B$261</f>
        <v>3.872152417599538E-4</v>
      </c>
      <c r="AC279" s="14">
        <f t="shared" si="4"/>
        <v>7.7443048351990759E-4</v>
      </c>
      <c r="AD279" s="14">
        <f t="shared" si="4"/>
        <v>1.5488609670398152E-3</v>
      </c>
      <c r="AE279" s="14">
        <f t="shared" ref="AE279:AG279" si="5">AE278/$B$261</f>
        <v>1.9360762087997688E-3</v>
      </c>
      <c r="AF279" s="14">
        <f t="shared" si="5"/>
        <v>2.3232914505597227E-3</v>
      </c>
      <c r="AG279" s="14">
        <f t="shared" si="5"/>
        <v>2.7105066923196765E-3</v>
      </c>
      <c r="AH279" s="14">
        <f t="shared" si="4"/>
        <v>3.0977219340796304E-3</v>
      </c>
      <c r="AI279" s="14">
        <f t="shared" ref="AI279:AK279" si="6">AI278/$B$261</f>
        <v>3.9650840756219269E-3</v>
      </c>
      <c r="AJ279" s="14">
        <f t="shared" si="6"/>
        <v>4.6465829011194454E-3</v>
      </c>
      <c r="AK279" s="14">
        <f t="shared" si="6"/>
        <v>5.4210133846393531E-3</v>
      </c>
      <c r="AL279" s="14">
        <f t="shared" si="4"/>
        <v>6.1954438681592608E-3</v>
      </c>
      <c r="AM279" s="15">
        <f t="shared" si="4"/>
        <v>7.4345326417911122E-3</v>
      </c>
      <c r="AN279" s="15">
        <f t="shared" si="4"/>
        <v>8.6736214154229645E-3</v>
      </c>
      <c r="AO279" s="15">
        <f t="shared" si="4"/>
        <v>9.9127101890548169E-3</v>
      </c>
      <c r="AP279" s="15">
        <f t="shared" si="4"/>
        <v>1.1151798962686669E-2</v>
      </c>
      <c r="AQ279" s="15">
        <f>AQ278/$B$261</f>
        <v>1.2390887736318522E-2</v>
      </c>
      <c r="AR279" s="15">
        <f t="shared" ref="AR279:AU279" si="7">AR278/$B$261</f>
        <v>1.4869065283582224E-2</v>
      </c>
      <c r="AS279" s="15">
        <f t="shared" si="7"/>
        <v>1.7347242830845929E-2</v>
      </c>
      <c r="AT279" s="15">
        <f t="shared" si="7"/>
        <v>1.9825420378109634E-2</v>
      </c>
      <c r="AU279" s="15">
        <f t="shared" si="7"/>
        <v>2.2303597925373338E-2</v>
      </c>
      <c r="AV279" s="15">
        <f>AV278/$B$261</f>
        <v>2.4781775472637043E-2</v>
      </c>
      <c r="AW279" s="15">
        <f t="shared" ref="AW279:AZ279" si="8">AW278/$B$261</f>
        <v>2.9738130567164449E-2</v>
      </c>
      <c r="AX279" s="15">
        <f t="shared" si="8"/>
        <v>3.4694485661691858E-2</v>
      </c>
      <c r="AY279" s="15">
        <f t="shared" si="8"/>
        <v>3.9650840756219267E-2</v>
      </c>
      <c r="AZ279" s="15">
        <f t="shared" si="8"/>
        <v>4.4607195850746677E-2</v>
      </c>
      <c r="BA279" s="224">
        <f>BA278/$B$261</f>
        <v>4.9563550945274086E-2</v>
      </c>
      <c r="BB279" s="260">
        <f t="shared" ref="BB279:BF279" si="9">BB278/$B$261</f>
        <v>9.9127101890548172E-2</v>
      </c>
      <c r="BC279" s="223">
        <f t="shared" si="9"/>
        <v>0.19825420378109634</v>
      </c>
      <c r="BD279" s="223">
        <f t="shared" si="9"/>
        <v>0.39650840756219269</v>
      </c>
      <c r="BE279" s="223">
        <f t="shared" si="9"/>
        <v>0.79301681512438538</v>
      </c>
      <c r="BF279" s="178">
        <f t="shared" si="9"/>
        <v>1</v>
      </c>
      <c r="BG279" s="177">
        <f>BG278/$B$261</f>
        <v>1</v>
      </c>
      <c r="BH279" s="243">
        <f>B266</f>
        <v>7.0000000000000007E-2</v>
      </c>
      <c r="BI279" s="25"/>
      <c r="BJ279" s="25"/>
      <c r="BK279" s="69"/>
    </row>
    <row r="280" spans="1:63" x14ac:dyDescent="0.25">
      <c r="A280" s="41" t="s">
        <v>156</v>
      </c>
      <c r="B280" s="16"/>
      <c r="C280" s="16"/>
      <c r="D280" s="16"/>
      <c r="E280" s="16"/>
      <c r="F280" s="16"/>
      <c r="G280" s="16"/>
      <c r="H280" s="16"/>
      <c r="I280" s="16"/>
      <c r="J280" s="16"/>
      <c r="K280" s="16"/>
      <c r="L280" s="16"/>
      <c r="M280" s="16"/>
      <c r="N280" s="16"/>
      <c r="O280" s="16"/>
      <c r="P280" s="264">
        <f t="shared" ref="P280:Y280" si="10">MAX(P278-(P286-P287)-(P288-P289)-(P290-P291),0)</f>
        <v>25.558430925469978</v>
      </c>
      <c r="Q280" s="265">
        <f t="shared" si="10"/>
        <v>48.253729583441825</v>
      </c>
      <c r="R280" s="265">
        <f t="shared" si="10"/>
        <v>104.90319014596037</v>
      </c>
      <c r="S280" s="265">
        <f t="shared" si="10"/>
        <v>224.72190063694103</v>
      </c>
      <c r="T280" s="265">
        <f>MAX(T278-(T286-T287)-(T288-T289)-(T290-T291),0)</f>
        <v>468.16151942648673</v>
      </c>
      <c r="U280" s="265">
        <f t="shared" si="10"/>
        <v>955.08635794363818</v>
      </c>
      <c r="V280" s="265">
        <f>MAX(V278-(V286-V287)-(V288-V289)-(V290-V291),0)</f>
        <v>1950.8214285714287</v>
      </c>
      <c r="W280" s="265">
        <f t="shared" si="10"/>
        <v>3941.9387841598559</v>
      </c>
      <c r="X280" s="265">
        <f t="shared" si="10"/>
        <v>7899.3926009765419</v>
      </c>
      <c r="Y280" s="265">
        <f t="shared" si="10"/>
        <v>15815.828395301851</v>
      </c>
      <c r="Z280" s="265">
        <f>MAX(Z278-(Z286-Z287)-(Z288-Z289)-(Z290-Z291),0)</f>
        <v>31608.741071428572</v>
      </c>
      <c r="AA280" s="265">
        <f t="shared" ref="AA280:BA280" si="11">MAX(AA278-(AA286-AA287)-(AA288-AA289)-(AA290-AA291),0)</f>
        <v>63059.098214285717</v>
      </c>
      <c r="AB280" s="265">
        <f t="shared" si="11"/>
        <v>125994.22083273345</v>
      </c>
      <c r="AC280" s="265">
        <f t="shared" si="11"/>
        <v>247644.31677867728</v>
      </c>
      <c r="AD280" s="265">
        <f t="shared" si="11"/>
        <v>416172.14285714284</v>
      </c>
      <c r="AE280" s="265">
        <f t="shared" ref="AE280:AG280" si="12">MAX(AE278-(AE286-AE287)-(AE288-AE289)-(AE290-AE291),0)</f>
        <v>402226.56939406152</v>
      </c>
      <c r="AF280" s="265">
        <f t="shared" si="12"/>
        <v>399354.62073629722</v>
      </c>
      <c r="AG280" s="265">
        <f t="shared" si="12"/>
        <v>119097.53326256634</v>
      </c>
      <c r="AH280" s="265">
        <f t="shared" si="11"/>
        <v>413664.82197137375</v>
      </c>
      <c r="AI280" s="265">
        <f t="shared" ref="AI280:AK280" si="13">MAX(AI278-(AI286-AI287)-(AI288-AI289)-(AI290-AI291),0)</f>
        <v>560043.97974272678</v>
      </c>
      <c r="AJ280" s="265">
        <f t="shared" si="13"/>
        <v>83274.795974478722</v>
      </c>
      <c r="AK280" s="265">
        <f t="shared" si="13"/>
        <v>46035.867286790482</v>
      </c>
      <c r="AL280" s="265">
        <f t="shared" si="11"/>
        <v>99140.086188086163</v>
      </c>
      <c r="AM280" s="265">
        <f t="shared" ref="AM280:AP280" si="14">MAX(AM278-(AM286-AM287)-(AM288-AM289)-(AM290-AM291),0)</f>
        <v>0</v>
      </c>
      <c r="AN280" s="265">
        <f t="shared" si="14"/>
        <v>625269.44282422727</v>
      </c>
      <c r="AO280" s="265">
        <f t="shared" si="14"/>
        <v>197877.1979097451</v>
      </c>
      <c r="AP280" s="265">
        <f t="shared" si="14"/>
        <v>246170.5435894182</v>
      </c>
      <c r="AQ280" s="265">
        <f t="shared" si="11"/>
        <v>155566.69098690606</v>
      </c>
      <c r="AR280" s="265">
        <f t="shared" ref="AR280:AU280" si="15">MAX(AR278-(AR286-AR287)-(AR288-AR289)-(AR290-AR291),0)</f>
        <v>0</v>
      </c>
      <c r="AS280" s="265">
        <f t="shared" si="15"/>
        <v>0</v>
      </c>
      <c r="AT280" s="265">
        <f t="shared" si="15"/>
        <v>0</v>
      </c>
      <c r="AU280" s="265">
        <f t="shared" si="15"/>
        <v>0</v>
      </c>
      <c r="AV280" s="265">
        <f t="shared" si="11"/>
        <v>0</v>
      </c>
      <c r="AW280" s="265">
        <f t="shared" ref="AW280:AZ280" si="16">MAX(AW278-(AW286-AW287)-(AW288-AW289)-(AW290-AW291),0)</f>
        <v>0</v>
      </c>
      <c r="AX280" s="265">
        <f t="shared" si="16"/>
        <v>0</v>
      </c>
      <c r="AY280" s="265">
        <f t="shared" si="16"/>
        <v>0</v>
      </c>
      <c r="AZ280" s="265">
        <f t="shared" si="16"/>
        <v>0</v>
      </c>
      <c r="BA280" s="268">
        <f t="shared" si="11"/>
        <v>0</v>
      </c>
      <c r="BB280" s="240">
        <f t="shared" ref="BB280:BF280" si="17">MAX(BB278-(BB286-BB287)-(BB288-BB289)-(BB290-BB291),0)</f>
        <v>0</v>
      </c>
      <c r="BC280" s="199">
        <f t="shared" si="17"/>
        <v>0</v>
      </c>
      <c r="BD280" s="199">
        <f t="shared" si="17"/>
        <v>0</v>
      </c>
      <c r="BE280" s="199">
        <f t="shared" si="17"/>
        <v>0</v>
      </c>
      <c r="BF280" s="200">
        <f t="shared" si="17"/>
        <v>0</v>
      </c>
      <c r="BG280" s="199">
        <f>MAX(BG278-(BG286-BG287)-(BG288-BG289)-(BG290-BG291),0)</f>
        <v>0</v>
      </c>
      <c r="BH280" s="244"/>
      <c r="BI280" s="45"/>
      <c r="BJ280" s="45"/>
      <c r="BK280" s="69"/>
    </row>
    <row r="281" spans="1:63" x14ac:dyDescent="0.25">
      <c r="A281" s="41" t="s">
        <v>170</v>
      </c>
      <c r="B281" s="16"/>
      <c r="C281" s="16"/>
      <c r="D281" s="16"/>
      <c r="E281" s="16"/>
      <c r="F281" s="16"/>
      <c r="G281" s="16"/>
      <c r="H281" s="16"/>
      <c r="I281" s="16"/>
      <c r="J281" s="16"/>
      <c r="K281" s="16"/>
      <c r="L281" s="16"/>
      <c r="M281" s="16"/>
      <c r="N281" s="16"/>
      <c r="O281" s="16"/>
      <c r="P281" s="86">
        <f>MAX(P278-P280-P293,0)</f>
        <v>5.6915690745300225</v>
      </c>
      <c r="Q281" s="87">
        <f>MAX(Q278-Q280-Q293,0)</f>
        <v>14.246270416558175</v>
      </c>
      <c r="R281" s="87">
        <f t="shared" ref="R281:S281" si="18">MAX(R278-R280-R293,0)</f>
        <v>20.096809854039634</v>
      </c>
      <c r="S281" s="87">
        <f t="shared" si="18"/>
        <v>25.278099363058971</v>
      </c>
      <c r="T281" s="121">
        <f>MAX(T278-T280-T293,0)</f>
        <v>31.838480573513266</v>
      </c>
      <c r="U281" s="121">
        <f t="shared" ref="U281:BA281" si="19">MAX(U278-U280-U293,0)</f>
        <v>44.913642056361823</v>
      </c>
      <c r="V281" s="121">
        <f t="shared" si="19"/>
        <v>49.178571428571331</v>
      </c>
      <c r="W281" s="121">
        <f t="shared" si="19"/>
        <v>58.061215840144087</v>
      </c>
      <c r="X281" s="121">
        <f t="shared" si="19"/>
        <v>100.60739902345813</v>
      </c>
      <c r="Y281" s="121">
        <f t="shared" si="19"/>
        <v>184.17160469814917</v>
      </c>
      <c r="Z281" s="121">
        <f t="shared" si="19"/>
        <v>391.25892857142753</v>
      </c>
      <c r="AA281" s="121">
        <f t="shared" si="19"/>
        <v>940.9017857142826</v>
      </c>
      <c r="AB281" s="121">
        <f t="shared" si="19"/>
        <v>2003.7113570348822</v>
      </c>
      <c r="AC281" s="121">
        <f t="shared" si="19"/>
        <v>8352.0141689341526</v>
      </c>
      <c r="AD281" s="121">
        <f t="shared" si="19"/>
        <v>95812.399151249774</v>
      </c>
      <c r="AE281" s="121">
        <f t="shared" ref="AE281:AG281" si="20">MAX(AE278-AE280-AE293,0)</f>
        <v>237704.89578450992</v>
      </c>
      <c r="AF281" s="121">
        <f t="shared" si="20"/>
        <v>368467.31815135264</v>
      </c>
      <c r="AG281" s="121">
        <f t="shared" si="20"/>
        <v>776294.06938257115</v>
      </c>
      <c r="AH281" s="121">
        <f t="shared" si="19"/>
        <v>608093.48355927167</v>
      </c>
      <c r="AI281" s="121">
        <f t="shared" ref="AI281:AK281" si="21">MAX(AI278-AI280-AI293,0)</f>
        <v>735959.1453717968</v>
      </c>
      <c r="AJ281" s="121">
        <f t="shared" si="21"/>
        <v>1410892.8540212316</v>
      </c>
      <c r="AK281" s="121">
        <f t="shared" si="21"/>
        <v>1687837.6001756848</v>
      </c>
      <c r="AL281" s="121">
        <f t="shared" si="19"/>
        <v>1790668.896913839</v>
      </c>
      <c r="AM281" s="121">
        <f t="shared" ref="AM281:AP281" si="22">MAX(AM278-AM280-AM293,0)</f>
        <v>2342364.6757163266</v>
      </c>
      <c r="AN281" s="121">
        <f t="shared" si="22"/>
        <v>2007007.5098478668</v>
      </c>
      <c r="AO281" s="121">
        <f t="shared" si="22"/>
        <v>2562815.2948672366</v>
      </c>
      <c r="AP281" s="121">
        <f t="shared" si="22"/>
        <v>3028428.4065297623</v>
      </c>
      <c r="AQ281" s="121">
        <f t="shared" si="19"/>
        <v>3479527.242431174</v>
      </c>
      <c r="AR281" s="121">
        <f t="shared" ref="AR281:AU281" si="23">MAX(AR278-AR280-AR293,0)</f>
        <v>4394235.3113222132</v>
      </c>
      <c r="AS281" s="121">
        <f t="shared" si="23"/>
        <v>4206873.599581169</v>
      </c>
      <c r="AT281" s="121">
        <f t="shared" si="23"/>
        <v>5429676.5212934697</v>
      </c>
      <c r="AU281" s="121">
        <f t="shared" si="23"/>
        <v>6177821.6035040133</v>
      </c>
      <c r="AV281" s="121">
        <f t="shared" si="19"/>
        <v>6958073.4500246355</v>
      </c>
      <c r="AW281" s="121">
        <f t="shared" ref="AW281:AZ281" si="24">MAX(AW278-AW280-AW293,0)</f>
        <v>8526392.9273276515</v>
      </c>
      <c r="AX281" s="121">
        <f t="shared" si="24"/>
        <v>10388686.414672554</v>
      </c>
      <c r="AY281" s="121">
        <f t="shared" si="24"/>
        <v>11869868.38957292</v>
      </c>
      <c r="AZ281" s="121">
        <f t="shared" si="24"/>
        <v>13386280.593996048</v>
      </c>
      <c r="BA281" s="122">
        <f t="shared" si="19"/>
        <v>14918948.182752376</v>
      </c>
      <c r="BB281" s="261">
        <f>MAX(BB278-BB280-BB293,0)</f>
        <v>0</v>
      </c>
      <c r="BC281" s="213">
        <f>MAX(BC278-BC280-BC293,0)</f>
        <v>0</v>
      </c>
      <c r="BD281" s="213">
        <f t="shared" ref="BD281:BG281" si="25">MAX(BD278-BD280-BD293,0)</f>
        <v>48234317.874581411</v>
      </c>
      <c r="BE281" s="213">
        <f t="shared" si="25"/>
        <v>162075434.32088459</v>
      </c>
      <c r="BF281" s="214">
        <f t="shared" si="25"/>
        <v>187841996.89615569</v>
      </c>
      <c r="BG281" s="213">
        <f t="shared" si="25"/>
        <v>106579120.33337018</v>
      </c>
      <c r="BH281" s="245"/>
      <c r="BI281" s="25"/>
      <c r="BJ281" s="25"/>
      <c r="BK281" s="69"/>
    </row>
    <row r="282" spans="1:63" x14ac:dyDescent="0.25">
      <c r="A282" s="4" t="s">
        <v>163</v>
      </c>
      <c r="B282" s="9"/>
      <c r="C282" s="9"/>
      <c r="D282" s="9"/>
      <c r="E282" s="9"/>
      <c r="F282" s="9"/>
      <c r="G282" s="9"/>
      <c r="H282" s="9"/>
      <c r="I282" s="9"/>
      <c r="J282" s="9"/>
      <c r="K282" s="9"/>
      <c r="L282" s="9"/>
      <c r="M282" s="9"/>
      <c r="N282" s="9"/>
      <c r="O282" s="5"/>
      <c r="P282" s="197">
        <f>P278/$B$265</f>
        <v>131.69642857142856</v>
      </c>
      <c r="Q282" s="198">
        <f t="shared" ref="Q282:BC282" si="26">Q278/$B$265</f>
        <v>263.39285714285711</v>
      </c>
      <c r="R282" s="198">
        <f t="shared" si="26"/>
        <v>526.78571428571422</v>
      </c>
      <c r="S282" s="198">
        <f t="shared" si="26"/>
        <v>1053.5714285714284</v>
      </c>
      <c r="T282" s="198">
        <f t="shared" si="26"/>
        <v>2107.1428571428569</v>
      </c>
      <c r="U282" s="198">
        <f t="shared" si="26"/>
        <v>4214.2857142857138</v>
      </c>
      <c r="V282" s="198">
        <f t="shared" si="26"/>
        <v>8428.5714285714275</v>
      </c>
      <c r="W282" s="198">
        <f t="shared" si="26"/>
        <v>16857.142857142855</v>
      </c>
      <c r="X282" s="198">
        <f t="shared" si="26"/>
        <v>33714.28571428571</v>
      </c>
      <c r="Y282" s="198">
        <f t="shared" si="26"/>
        <v>67428.57142857142</v>
      </c>
      <c r="Z282" s="198">
        <f t="shared" si="26"/>
        <v>134857.14285714284</v>
      </c>
      <c r="AA282" s="198">
        <f t="shared" si="26"/>
        <v>269714.28571428568</v>
      </c>
      <c r="AB282" s="198">
        <f t="shared" si="26"/>
        <v>539428.57142857136</v>
      </c>
      <c r="AC282" s="198">
        <f t="shared" si="26"/>
        <v>1078857.1428571427</v>
      </c>
      <c r="AD282" s="198">
        <f t="shared" si="26"/>
        <v>2157714.2857142854</v>
      </c>
      <c r="AE282" s="198">
        <f t="shared" ref="AE282:AG282" si="27">AE278/$B$265</f>
        <v>2697142.8571428573</v>
      </c>
      <c r="AF282" s="198">
        <f t="shared" si="27"/>
        <v>3236571.4285714286</v>
      </c>
      <c r="AG282" s="198">
        <f t="shared" si="27"/>
        <v>3776000</v>
      </c>
      <c r="AH282" s="198">
        <f t="shared" si="26"/>
        <v>4315428.5714285709</v>
      </c>
      <c r="AI282" s="198">
        <f t="shared" ref="AI282:AK282" si="28">AI278/$B$265</f>
        <v>5523748.5714285709</v>
      </c>
      <c r="AJ282" s="198">
        <f t="shared" si="28"/>
        <v>6473142.8571428573</v>
      </c>
      <c r="AK282" s="198">
        <f t="shared" si="28"/>
        <v>7552000</v>
      </c>
      <c r="AL282" s="198">
        <f t="shared" si="26"/>
        <v>8630857.1428571418</v>
      </c>
      <c r="AM282" s="198">
        <f t="shared" ref="AM282:AP282" si="29">AM278/$B$265</f>
        <v>10357028.571428571</v>
      </c>
      <c r="AN282" s="198">
        <f t="shared" si="29"/>
        <v>12083200</v>
      </c>
      <c r="AO282" s="198">
        <f t="shared" si="29"/>
        <v>13809371.428571429</v>
      </c>
      <c r="AP282" s="198">
        <f t="shared" si="29"/>
        <v>15535542.857142856</v>
      </c>
      <c r="AQ282" s="198">
        <f t="shared" si="26"/>
        <v>17261714.285714284</v>
      </c>
      <c r="AR282" s="198">
        <f t="shared" ref="AR282:AU282" si="30">AR278/$B$265</f>
        <v>20714057.142857142</v>
      </c>
      <c r="AS282" s="198">
        <f t="shared" si="30"/>
        <v>24166400</v>
      </c>
      <c r="AT282" s="198">
        <f t="shared" si="30"/>
        <v>27618742.857142858</v>
      </c>
      <c r="AU282" s="198">
        <f t="shared" si="30"/>
        <v>31071085.714285713</v>
      </c>
      <c r="AV282" s="198">
        <f t="shared" si="26"/>
        <v>34523428.571428567</v>
      </c>
      <c r="AW282" s="198">
        <f t="shared" ref="AW282:AZ282" si="31">AW278/$B$265</f>
        <v>41428114.285714284</v>
      </c>
      <c r="AX282" s="198">
        <f t="shared" si="31"/>
        <v>48332800</v>
      </c>
      <c r="AY282" s="198">
        <f t="shared" si="31"/>
        <v>55237485.714285716</v>
      </c>
      <c r="AZ282" s="198">
        <f t="shared" si="31"/>
        <v>62142171.428571425</v>
      </c>
      <c r="BA282" s="198">
        <f t="shared" si="26"/>
        <v>69046857.142857134</v>
      </c>
      <c r="BB282" s="238">
        <f t="shared" si="26"/>
        <v>138093714.28571427</v>
      </c>
      <c r="BC282" s="208">
        <f t="shared" si="26"/>
        <v>276187428.57142854</v>
      </c>
      <c r="BD282" s="208">
        <f>$B$261</f>
        <v>330565500</v>
      </c>
      <c r="BE282" s="208">
        <f t="shared" ref="BE282:BF282" si="32">$B$261</f>
        <v>330565500</v>
      </c>
      <c r="BF282" s="209">
        <f t="shared" si="32"/>
        <v>330565500</v>
      </c>
      <c r="BG282" s="199">
        <f>BG278</f>
        <v>330565500</v>
      </c>
      <c r="BH282" s="244">
        <f>($B$261*$B$266)/$B$265</f>
        <v>97516822.500000015</v>
      </c>
      <c r="BI282" s="25"/>
      <c r="BJ282" s="25"/>
      <c r="BK282" s="69"/>
    </row>
    <row r="283" spans="1:63" x14ac:dyDescent="0.25">
      <c r="A283" s="41" t="s">
        <v>112</v>
      </c>
      <c r="B283" s="16"/>
      <c r="C283" s="16"/>
      <c r="D283" s="16"/>
      <c r="E283" s="16"/>
      <c r="F283" s="16"/>
      <c r="G283" s="16"/>
      <c r="H283" s="16"/>
      <c r="I283" s="16"/>
      <c r="J283" s="16"/>
      <c r="K283" s="16"/>
      <c r="L283" s="16"/>
      <c r="M283" s="16"/>
      <c r="N283" s="16"/>
      <c r="O283" s="17"/>
      <c r="P283" s="195">
        <f>P282/$B$261</f>
        <v>3.983973783453765E-7</v>
      </c>
      <c r="Q283" s="196">
        <f t="shared" ref="Q283:AV283" si="33">Q282/$B$261</f>
        <v>7.9679475669075301E-7</v>
      </c>
      <c r="R283" s="196">
        <f t="shared" si="33"/>
        <v>1.593589513381506E-6</v>
      </c>
      <c r="S283" s="66">
        <f t="shared" si="33"/>
        <v>3.187179026763012E-6</v>
      </c>
      <c r="T283" s="66">
        <f t="shared" si="33"/>
        <v>6.3743580535260241E-6</v>
      </c>
      <c r="U283" s="66">
        <f t="shared" si="33"/>
        <v>1.2748716107052048E-5</v>
      </c>
      <c r="V283" s="66">
        <f t="shared" si="33"/>
        <v>2.5497432214104096E-5</v>
      </c>
      <c r="W283" s="66">
        <f t="shared" si="33"/>
        <v>5.0994864428208193E-5</v>
      </c>
      <c r="X283" s="36">
        <f t="shared" si="33"/>
        <v>1.0198972885641639E-4</v>
      </c>
      <c r="Y283" s="36">
        <f t="shared" si="33"/>
        <v>2.0397945771283277E-4</v>
      </c>
      <c r="Z283" s="36">
        <f t="shared" si="33"/>
        <v>4.0795891542566554E-4</v>
      </c>
      <c r="AA283" s="36">
        <f t="shared" si="33"/>
        <v>8.1591783085133108E-4</v>
      </c>
      <c r="AB283" s="14">
        <f t="shared" si="33"/>
        <v>1.6318356617026622E-3</v>
      </c>
      <c r="AC283" s="15">
        <f t="shared" si="33"/>
        <v>3.2636713234053243E-3</v>
      </c>
      <c r="AD283" s="15">
        <f t="shared" si="33"/>
        <v>6.5273426468106487E-3</v>
      </c>
      <c r="AE283" s="15">
        <f t="shared" ref="AE283:AG283" si="34">AE282/$B$261</f>
        <v>8.1591783085133117E-3</v>
      </c>
      <c r="AF283" s="15">
        <f t="shared" si="34"/>
        <v>9.7910139702159747E-3</v>
      </c>
      <c r="AG283" s="15">
        <f t="shared" si="34"/>
        <v>1.1422849631918636E-2</v>
      </c>
      <c r="AH283" s="15">
        <f t="shared" si="33"/>
        <v>1.3054685293621297E-2</v>
      </c>
      <c r="AI283" s="15">
        <f t="shared" ref="AI283:AK283" si="35">AI282/$B$261</f>
        <v>1.670999717583526E-2</v>
      </c>
      <c r="AJ283" s="15">
        <f t="shared" si="35"/>
        <v>1.9582027940431949E-2</v>
      </c>
      <c r="AK283" s="15">
        <f t="shared" si="35"/>
        <v>2.2845699263837272E-2</v>
      </c>
      <c r="AL283" s="15">
        <f t="shared" si="33"/>
        <v>2.6109370587242595E-2</v>
      </c>
      <c r="AM283" s="15">
        <f t="shared" ref="AM283:AP283" si="36">AM282/$B$261</f>
        <v>3.1331244704691112E-2</v>
      </c>
      <c r="AN283" s="15">
        <f t="shared" si="36"/>
        <v>3.6553118822139637E-2</v>
      </c>
      <c r="AO283" s="15">
        <f t="shared" si="36"/>
        <v>4.1774992939588154E-2</v>
      </c>
      <c r="AP283" s="15">
        <f t="shared" si="36"/>
        <v>4.6996867057036672E-2</v>
      </c>
      <c r="AQ283" s="15">
        <f t="shared" si="33"/>
        <v>5.2218741174485189E-2</v>
      </c>
      <c r="AR283" s="75">
        <f t="shared" ref="AR283:AU283" si="37">AR282/$B$261</f>
        <v>6.2662489409382224E-2</v>
      </c>
      <c r="AS283" s="75">
        <f t="shared" si="37"/>
        <v>7.3106237644279273E-2</v>
      </c>
      <c r="AT283" s="75">
        <f t="shared" si="37"/>
        <v>8.3549985879176308E-2</v>
      </c>
      <c r="AU283" s="75">
        <f t="shared" si="37"/>
        <v>9.3993734114073343E-2</v>
      </c>
      <c r="AV283" s="75">
        <f t="shared" si="33"/>
        <v>0.10443748234897038</v>
      </c>
      <c r="AW283" s="75">
        <f t="shared" ref="AW283:AZ283" si="38">AW282/$B$261</f>
        <v>0.12532497881876445</v>
      </c>
      <c r="AX283" s="75">
        <f t="shared" si="38"/>
        <v>0.14621247528855855</v>
      </c>
      <c r="AY283" s="75">
        <f t="shared" si="38"/>
        <v>0.16709997175835262</v>
      </c>
      <c r="AZ283" s="75">
        <f t="shared" si="38"/>
        <v>0.18798746822814669</v>
      </c>
      <c r="BA283" s="75">
        <f>BA282/$B$261</f>
        <v>0.20887496469794076</v>
      </c>
      <c r="BB283" s="239">
        <f t="shared" ref="BB283:BF283" si="39">BB282/$B$261</f>
        <v>0.41774992939588151</v>
      </c>
      <c r="BC283" s="177">
        <f t="shared" si="39"/>
        <v>0.83549985879176303</v>
      </c>
      <c r="BD283" s="177">
        <f t="shared" si="39"/>
        <v>1</v>
      </c>
      <c r="BE283" s="177">
        <f t="shared" si="39"/>
        <v>1</v>
      </c>
      <c r="BF283" s="178">
        <f t="shared" si="39"/>
        <v>1</v>
      </c>
      <c r="BG283" s="177">
        <v>1</v>
      </c>
      <c r="BH283" s="243">
        <f>BH282/B261</f>
        <v>0.29500000000000004</v>
      </c>
      <c r="BI283" s="25"/>
      <c r="BJ283" s="25"/>
      <c r="BK283" s="69"/>
    </row>
    <row r="284" spans="1:63" x14ac:dyDescent="0.25">
      <c r="A284" s="41" t="s">
        <v>161</v>
      </c>
      <c r="B284" s="16"/>
      <c r="C284" s="16"/>
      <c r="D284" s="16"/>
      <c r="E284" s="16"/>
      <c r="F284" s="16"/>
      <c r="G284" s="16"/>
      <c r="H284" s="16"/>
      <c r="I284" s="16"/>
      <c r="J284" s="16"/>
      <c r="K284" s="16"/>
      <c r="L284" s="16"/>
      <c r="M284" s="16"/>
      <c r="N284" s="16"/>
      <c r="O284" s="17"/>
      <c r="P284" s="197">
        <f>P282-P278</f>
        <v>100.44642857142856</v>
      </c>
      <c r="Q284" s="198">
        <f t="shared" ref="Q284:AU284" si="40">Q282-Q278</f>
        <v>200.89285714285711</v>
      </c>
      <c r="R284" s="198">
        <f t="shared" si="40"/>
        <v>401.78571428571422</v>
      </c>
      <c r="S284" s="198">
        <f t="shared" si="40"/>
        <v>803.57142857142844</v>
      </c>
      <c r="T284" s="198">
        <f>T282-T278</f>
        <v>1607.1428571428569</v>
      </c>
      <c r="U284" s="198">
        <f t="shared" si="40"/>
        <v>3214.2857142857138</v>
      </c>
      <c r="V284" s="198">
        <f t="shared" si="40"/>
        <v>6428.5714285714275</v>
      </c>
      <c r="W284" s="198">
        <f t="shared" si="40"/>
        <v>12857.142857142855</v>
      </c>
      <c r="X284" s="198">
        <f t="shared" si="40"/>
        <v>25714.28571428571</v>
      </c>
      <c r="Y284" s="198">
        <f t="shared" si="40"/>
        <v>51428.57142857142</v>
      </c>
      <c r="Z284" s="198">
        <f t="shared" si="40"/>
        <v>102857.14285714284</v>
      </c>
      <c r="AA284" s="198">
        <f t="shared" si="40"/>
        <v>205714.28571428568</v>
      </c>
      <c r="AB284" s="198">
        <f t="shared" si="40"/>
        <v>411428.57142857136</v>
      </c>
      <c r="AC284" s="198">
        <f t="shared" si="40"/>
        <v>822857.14285714272</v>
      </c>
      <c r="AD284" s="198">
        <f t="shared" si="40"/>
        <v>1645714.2857142854</v>
      </c>
      <c r="AE284" s="198">
        <f t="shared" ref="AE284:AG284" si="41">AE282-AE278</f>
        <v>2057142.8571428573</v>
      </c>
      <c r="AF284" s="198">
        <f t="shared" si="41"/>
        <v>2468571.4285714286</v>
      </c>
      <c r="AG284" s="198">
        <f t="shared" si="41"/>
        <v>2880000</v>
      </c>
      <c r="AH284" s="198">
        <f t="shared" si="40"/>
        <v>3291428.5714285709</v>
      </c>
      <c r="AI284" s="198">
        <f t="shared" ref="AI284:AK284" si="42">AI282-AI278</f>
        <v>4213028.5714285709</v>
      </c>
      <c r="AJ284" s="198">
        <f t="shared" si="42"/>
        <v>4937142.8571428573</v>
      </c>
      <c r="AK284" s="198">
        <f t="shared" si="42"/>
        <v>5760000</v>
      </c>
      <c r="AL284" s="198">
        <f t="shared" si="40"/>
        <v>6582857.1428571418</v>
      </c>
      <c r="AM284" s="198">
        <f t="shared" ref="AM284:AP284" si="43">AM282-AM278</f>
        <v>7899428.5714285709</v>
      </c>
      <c r="AN284" s="198">
        <f t="shared" si="43"/>
        <v>9216000</v>
      </c>
      <c r="AO284" s="198">
        <f t="shared" si="43"/>
        <v>10532571.428571429</v>
      </c>
      <c r="AP284" s="198">
        <f t="shared" si="43"/>
        <v>11849142.857142856</v>
      </c>
      <c r="AQ284" s="198">
        <f t="shared" si="40"/>
        <v>13165714.285714284</v>
      </c>
      <c r="AR284" s="198">
        <f t="shared" si="40"/>
        <v>15798857.142857142</v>
      </c>
      <c r="AS284" s="198">
        <f t="shared" si="40"/>
        <v>18432000</v>
      </c>
      <c r="AT284" s="198">
        <f t="shared" si="40"/>
        <v>21065142.857142858</v>
      </c>
      <c r="AU284" s="198">
        <f t="shared" si="40"/>
        <v>23698285.714285713</v>
      </c>
      <c r="AV284" s="198">
        <f>AV282-AV278</f>
        <v>26331428.571428567</v>
      </c>
      <c r="AW284" s="198">
        <f t="shared" ref="AW284:AZ284" si="44">AW282-AW278</f>
        <v>31597714.285714284</v>
      </c>
      <c r="AX284" s="198">
        <f t="shared" si="44"/>
        <v>36864000</v>
      </c>
      <c r="AY284" s="198">
        <f t="shared" si="44"/>
        <v>42130285.714285716</v>
      </c>
      <c r="AZ284" s="198">
        <f t="shared" si="44"/>
        <v>47396571.428571425</v>
      </c>
      <c r="BA284" s="198">
        <f>BA282-BA278</f>
        <v>52662857.142857134</v>
      </c>
      <c r="BB284" s="240">
        <f>BB282-BB278</f>
        <v>105325714.28571427</v>
      </c>
      <c r="BC284" s="199">
        <f t="shared" ref="BC284:BF284" si="45">BC282</f>
        <v>276187428.57142854</v>
      </c>
      <c r="BD284" s="199">
        <f t="shared" si="45"/>
        <v>330565500</v>
      </c>
      <c r="BE284" s="199">
        <f t="shared" si="45"/>
        <v>330565500</v>
      </c>
      <c r="BF284" s="200">
        <f t="shared" si="45"/>
        <v>330565500</v>
      </c>
      <c r="BG284" s="199">
        <f>BG282</f>
        <v>330565500</v>
      </c>
      <c r="BH284" s="246">
        <f>BH282-BH278</f>
        <v>74377237.500000015</v>
      </c>
      <c r="BI284" s="25"/>
      <c r="BJ284" s="25"/>
      <c r="BK284" s="69"/>
    </row>
    <row r="285" spans="1:63" x14ac:dyDescent="0.25">
      <c r="A285" s="37" t="s">
        <v>162</v>
      </c>
      <c r="B285" s="39"/>
      <c r="C285" s="39"/>
      <c r="D285" s="39"/>
      <c r="E285" s="39"/>
      <c r="F285" s="39"/>
      <c r="G285" s="39"/>
      <c r="H285" s="39"/>
      <c r="I285" s="39"/>
      <c r="J285" s="39"/>
      <c r="K285" s="39"/>
      <c r="L285" s="39"/>
      <c r="M285" s="39"/>
      <c r="N285" s="39"/>
      <c r="O285" s="63"/>
      <c r="P285" s="206">
        <f>MIN((1/$B$265)*(2^(((P277 - 14) - $B$274)/$P$303)),P284)</f>
        <v>29.612220052669425</v>
      </c>
      <c r="Q285" s="207">
        <f>MIN((1/$B$265)*(2^(((Q277 - 14) - $B$274)/$P$303)),Q284)</f>
        <v>74.120807281916413</v>
      </c>
      <c r="R285" s="207">
        <f>MIN((1/$B$265)*(2^(((R277 - 14) - $B$274)/$P$303)),R284)</f>
        <v>104.56012181555009</v>
      </c>
      <c r="S285" s="207">
        <f>MIN((1/$B$265)*(2^(((S277 - 14) - $B$274)/$P$303)),S284)</f>
        <v>131.51744818522747</v>
      </c>
      <c r="T285" s="198">
        <f t="shared" ref="T285:AV285" si="46">MIN(($P$278/$B$265)*(2^(((T277 - 14) - $P$277)/HLOOKUP((T277-14)-$B$274,$P$301:$BH$303,3,TRUE))),T284)</f>
        <v>165.64994301916059</v>
      </c>
      <c r="U285" s="198">
        <f t="shared" si="46"/>
        <v>233.67767912921914</v>
      </c>
      <c r="V285" s="198">
        <f t="shared" si="46"/>
        <v>255.86734693877546</v>
      </c>
      <c r="W285" s="198">
        <f t="shared" si="46"/>
        <v>302.08216354219633</v>
      </c>
      <c r="X285" s="198">
        <f t="shared" si="46"/>
        <v>523.44237587160706</v>
      </c>
      <c r="Y285" s="198">
        <f t="shared" si="46"/>
        <v>958.21205266232755</v>
      </c>
      <c r="Z285" s="198">
        <f t="shared" si="46"/>
        <v>2035.650510204081</v>
      </c>
      <c r="AA285" s="198">
        <f t="shared" si="46"/>
        <v>4895.3443877551008</v>
      </c>
      <c r="AB285" s="198">
        <f t="shared" si="46"/>
        <v>10426.594387755098</v>
      </c>
      <c r="AC285" s="198">
        <f t="shared" si="46"/>
        <v>43456.953918748877</v>
      </c>
      <c r="AD285" s="198">
        <f t="shared" si="46"/>
        <v>469546.68367346941</v>
      </c>
      <c r="AE285" s="198">
        <f t="shared" si="46"/>
        <v>1165083.5929147557</v>
      </c>
      <c r="AF285" s="198">
        <f t="shared" si="46"/>
        <v>1806153.446973294</v>
      </c>
      <c r="AG285" s="198">
        <f t="shared" si="46"/>
        <v>2880000</v>
      </c>
      <c r="AH285" s="198">
        <f t="shared" si="46"/>
        <v>2988025.0003063907</v>
      </c>
      <c r="AI285" s="198">
        <f t="shared" si="46"/>
        <v>3618978.9638607623</v>
      </c>
      <c r="AJ285" s="198">
        <f t="shared" si="46"/>
        <v>4937142.8571428573</v>
      </c>
      <c r="AK285" s="198">
        <f t="shared" si="46"/>
        <v>5760000</v>
      </c>
      <c r="AL285" s="198">
        <f t="shared" si="46"/>
        <v>6582857.1428571418</v>
      </c>
      <c r="AM285" s="198">
        <f t="shared" si="46"/>
        <v>7899428.5714285709</v>
      </c>
      <c r="AN285" s="198">
        <f t="shared" si="46"/>
        <v>9216000</v>
      </c>
      <c r="AO285" s="198">
        <f t="shared" si="46"/>
        <v>10532571.428571429</v>
      </c>
      <c r="AP285" s="198">
        <f t="shared" si="46"/>
        <v>11849142.857142856</v>
      </c>
      <c r="AQ285" s="198">
        <f t="shared" si="46"/>
        <v>13165714.285714284</v>
      </c>
      <c r="AR285" s="198">
        <f t="shared" si="46"/>
        <v>15798857.142857142</v>
      </c>
      <c r="AS285" s="198">
        <f t="shared" si="46"/>
        <v>18432000</v>
      </c>
      <c r="AT285" s="198">
        <f t="shared" si="46"/>
        <v>21065142.857142858</v>
      </c>
      <c r="AU285" s="198">
        <f t="shared" si="46"/>
        <v>23698285.714285713</v>
      </c>
      <c r="AV285" s="198">
        <f t="shared" si="46"/>
        <v>26331428.571428567</v>
      </c>
      <c r="AW285" s="198">
        <f t="shared" ref="AW285:AZ285" si="47">MIN(($P$278/$B$265)*(2^(((AW277 - 14) - $P$277)/HLOOKUP((AW277-14)-$B$274,$P$301:$BH$303,3,TRUE))),AW284)</f>
        <v>31597714.285714284</v>
      </c>
      <c r="AX285" s="198">
        <f t="shared" si="47"/>
        <v>36864000</v>
      </c>
      <c r="AY285" s="198">
        <f t="shared" si="47"/>
        <v>42130285.714285716</v>
      </c>
      <c r="AZ285" s="198">
        <f t="shared" si="47"/>
        <v>47396571.428571425</v>
      </c>
      <c r="BA285" s="198">
        <f t="shared" ref="BA285:BG285" si="48">MIN(($P$278/$B$265)*(2^(((BA277 - 14) - $P$277)/HLOOKUP((BA277-14)-$B$274,$P$301:$BH$303,3,TRUE))),BA284)</f>
        <v>52662857.142857134</v>
      </c>
      <c r="BB285" s="241">
        <f t="shared" si="48"/>
        <v>105325714.28571427</v>
      </c>
      <c r="BC285" s="203">
        <f t="shared" si="48"/>
        <v>276187428.57142854</v>
      </c>
      <c r="BD285" s="203">
        <f t="shared" si="48"/>
        <v>330565500</v>
      </c>
      <c r="BE285" s="203">
        <f t="shared" si="48"/>
        <v>330565500</v>
      </c>
      <c r="BF285" s="204">
        <f t="shared" si="48"/>
        <v>330565500</v>
      </c>
      <c r="BG285" s="203">
        <f t="shared" si="48"/>
        <v>330565500</v>
      </c>
      <c r="BH285" s="246"/>
      <c r="BI285" s="25"/>
      <c r="BJ285" s="25"/>
      <c r="BK285" s="69"/>
    </row>
    <row r="286" spans="1:63" x14ac:dyDescent="0.25">
      <c r="A286" s="41" t="s">
        <v>159</v>
      </c>
      <c r="B286" s="16"/>
      <c r="C286" s="16"/>
      <c r="D286" s="16"/>
      <c r="E286" s="16"/>
      <c r="F286" s="16"/>
      <c r="G286" s="16"/>
      <c r="H286" s="16"/>
      <c r="I286" s="16"/>
      <c r="J286" s="16"/>
      <c r="K286" s="16"/>
      <c r="L286" s="16"/>
      <c r="M286" s="16"/>
      <c r="N286" s="16"/>
      <c r="O286" s="16"/>
      <c r="P286" s="215">
        <f t="shared" ref="P286:BG286" si="49">P278*$B$270</f>
        <v>25.3125</v>
      </c>
      <c r="Q286" s="216">
        <f t="shared" si="49"/>
        <v>50.625</v>
      </c>
      <c r="R286" s="216">
        <f t="shared" si="49"/>
        <v>101.25</v>
      </c>
      <c r="S286" s="216">
        <f t="shared" si="49"/>
        <v>202.5</v>
      </c>
      <c r="T286" s="216">
        <f t="shared" si="49"/>
        <v>405</v>
      </c>
      <c r="U286" s="216">
        <f t="shared" si="49"/>
        <v>810</v>
      </c>
      <c r="V286" s="216">
        <f t="shared" si="49"/>
        <v>1620</v>
      </c>
      <c r="W286" s="216">
        <f t="shared" si="49"/>
        <v>3240</v>
      </c>
      <c r="X286" s="216">
        <f t="shared" si="49"/>
        <v>6480</v>
      </c>
      <c r="Y286" s="216">
        <f t="shared" si="49"/>
        <v>12960</v>
      </c>
      <c r="Z286" s="216">
        <f t="shared" si="49"/>
        <v>25920</v>
      </c>
      <c r="AA286" s="216">
        <f t="shared" si="49"/>
        <v>51840</v>
      </c>
      <c r="AB286" s="216">
        <f t="shared" si="49"/>
        <v>103680</v>
      </c>
      <c r="AC286" s="216">
        <f t="shared" si="49"/>
        <v>207360</v>
      </c>
      <c r="AD286" s="216">
        <f t="shared" si="49"/>
        <v>414720</v>
      </c>
      <c r="AE286" s="216">
        <f t="shared" ref="AE286:AG286" si="50">AE278*$B$270</f>
        <v>518400.00000000006</v>
      </c>
      <c r="AF286" s="216">
        <f t="shared" si="50"/>
        <v>622080</v>
      </c>
      <c r="AG286" s="216">
        <f t="shared" si="50"/>
        <v>725760</v>
      </c>
      <c r="AH286" s="216">
        <f t="shared" si="49"/>
        <v>829440</v>
      </c>
      <c r="AI286" s="216">
        <f t="shared" ref="AI286:AK286" si="51">AI278*$B$270</f>
        <v>1061683.2000000002</v>
      </c>
      <c r="AJ286" s="216">
        <f t="shared" si="51"/>
        <v>1244160</v>
      </c>
      <c r="AK286" s="216">
        <f t="shared" si="51"/>
        <v>1451520</v>
      </c>
      <c r="AL286" s="216">
        <f t="shared" si="49"/>
        <v>1658880</v>
      </c>
      <c r="AM286" s="216">
        <f t="shared" ref="AM286:AP286" si="52">AM278*$B$270</f>
        <v>1990656.0000000002</v>
      </c>
      <c r="AN286" s="216">
        <f t="shared" si="52"/>
        <v>2322432</v>
      </c>
      <c r="AO286" s="216">
        <f t="shared" si="52"/>
        <v>2654208</v>
      </c>
      <c r="AP286" s="216">
        <f t="shared" si="52"/>
        <v>2985984</v>
      </c>
      <c r="AQ286" s="216">
        <f t="shared" si="49"/>
        <v>3317760</v>
      </c>
      <c r="AR286" s="216">
        <f t="shared" ref="AR286:AU286" si="53">AR278*$B$270</f>
        <v>3981312.0000000005</v>
      </c>
      <c r="AS286" s="216">
        <f t="shared" si="53"/>
        <v>4644864</v>
      </c>
      <c r="AT286" s="216">
        <f t="shared" si="53"/>
        <v>5308416</v>
      </c>
      <c r="AU286" s="216">
        <f t="shared" si="53"/>
        <v>5971968</v>
      </c>
      <c r="AV286" s="216">
        <f t="shared" si="49"/>
        <v>6635520</v>
      </c>
      <c r="AW286" s="216">
        <f t="shared" ref="AW286:AZ286" si="54">AW278*$B$270</f>
        <v>7962624.0000000009</v>
      </c>
      <c r="AX286" s="216">
        <f t="shared" si="54"/>
        <v>9289728</v>
      </c>
      <c r="AY286" s="216">
        <f t="shared" si="54"/>
        <v>10616832</v>
      </c>
      <c r="AZ286" s="216">
        <f t="shared" si="54"/>
        <v>11943936</v>
      </c>
      <c r="BA286" s="216">
        <f t="shared" si="49"/>
        <v>13271040</v>
      </c>
      <c r="BB286" s="238">
        <f t="shared" ref="BB286:BF286" si="55">BB278*$B$270</f>
        <v>26542080</v>
      </c>
      <c r="BC286" s="208">
        <f t="shared" si="55"/>
        <v>53084160</v>
      </c>
      <c r="BD286" s="208">
        <f t="shared" si="55"/>
        <v>106168320</v>
      </c>
      <c r="BE286" s="208">
        <f t="shared" si="55"/>
        <v>212336640</v>
      </c>
      <c r="BF286" s="209">
        <f t="shared" si="55"/>
        <v>267758055.00000003</v>
      </c>
      <c r="BG286" s="199">
        <f t="shared" si="49"/>
        <v>267758055.00000003</v>
      </c>
      <c r="BH286" s="246">
        <f>BH278*B270</f>
        <v>18743063.850000005</v>
      </c>
      <c r="BI286" s="25"/>
      <c r="BJ286" s="25"/>
      <c r="BK286" s="69"/>
    </row>
    <row r="287" spans="1:63" x14ac:dyDescent="0.25">
      <c r="A287" s="41" t="s">
        <v>171</v>
      </c>
      <c r="B287" s="16"/>
      <c r="C287" s="16"/>
      <c r="D287" s="16"/>
      <c r="E287" s="16"/>
      <c r="F287" s="16"/>
      <c r="G287" s="16"/>
      <c r="H287" s="16"/>
      <c r="I287" s="16"/>
      <c r="J287" s="16"/>
      <c r="K287" s="16"/>
      <c r="L287" s="16"/>
      <c r="M287" s="16"/>
      <c r="N287" s="16"/>
      <c r="O287" s="16"/>
      <c r="P287" s="206">
        <f>P286-(1*$B$270)*(2^(((P277 - 14) - $B$274)/$P$303))</f>
        <v>19.620930925469978</v>
      </c>
      <c r="Q287" s="207">
        <f>Q286-(1*$B$270)*(2^(((Q277 - 14) - $B$274)/$P$303))</f>
        <v>36.378729583441825</v>
      </c>
      <c r="R287" s="207">
        <f>R286-(1*$B$270)*(2^(((R277 - 14) - $B$274)/$P$303))</f>
        <v>81.153190145960366</v>
      </c>
      <c r="S287" s="207">
        <f>S286-(1*$B$270)*(2^(((S277 - 14) - $B$274)/$P$303))</f>
        <v>177.22190063694103</v>
      </c>
      <c r="T287" s="205">
        <f t="shared" ref="T287:AV287" si="56">MAX(T286-(($P$278*$B$270)*(2^(((T277 -14) - $P$277)/HLOOKUP((T277-14)-$B$274,$P$301:$BH$303,3,TRUE)))),0)</f>
        <v>373.16151942648673</v>
      </c>
      <c r="U287" s="205">
        <f t="shared" si="56"/>
        <v>765.08635794363818</v>
      </c>
      <c r="V287" s="205">
        <f t="shared" si="56"/>
        <v>1570.8214285714287</v>
      </c>
      <c r="W287" s="205">
        <f t="shared" si="56"/>
        <v>3181.9387841598559</v>
      </c>
      <c r="X287" s="205">
        <f t="shared" si="56"/>
        <v>6379.3926009765419</v>
      </c>
      <c r="Y287" s="205">
        <f t="shared" si="56"/>
        <v>12775.828395301851</v>
      </c>
      <c r="Z287" s="205">
        <f t="shared" si="56"/>
        <v>25528.741071428572</v>
      </c>
      <c r="AA287" s="205">
        <f t="shared" si="56"/>
        <v>50899.098214285717</v>
      </c>
      <c r="AB287" s="205">
        <f t="shared" si="56"/>
        <v>101675.97321428571</v>
      </c>
      <c r="AC287" s="205">
        <f t="shared" si="56"/>
        <v>199007.42614510827</v>
      </c>
      <c r="AD287" s="205">
        <f t="shared" si="56"/>
        <v>324471.53571428568</v>
      </c>
      <c r="AE287" s="205">
        <f t="shared" si="56"/>
        <v>294466.98400587577</v>
      </c>
      <c r="AF287" s="205">
        <f t="shared" si="56"/>
        <v>274931.18493767531</v>
      </c>
      <c r="AG287" s="205">
        <f t="shared" si="56"/>
        <v>0</v>
      </c>
      <c r="AH287" s="205">
        <f t="shared" si="56"/>
        <v>255131.46604280546</v>
      </c>
      <c r="AI287" s="205">
        <f t="shared" si="56"/>
        <v>366103.17542066041</v>
      </c>
      <c r="AJ287" s="205">
        <f t="shared" si="56"/>
        <v>0</v>
      </c>
      <c r="AK287" s="205">
        <f t="shared" si="56"/>
        <v>0</v>
      </c>
      <c r="AL287" s="205">
        <f t="shared" si="56"/>
        <v>0</v>
      </c>
      <c r="AM287" s="205">
        <f t="shared" si="56"/>
        <v>21896.677541263867</v>
      </c>
      <c r="AN287" s="205">
        <f t="shared" si="56"/>
        <v>453478.41928212484</v>
      </c>
      <c r="AO287" s="205">
        <f t="shared" si="56"/>
        <v>320549.31994163152</v>
      </c>
      <c r="AP287" s="205">
        <f t="shared" si="56"/>
        <v>243370.08858419396</v>
      </c>
      <c r="AQ287" s="205">
        <f t="shared" si="56"/>
        <v>198261.02154141059</v>
      </c>
      <c r="AR287" s="205">
        <f t="shared" si="56"/>
        <v>0</v>
      </c>
      <c r="AS287" s="205">
        <f t="shared" si="56"/>
        <v>0</v>
      </c>
      <c r="AT287" s="205">
        <f t="shared" si="56"/>
        <v>0</v>
      </c>
      <c r="AU287" s="205">
        <f t="shared" si="56"/>
        <v>0</v>
      </c>
      <c r="AV287" s="205">
        <f t="shared" si="56"/>
        <v>0</v>
      </c>
      <c r="AW287" s="205">
        <f t="shared" ref="AW287:AZ287" si="57">MAX(AW286-(($P$278*$B$270)*(2^(((AW277 -14) - $P$277)/HLOOKUP((AW277-14)-$B$274,$P$301:$BH$303,3,TRUE)))),0)</f>
        <v>0</v>
      </c>
      <c r="AX287" s="205">
        <f t="shared" si="57"/>
        <v>0</v>
      </c>
      <c r="AY287" s="205">
        <f t="shared" si="57"/>
        <v>0</v>
      </c>
      <c r="AZ287" s="205">
        <f t="shared" si="57"/>
        <v>0</v>
      </c>
      <c r="BA287" s="205">
        <f t="shared" ref="BA287:BG287" si="58">MAX(BA286-(($P$278*$B$270)*(2^(((BA277 -14) - $P$277)/HLOOKUP((BA277-14)-$B$274,$P$301:$BH$303,3,TRUE)))),0)</f>
        <v>0</v>
      </c>
      <c r="BB287" s="241">
        <f t="shared" si="58"/>
        <v>0</v>
      </c>
      <c r="BC287" s="203">
        <f t="shared" si="58"/>
        <v>0</v>
      </c>
      <c r="BD287" s="203">
        <f t="shared" si="58"/>
        <v>0</v>
      </c>
      <c r="BE287" s="203">
        <f t="shared" si="58"/>
        <v>0</v>
      </c>
      <c r="BF287" s="204">
        <f t="shared" si="58"/>
        <v>0</v>
      </c>
      <c r="BG287" s="199">
        <f t="shared" si="58"/>
        <v>0</v>
      </c>
      <c r="BH287" s="244"/>
      <c r="BI287" s="25"/>
      <c r="BJ287" s="25"/>
      <c r="BK287" s="69"/>
    </row>
    <row r="288" spans="1:63" x14ac:dyDescent="0.25">
      <c r="A288" s="62" t="s">
        <v>110</v>
      </c>
      <c r="B288" s="9"/>
      <c r="C288" s="9"/>
      <c r="D288" s="9"/>
      <c r="E288" s="9"/>
      <c r="F288" s="9"/>
      <c r="G288" s="9"/>
      <c r="H288" s="9"/>
      <c r="I288" s="9"/>
      <c r="J288" s="9"/>
      <c r="K288" s="9"/>
      <c r="L288" s="9"/>
      <c r="M288" s="9"/>
      <c r="N288" s="9"/>
      <c r="O288" s="5"/>
      <c r="P288" s="225">
        <f>(1*($B$271+$B$272))*(2^(((P277 - 7) - $B$274)/$P$303))</f>
        <v>2.9796216359494587</v>
      </c>
      <c r="Q288" s="211">
        <f t="shared" ref="Q288:AV288" si="59">($P$278*($B$271+$B$272))*(2^(((Q277-7)-$P$277)/HLOOKUP((Q277-7)-$B$274,$P$301:$BH$303,3,TRUE)))</f>
        <v>6.6590498985850246</v>
      </c>
      <c r="R288" s="211">
        <f t="shared" si="59"/>
        <v>9.3937329355254953</v>
      </c>
      <c r="S288" s="211">
        <f t="shared" si="59"/>
        <v>11.815592437748149</v>
      </c>
      <c r="T288" s="211">
        <f t="shared" si="59"/>
        <v>12.534285987853202</v>
      </c>
      <c r="U288" s="211">
        <f t="shared" si="59"/>
        <v>23.599266437601273</v>
      </c>
      <c r="V288" s="211">
        <f t="shared" si="59"/>
        <v>49.779972972921911</v>
      </c>
      <c r="W288" s="211">
        <f t="shared" si="59"/>
        <v>108.90640436467176</v>
      </c>
      <c r="X288" s="211">
        <f t="shared" si="59"/>
        <v>220.70535714285711</v>
      </c>
      <c r="Y288" s="211">
        <f t="shared" si="59"/>
        <v>322.92231652302479</v>
      </c>
      <c r="Z288" s="211">
        <f t="shared" si="59"/>
        <v>573.4171414665534</v>
      </c>
      <c r="AA288" s="211">
        <f t="shared" si="59"/>
        <v>1580.5624999999989</v>
      </c>
      <c r="AB288" s="211">
        <f t="shared" si="59"/>
        <v>4157.3376801210561</v>
      </c>
      <c r="AC288" s="211">
        <f t="shared" si="59"/>
        <v>14709.910600081001</v>
      </c>
      <c r="AD288" s="211">
        <f t="shared" si="59"/>
        <v>65577.889617991445</v>
      </c>
      <c r="AE288" s="211">
        <f t="shared" si="59"/>
        <v>155906.69596672634</v>
      </c>
      <c r="AF288" s="284">
        <f t="shared" si="59"/>
        <v>111083.1714562041</v>
      </c>
      <c r="AG288" s="284">
        <f t="shared" si="59"/>
        <v>132795.09456567839</v>
      </c>
      <c r="AH288" s="284">
        <f t="shared" si="59"/>
        <v>155204.27961369391</v>
      </c>
      <c r="AI288" s="211">
        <f t="shared" si="59"/>
        <v>295492.66518045042</v>
      </c>
      <c r="AJ288" s="211">
        <f t="shared" si="59"/>
        <v>354791.8589697365</v>
      </c>
      <c r="AK288" s="211">
        <f t="shared" si="59"/>
        <v>448469.46944997844</v>
      </c>
      <c r="AL288" s="284">
        <f t="shared" si="59"/>
        <v>407976.69599878788</v>
      </c>
      <c r="AM288" s="211">
        <f t="shared" si="59"/>
        <v>940698.40448295011</v>
      </c>
      <c r="AN288" s="284">
        <f t="shared" si="59"/>
        <v>810839.39785012079</v>
      </c>
      <c r="AO288" s="211">
        <f t="shared" si="59"/>
        <v>952745.88707694656</v>
      </c>
      <c r="AP288" s="211">
        <f t="shared" si="59"/>
        <v>1064307.9294741398</v>
      </c>
      <c r="AQ288" s="211">
        <f t="shared" si="59"/>
        <v>1160249.6763565929</v>
      </c>
      <c r="AR288" s="211">
        <f t="shared" si="59"/>
        <v>3499976.5432564304</v>
      </c>
      <c r="AS288" s="284">
        <f t="shared" si="59"/>
        <v>2710031.0957544013</v>
      </c>
      <c r="AT288" s="284">
        <f t="shared" si="59"/>
        <v>2975607.8542668419</v>
      </c>
      <c r="AU288" s="284">
        <f t="shared" si="59"/>
        <v>3153635.8810571767</v>
      </c>
      <c r="AV288" s="284">
        <f t="shared" si="59"/>
        <v>3297477.0042275744</v>
      </c>
      <c r="AW288" s="286">
        <f t="shared" ref="AW288:AZ288" si="60">($P$278*($B$271+$B$272))*(2^(((AW277-7)-$P$277)/HLOOKUP((AW277-7)-$B$274,$P$301:$BH$303,3,TRUE)))</f>
        <v>10984883.660883481</v>
      </c>
      <c r="AX288" s="284">
        <f t="shared" si="60"/>
        <v>7814677.1740321489</v>
      </c>
      <c r="AY288" s="284">
        <f t="shared" si="60"/>
        <v>8132148.6507523432</v>
      </c>
      <c r="AZ288" s="284">
        <f t="shared" si="60"/>
        <v>8277599.099816232</v>
      </c>
      <c r="BA288" s="284">
        <f t="shared" ref="BA288:BF288" si="61">($P$278*($B$271+$B$272))*(2^(((BA277-7)-$P$277)/HLOOKUP((BA277-7)-$B$274,$P$301:$BH$303,3,TRUE)))</f>
        <v>8388519.6492992854</v>
      </c>
      <c r="BB288" s="238">
        <f t="shared" si="61"/>
        <v>1331488365.5730147</v>
      </c>
      <c r="BC288" s="208">
        <f t="shared" si="61"/>
        <v>445300109.58951402</v>
      </c>
      <c r="BD288" s="208">
        <f t="shared" si="61"/>
        <v>358519041.91476315</v>
      </c>
      <c r="BE288" s="208">
        <f t="shared" si="61"/>
        <v>413250671.04090333</v>
      </c>
      <c r="BF288" s="209">
        <f t="shared" si="61"/>
        <v>571153158.04243648</v>
      </c>
      <c r="BG288" s="208">
        <f>($P$278*($B$271+$B$272))*(2^(((BG277 - 7) - $P$277)/BG303))</f>
        <v>53800869.726887867</v>
      </c>
      <c r="BH288" s="244">
        <f>BH278*(B271+B272)</f>
        <v>4396521.1500000004</v>
      </c>
      <c r="BI288" s="45"/>
      <c r="BJ288" s="45"/>
      <c r="BK288" s="69"/>
    </row>
    <row r="289" spans="1:63" x14ac:dyDescent="0.25">
      <c r="A289" s="37" t="s">
        <v>157</v>
      </c>
      <c r="B289" s="38"/>
      <c r="C289" s="39"/>
      <c r="D289" s="39"/>
      <c r="E289" s="39"/>
      <c r="F289" s="39"/>
      <c r="G289" s="39"/>
      <c r="H289" s="39"/>
      <c r="I289" s="39"/>
      <c r="J289" s="39"/>
      <c r="K289" s="39"/>
      <c r="L289" s="39"/>
      <c r="M289" s="39"/>
      <c r="N289" s="39"/>
      <c r="O289" s="63"/>
      <c r="P289" s="206">
        <f t="shared" ref="P289:AC289" si="62">P288</f>
        <v>2.9796216359494587</v>
      </c>
      <c r="Q289" s="207">
        <f t="shared" si="62"/>
        <v>6.6590498985850246</v>
      </c>
      <c r="R289" s="207">
        <f t="shared" si="62"/>
        <v>9.3937329355254953</v>
      </c>
      <c r="S289" s="207">
        <f t="shared" si="62"/>
        <v>11.815592437748149</v>
      </c>
      <c r="T289" s="207">
        <f t="shared" si="62"/>
        <v>12.534285987853202</v>
      </c>
      <c r="U289" s="207">
        <f t="shared" si="62"/>
        <v>23.599266437601273</v>
      </c>
      <c r="V289" s="207">
        <f t="shared" si="62"/>
        <v>49.779972972921911</v>
      </c>
      <c r="W289" s="207">
        <f t="shared" si="62"/>
        <v>108.90640436467176</v>
      </c>
      <c r="X289" s="207">
        <f t="shared" si="62"/>
        <v>220.70535714285711</v>
      </c>
      <c r="Y289" s="207">
        <f t="shared" si="62"/>
        <v>322.92231652302479</v>
      </c>
      <c r="Z289" s="207">
        <f t="shared" si="62"/>
        <v>573.4171414665534</v>
      </c>
      <c r="AA289" s="207">
        <f t="shared" si="62"/>
        <v>1580.5624999999989</v>
      </c>
      <c r="AB289" s="207">
        <f t="shared" si="62"/>
        <v>4157.3376801210561</v>
      </c>
      <c r="AC289" s="207">
        <f t="shared" si="62"/>
        <v>14709.910600081001</v>
      </c>
      <c r="AD289" s="198">
        <f t="shared" ref="AD289:AV289" si="63">MAX(AD288-($P$278*$B$271)*(2^(((AD277 - 42) - $P$277)/HLOOKUP((AD277-42)-$B$274,$P$301:$BH$303,3,TRUE)))-AD291,0)</f>
        <v>60011.596753736201</v>
      </c>
      <c r="AE289" s="198">
        <f t="shared" si="63"/>
        <v>142124.36171205499</v>
      </c>
      <c r="AF289" s="198">
        <f t="shared" si="63"/>
        <v>89737.506502580392</v>
      </c>
      <c r="AG289" s="198">
        <f t="shared" si="63"/>
        <v>82168.218806941761</v>
      </c>
      <c r="AH289" s="198">
        <f t="shared" si="63"/>
        <v>121077.37661798642</v>
      </c>
      <c r="AI289" s="198">
        <f t="shared" si="63"/>
        <v>252868.59737156465</v>
      </c>
      <c r="AJ289" s="198">
        <f t="shared" si="63"/>
        <v>181677.79901564698</v>
      </c>
      <c r="AK289" s="198">
        <f t="shared" si="63"/>
        <v>203285.11007365442</v>
      </c>
      <c r="AL289" s="198">
        <f t="shared" si="63"/>
        <v>252056.96599880184</v>
      </c>
      <c r="AM289" s="198">
        <f t="shared" si="63"/>
        <v>532659.2429449925</v>
      </c>
      <c r="AN289" s="198">
        <f t="shared" si="63"/>
        <v>553229.92637480807</v>
      </c>
      <c r="AO289" s="198">
        <f t="shared" si="63"/>
        <v>351534.76998693473</v>
      </c>
      <c r="AP289" s="198">
        <f t="shared" si="63"/>
        <v>535989.53950503108</v>
      </c>
      <c r="AQ289" s="198">
        <f t="shared" si="63"/>
        <v>531877.01113903837</v>
      </c>
      <c r="AR289" s="198">
        <f t="shared" si="63"/>
        <v>2559979.7455211468</v>
      </c>
      <c r="AS289" s="198">
        <f t="shared" si="63"/>
        <v>341477.1896125488</v>
      </c>
      <c r="AT289" s="198">
        <f t="shared" si="63"/>
        <v>1118091.2946915191</v>
      </c>
      <c r="AU289" s="198">
        <f t="shared" si="63"/>
        <v>1097609.6819817957</v>
      </c>
      <c r="AV289" s="198">
        <f t="shared" si="63"/>
        <v>1104211.816234549</v>
      </c>
      <c r="AW289" s="198">
        <f t="shared" ref="AW289:AZ289" si="64">MAX(AW288-($P$278*$B$271)*(2^(((AW277 - 42) - $P$277)/HLOOKUP((AW277-42)-$B$274,$P$301:$BH$303,3,TRUE)))-AW291,0)</f>
        <v>7383869.412899809</v>
      </c>
      <c r="AX289" s="198">
        <f t="shared" si="64"/>
        <v>4956846.5646028584</v>
      </c>
      <c r="AY289" s="198">
        <f t="shared" si="64"/>
        <v>4933814.8145150132</v>
      </c>
      <c r="AZ289" s="198">
        <f t="shared" si="64"/>
        <v>4821373.4831032297</v>
      </c>
      <c r="BA289" s="198">
        <f t="shared" ref="BA289:BG289" si="65">MAX(BA288-($P$278*$B$271)*(2^(((BA277 - 42) - $P$277)/HLOOKUP((BA277-42)-$B$274,$P$301:$BH$303,3,TRUE)))-BA291,0)</f>
        <v>4707838.7525655581</v>
      </c>
      <c r="BB289" s="241">
        <f t="shared" si="65"/>
        <v>722616791.91415668</v>
      </c>
      <c r="BC289" s="203">
        <f t="shared" si="65"/>
        <v>213416846.59669662</v>
      </c>
      <c r="BD289" s="203">
        <f t="shared" si="65"/>
        <v>158533355.42082113</v>
      </c>
      <c r="BE289" s="203">
        <f t="shared" si="65"/>
        <v>172724059.29364753</v>
      </c>
      <c r="BF289" s="204">
        <f t="shared" si="65"/>
        <v>228986054.69885564</v>
      </c>
      <c r="BG289" s="199">
        <f t="shared" si="65"/>
        <v>0</v>
      </c>
      <c r="BH289" s="246"/>
      <c r="BI289" s="45"/>
      <c r="BJ289" s="45"/>
      <c r="BK289" s="69"/>
    </row>
    <row r="290" spans="1:63" x14ac:dyDescent="0.25">
      <c r="A290" s="62" t="s">
        <v>111</v>
      </c>
      <c r="B290" s="9"/>
      <c r="C290" s="9"/>
      <c r="D290" s="9"/>
      <c r="E290" s="9"/>
      <c r="F290" s="9"/>
      <c r="G290" s="9"/>
      <c r="H290" s="9"/>
      <c r="I290" s="9"/>
      <c r="J290" s="9"/>
      <c r="K290" s="9"/>
      <c r="L290" s="9"/>
      <c r="M290" s="9"/>
      <c r="N290" s="9"/>
      <c r="O290" s="5"/>
      <c r="P290" s="225">
        <f>(1*$B$272)*(2^(((P277 - 14) -$B$274)/$P$303))</f>
        <v>0.35133142435370507</v>
      </c>
      <c r="Q290" s="222">
        <f>(1*$B$272)*(2^(((Q277 - 14) -$B$274)/$P$303))</f>
        <v>0.8793994084295168</v>
      </c>
      <c r="R290" s="222">
        <f>(1*$B$272)*(2^(((R277 - 14) -$B$274)/$P$303))</f>
        <v>1.2405438181505943</v>
      </c>
      <c r="S290" s="222">
        <f>(1*$B$272)*(2^(((S277 - 14) -$B$274)/$P$303))</f>
        <v>1.5603765038925292</v>
      </c>
      <c r="T290" s="211">
        <f t="shared" ref="T290:AV290" si="66">($P$278*$B$272)*(2^(((T277 - 14) - $P$277)/HLOOKUP((T277-14)-$B$274,$P$301:$BH$303,3,TRUE)))</f>
        <v>1.9653383070069901</v>
      </c>
      <c r="U290" s="211">
        <f t="shared" si="66"/>
        <v>2.7724470405161594</v>
      </c>
      <c r="V290" s="211">
        <f t="shared" si="66"/>
        <v>3.0357142857142851</v>
      </c>
      <c r="W290" s="211">
        <f t="shared" si="66"/>
        <v>3.5840256691447028</v>
      </c>
      <c r="X290" s="211">
        <f t="shared" si="66"/>
        <v>6.2103332730529663</v>
      </c>
      <c r="Y290" s="211">
        <f t="shared" si="66"/>
        <v>11.368617573959821</v>
      </c>
      <c r="Z290" s="211">
        <f t="shared" si="66"/>
        <v>24.151785714285708</v>
      </c>
      <c r="AA290" s="211">
        <f t="shared" si="66"/>
        <v>58.080357142857132</v>
      </c>
      <c r="AB290" s="211">
        <f t="shared" si="66"/>
        <v>123.70535714285711</v>
      </c>
      <c r="AC290" s="211">
        <f t="shared" si="66"/>
        <v>515.59097869702066</v>
      </c>
      <c r="AD290" s="211">
        <f t="shared" si="66"/>
        <v>5570.8928571428578</v>
      </c>
      <c r="AE290" s="211">
        <f t="shared" si="66"/>
        <v>13823.025678649645</v>
      </c>
      <c r="AF290" s="211">
        <f t="shared" si="66"/>
        <v>21428.939201378067</v>
      </c>
      <c r="AG290" s="211">
        <f t="shared" si="66"/>
        <v>50945.755168707459</v>
      </c>
      <c r="AH290" s="284">
        <f t="shared" si="66"/>
        <v>35451.144071431758</v>
      </c>
      <c r="AI290" s="284">
        <f t="shared" si="66"/>
        <v>42937.038554280232</v>
      </c>
      <c r="AJ290" s="211">
        <f t="shared" si="66"/>
        <v>134060.1838119278</v>
      </c>
      <c r="AK290" s="211">
        <f t="shared" si="66"/>
        <v>169554.0325304759</v>
      </c>
      <c r="AL290" s="284">
        <f t="shared" si="66"/>
        <v>163685.41381191395</v>
      </c>
      <c r="AM290" s="284">
        <f t="shared" si="66"/>
        <v>121528.35323819361</v>
      </c>
      <c r="AN290" s="284">
        <f t="shared" si="66"/>
        <v>115367.50498258488</v>
      </c>
      <c r="AO290" s="284">
        <f t="shared" si="66"/>
        <v>144053.00494187459</v>
      </c>
      <c r="AP290" s="284">
        <f t="shared" si="66"/>
        <v>169297.15502566702</v>
      </c>
      <c r="AQ290" s="211">
        <f t="shared" si="66"/>
        <v>192561.66533694998</v>
      </c>
      <c r="AR290" s="286">
        <f t="shared" si="66"/>
        <v>601866.34807546693</v>
      </c>
      <c r="AS290" s="284">
        <f t="shared" si="66"/>
        <v>496718.8071790653</v>
      </c>
      <c r="AT290" s="284">
        <f t="shared" si="66"/>
        <v>567785.98214205028</v>
      </c>
      <c r="AU290" s="286">
        <f t="shared" si="66"/>
        <v>621661.20246900863</v>
      </c>
      <c r="AV290" s="286">
        <f t="shared" si="66"/>
        <v>667548.81829074991</v>
      </c>
      <c r="AW290" s="286">
        <f t="shared" ref="AW290:AZ290" si="67">($P$278*$B$272)*(2^(((AW277 - 14) - $P$277)/HLOOKUP((AW277-14)-$B$274,$P$301:$BH$303,3,TRUE)))</f>
        <v>2273046.8324242518</v>
      </c>
      <c r="AX290" s="284">
        <f t="shared" si="67"/>
        <v>1679741.4504317003</v>
      </c>
      <c r="AY290" s="284">
        <f t="shared" si="67"/>
        <v>1790471.0743939409</v>
      </c>
      <c r="AZ290" s="284">
        <f t="shared" si="67"/>
        <v>1857592.5969600314</v>
      </c>
      <c r="BA290" s="284">
        <f t="shared" ref="BA290:BG290" si="68">($P$278*$B$272)*(2^(((BA277 - 14) - $P$277)/HLOOKUP((BA277-14)-$B$274,$P$301:$BH$303,3,TRUE)))</f>
        <v>1911696.9255093737</v>
      </c>
      <c r="BB290" s="238">
        <f t="shared" si="68"/>
        <v>307272984.09359056</v>
      </c>
      <c r="BC290" s="208">
        <f t="shared" si="68"/>
        <v>106749449.98805667</v>
      </c>
      <c r="BD290" s="208">
        <f t="shared" si="68"/>
        <v>87625993.637191474</v>
      </c>
      <c r="BE290" s="208">
        <f t="shared" si="68"/>
        <v>102194234.53968632</v>
      </c>
      <c r="BF290" s="209">
        <f t="shared" si="68"/>
        <v>142357421.06097776</v>
      </c>
      <c r="BG290" s="208">
        <f t="shared" si="68"/>
        <v>219664280.73339853</v>
      </c>
      <c r="BH290" s="244">
        <f>BH278*B272</f>
        <v>1156979.2500000002</v>
      </c>
      <c r="BI290" s="45"/>
      <c r="BJ290" s="45"/>
      <c r="BK290" s="69"/>
    </row>
    <row r="291" spans="1:63" x14ac:dyDescent="0.25">
      <c r="A291" s="37" t="s">
        <v>158</v>
      </c>
      <c r="B291" s="38"/>
      <c r="C291" s="39"/>
      <c r="D291" s="39"/>
      <c r="E291" s="39"/>
      <c r="F291" s="39"/>
      <c r="G291" s="39"/>
      <c r="H291" s="39"/>
      <c r="I291" s="39"/>
      <c r="J291" s="39"/>
      <c r="K291" s="39"/>
      <c r="L291" s="39"/>
      <c r="M291" s="39"/>
      <c r="N291" s="39"/>
      <c r="O291" s="63"/>
      <c r="P291" s="206">
        <f t="shared" ref="P291:AA291" si="69">P290</f>
        <v>0.35133142435370507</v>
      </c>
      <c r="Q291" s="207">
        <f t="shared" si="69"/>
        <v>0.8793994084295168</v>
      </c>
      <c r="R291" s="207">
        <f t="shared" si="69"/>
        <v>1.2405438181505943</v>
      </c>
      <c r="S291" s="207">
        <f t="shared" si="69"/>
        <v>1.5603765038925292</v>
      </c>
      <c r="T291" s="207">
        <f t="shared" si="69"/>
        <v>1.9653383070069901</v>
      </c>
      <c r="U291" s="207">
        <f t="shared" si="69"/>
        <v>2.7724470405161594</v>
      </c>
      <c r="V291" s="207">
        <f t="shared" si="69"/>
        <v>3.0357142857142851</v>
      </c>
      <c r="W291" s="207">
        <f t="shared" si="69"/>
        <v>3.5840256691447028</v>
      </c>
      <c r="X291" s="207">
        <f t="shared" si="69"/>
        <v>6.2103332730529663</v>
      </c>
      <c r="Y291" s="207">
        <f t="shared" si="69"/>
        <v>11.368617573959821</v>
      </c>
      <c r="Z291" s="207">
        <f t="shared" si="69"/>
        <v>24.151785714285708</v>
      </c>
      <c r="AA291" s="207">
        <f t="shared" si="69"/>
        <v>58.080357142857132</v>
      </c>
      <c r="AB291" s="205">
        <f t="shared" ref="AB291:AV291" si="70">MAX(AB290-($P$278*$B$272)*(2^(((AB277 - 35) - $P$277)/HLOOKUP((AB277-35)-$B$274,$P$301:$BH$303,3,TRUE))),0)</f>
        <v>121.95297559059789</v>
      </c>
      <c r="AC291" s="205">
        <f t="shared" si="70"/>
        <v>512.48161226603429</v>
      </c>
      <c r="AD291" s="205">
        <f t="shared" si="70"/>
        <v>5557.792864255247</v>
      </c>
      <c r="AE291" s="205">
        <f t="shared" si="70"/>
        <v>13764.945321506788</v>
      </c>
      <c r="AF291" s="205">
        <f t="shared" si="70"/>
        <v>21278.039953623709</v>
      </c>
      <c r="AG291" s="205">
        <f t="shared" si="70"/>
        <v>50430.164190010437</v>
      </c>
      <c r="AH291" s="205">
        <f t="shared" si="70"/>
        <v>33551.402995707496</v>
      </c>
      <c r="AI291" s="205">
        <f t="shared" si="70"/>
        <v>30465.110685232437</v>
      </c>
      <c r="AJ291" s="205">
        <f t="shared" si="70"/>
        <v>98609.039740496039</v>
      </c>
      <c r="AK291" s="205">
        <f t="shared" si="70"/>
        <v>120294.25919359041</v>
      </c>
      <c r="AL291" s="205">
        <f t="shared" si="70"/>
        <v>29625.229999986157</v>
      </c>
      <c r="AM291" s="205">
        <f t="shared" si="70"/>
        <v>23871.298760504302</v>
      </c>
      <c r="AN291" s="205">
        <f t="shared" si="70"/>
        <v>0</v>
      </c>
      <c r="AO291" s="205">
        <f t="shared" si="70"/>
        <v>0</v>
      </c>
      <c r="AP291" s="205">
        <f t="shared" si="70"/>
        <v>0</v>
      </c>
      <c r="AQ291" s="205">
        <f t="shared" si="70"/>
        <v>0</v>
      </c>
      <c r="AR291" s="205">
        <f t="shared" si="70"/>
        <v>160370.84919598675</v>
      </c>
      <c r="AS291" s="205">
        <f t="shared" si="70"/>
        <v>0</v>
      </c>
      <c r="AT291" s="205">
        <f t="shared" si="70"/>
        <v>0</v>
      </c>
      <c r="AU291" s="205">
        <f t="shared" si="70"/>
        <v>0</v>
      </c>
      <c r="AV291" s="205">
        <f t="shared" si="70"/>
        <v>0</v>
      </c>
      <c r="AW291" s="205">
        <f t="shared" ref="AW291:AZ291" si="71">MAX(AW290-($P$278*$B$272)*(2^(((AW277 - 35) - $P$277)/HLOOKUP((AW277-35)-$B$274,$P$301:$BH$303,3,TRUE))),0)</f>
        <v>1167956.0928714145</v>
      </c>
      <c r="AX291" s="205">
        <f t="shared" si="71"/>
        <v>764390.95439149102</v>
      </c>
      <c r="AY291" s="205">
        <f t="shared" si="71"/>
        <v>741884.96386251785</v>
      </c>
      <c r="AZ291" s="205">
        <f t="shared" si="71"/>
        <v>705626.99865159672</v>
      </c>
      <c r="BA291" s="205">
        <f t="shared" ref="BA291:BG291" si="72">MAX(BA290-($P$278*$B$272)*(2^(((BA277 - 35) - $P$277)/HLOOKUP((BA277-35)-$B$274,$P$301:$BH$303,3,TRUE))),0)</f>
        <v>670127.58885884495</v>
      </c>
      <c r="BB291" s="241">
        <f t="shared" si="72"/>
        <v>100050834.55336297</v>
      </c>
      <c r="BC291" s="203">
        <f t="shared" si="72"/>
        <v>26052899.947022498</v>
      </c>
      <c r="BD291" s="203">
        <f t="shared" si="72"/>
        <v>17424568.107175723</v>
      </c>
      <c r="BE291" s="203">
        <f t="shared" si="72"/>
        <v>17390365.32009697</v>
      </c>
      <c r="BF291" s="204">
        <f t="shared" si="72"/>
        <v>21405299.786533415</v>
      </c>
      <c r="BG291" s="199">
        <f t="shared" si="72"/>
        <v>29845314.914220691</v>
      </c>
      <c r="BH291" s="244"/>
      <c r="BI291" s="45"/>
      <c r="BJ291" s="45"/>
      <c r="BK291" s="69"/>
    </row>
    <row r="292" spans="1:63" x14ac:dyDescent="0.25">
      <c r="A292" s="41" t="s">
        <v>56</v>
      </c>
      <c r="B292" s="15"/>
      <c r="C292" s="16"/>
      <c r="D292" s="16"/>
      <c r="E292" s="16"/>
      <c r="F292" s="16"/>
      <c r="G292" s="16"/>
      <c r="H292" s="16"/>
      <c r="I292" s="16"/>
      <c r="J292" s="16"/>
      <c r="K292" s="16"/>
      <c r="L292" s="16"/>
      <c r="M292" s="16"/>
      <c r="N292" s="16"/>
      <c r="O292" s="16"/>
      <c r="P292" s="226">
        <f t="shared" ref="P292:BG292" si="73">P278*$B$273</f>
        <v>1.84375</v>
      </c>
      <c r="Q292" s="227">
        <f t="shared" si="73"/>
        <v>3.6875</v>
      </c>
      <c r="R292" s="227">
        <f t="shared" si="73"/>
        <v>7.375</v>
      </c>
      <c r="S292" s="227">
        <f t="shared" si="73"/>
        <v>14.75</v>
      </c>
      <c r="T292" s="227">
        <f t="shared" si="73"/>
        <v>29.5</v>
      </c>
      <c r="U292" s="227">
        <f t="shared" si="73"/>
        <v>59</v>
      </c>
      <c r="V292" s="227">
        <f t="shared" si="73"/>
        <v>118</v>
      </c>
      <c r="W292" s="227">
        <f t="shared" si="73"/>
        <v>236</v>
      </c>
      <c r="X292" s="227">
        <f t="shared" si="73"/>
        <v>472</v>
      </c>
      <c r="Y292" s="227">
        <f t="shared" si="73"/>
        <v>944</v>
      </c>
      <c r="Z292" s="227">
        <f t="shared" si="73"/>
        <v>1888</v>
      </c>
      <c r="AA292" s="227">
        <f t="shared" si="73"/>
        <v>3776</v>
      </c>
      <c r="AB292" s="227">
        <f t="shared" si="73"/>
        <v>7552</v>
      </c>
      <c r="AC292" s="227">
        <f t="shared" si="73"/>
        <v>15104</v>
      </c>
      <c r="AD292" s="227">
        <f t="shared" si="73"/>
        <v>30208</v>
      </c>
      <c r="AE292" s="227">
        <f t="shared" ref="AE292:AG292" si="74">AE278*$B$273</f>
        <v>37760</v>
      </c>
      <c r="AF292" s="227">
        <f t="shared" si="74"/>
        <v>45312</v>
      </c>
      <c r="AG292" s="227">
        <f t="shared" si="74"/>
        <v>52864</v>
      </c>
      <c r="AH292" s="227">
        <f t="shared" si="73"/>
        <v>60416</v>
      </c>
      <c r="AI292" s="227">
        <f t="shared" ref="AI292:AK292" si="75">AI278*$B$273</f>
        <v>77332.479999999996</v>
      </c>
      <c r="AJ292" s="227">
        <f t="shared" si="75"/>
        <v>90624</v>
      </c>
      <c r="AK292" s="227">
        <f t="shared" si="75"/>
        <v>105728</v>
      </c>
      <c r="AL292" s="227">
        <f t="shared" si="73"/>
        <v>120832</v>
      </c>
      <c r="AM292" s="227">
        <f t="shared" ref="AM292:AP292" si="76">AM278*$B$273</f>
        <v>144998.39999999999</v>
      </c>
      <c r="AN292" s="227">
        <f t="shared" si="76"/>
        <v>169164.79999999999</v>
      </c>
      <c r="AO292" s="227">
        <f t="shared" si="76"/>
        <v>193331.19999999998</v>
      </c>
      <c r="AP292" s="227">
        <f t="shared" si="76"/>
        <v>217497.59999999998</v>
      </c>
      <c r="AQ292" s="227">
        <f t="shared" si="73"/>
        <v>241664</v>
      </c>
      <c r="AR292" s="227">
        <f t="shared" ref="AR292:AU292" si="77">AR278*$B$273</f>
        <v>289996.79999999999</v>
      </c>
      <c r="AS292" s="227">
        <f t="shared" si="77"/>
        <v>338329.59999999998</v>
      </c>
      <c r="AT292" s="227">
        <f t="shared" si="77"/>
        <v>386662.39999999997</v>
      </c>
      <c r="AU292" s="227">
        <f t="shared" si="77"/>
        <v>434995.19999999995</v>
      </c>
      <c r="AV292" s="227">
        <f t="shared" si="73"/>
        <v>483328</v>
      </c>
      <c r="AW292" s="227">
        <f t="shared" ref="AW292:AZ292" si="78">AW278*$B$273</f>
        <v>579993.59999999998</v>
      </c>
      <c r="AX292" s="227">
        <f t="shared" si="78"/>
        <v>676659.19999999995</v>
      </c>
      <c r="AY292" s="227">
        <f t="shared" si="78"/>
        <v>773324.79999999993</v>
      </c>
      <c r="AZ292" s="227">
        <f t="shared" si="78"/>
        <v>869990.39999999991</v>
      </c>
      <c r="BA292" s="227">
        <f t="shared" si="73"/>
        <v>966656</v>
      </c>
      <c r="BB292" s="240">
        <f t="shared" ref="BB292:BF292" si="79">BB278*$B$273</f>
        <v>1933312</v>
      </c>
      <c r="BC292" s="199">
        <f t="shared" si="79"/>
        <v>3866624</v>
      </c>
      <c r="BD292" s="199">
        <f t="shared" si="79"/>
        <v>7733248</v>
      </c>
      <c r="BE292" s="199">
        <f t="shared" si="79"/>
        <v>15466496</v>
      </c>
      <c r="BF292" s="200">
        <f t="shared" si="79"/>
        <v>19503364.5</v>
      </c>
      <c r="BG292" s="208">
        <f t="shared" si="73"/>
        <v>19503364.5</v>
      </c>
      <c r="BH292" s="244">
        <f>BH278*B273</f>
        <v>1365235.5150000001</v>
      </c>
      <c r="BI292" s="45"/>
      <c r="BJ292" s="45"/>
      <c r="BK292" s="69"/>
    </row>
    <row r="293" spans="1:63" x14ac:dyDescent="0.25">
      <c r="A293" s="37" t="s">
        <v>55</v>
      </c>
      <c r="B293" s="38"/>
      <c r="C293" s="39"/>
      <c r="D293" s="39"/>
      <c r="E293" s="39"/>
      <c r="F293" s="39"/>
      <c r="G293" s="39"/>
      <c r="H293" s="39"/>
      <c r="I293" s="39"/>
      <c r="J293" s="39"/>
      <c r="K293" s="39"/>
      <c r="L293" s="39"/>
      <c r="M293" s="39"/>
      <c r="N293" s="39"/>
      <c r="O293" s="39"/>
      <c r="P293" s="201"/>
      <c r="Q293" s="202"/>
      <c r="R293" s="202"/>
      <c r="S293" s="202"/>
      <c r="T293" s="202"/>
      <c r="U293" s="202"/>
      <c r="V293" s="202"/>
      <c r="W293" s="202"/>
      <c r="X293" s="202"/>
      <c r="Y293" s="202"/>
      <c r="Z293" s="202"/>
      <c r="AA293" s="202"/>
      <c r="AB293" s="210">
        <f t="shared" ref="AB293:AV293" si="80">($P$278*$B$273)*(2^(((AB277-35)-$P$277)/HLOOKUP((AB277-35)-$B$274,$P$301:$BH$303,3,TRUE)))</f>
        <v>2.067810231665876</v>
      </c>
      <c r="AC293" s="210">
        <f t="shared" si="80"/>
        <v>3.669052388563899</v>
      </c>
      <c r="AD293" s="210">
        <f t="shared" si="80"/>
        <v>15.457991607381013</v>
      </c>
      <c r="AE293" s="210">
        <f t="shared" si="80"/>
        <v>68.534821428571419</v>
      </c>
      <c r="AF293" s="210">
        <f t="shared" si="80"/>
        <v>178.06111235014029</v>
      </c>
      <c r="AG293" s="210">
        <f t="shared" si="80"/>
        <v>608.39735486248435</v>
      </c>
      <c r="AH293" s="210">
        <f t="shared" si="80"/>
        <v>2241.6944693546275</v>
      </c>
      <c r="AI293" s="210">
        <f t="shared" si="80"/>
        <v>14716.8748854764</v>
      </c>
      <c r="AJ293" s="210">
        <f t="shared" si="80"/>
        <v>41832.350004289474</v>
      </c>
      <c r="AK293" s="210">
        <f t="shared" si="80"/>
        <v>58126.532537524901</v>
      </c>
      <c r="AL293" s="210">
        <f t="shared" si="80"/>
        <v>158191.0168980748</v>
      </c>
      <c r="AM293" s="210">
        <f t="shared" si="80"/>
        <v>115235.32428367338</v>
      </c>
      <c r="AN293" s="210">
        <f t="shared" si="80"/>
        <v>234923.04732790584</v>
      </c>
      <c r="AO293" s="210">
        <f t="shared" si="80"/>
        <v>516107.50722301856</v>
      </c>
      <c r="AP293" s="210">
        <f t="shared" si="80"/>
        <v>411801.04988081922</v>
      </c>
      <c r="AQ293" s="210">
        <f t="shared" si="80"/>
        <v>460906.06658191961</v>
      </c>
      <c r="AR293" s="210">
        <f t="shared" si="80"/>
        <v>520964.68867778656</v>
      </c>
      <c r="AS293" s="210">
        <f t="shared" si="80"/>
        <v>1527526.4004188306</v>
      </c>
      <c r="AT293" s="210">
        <f t="shared" si="80"/>
        <v>1123923.4787065303</v>
      </c>
      <c r="AU293" s="210">
        <f t="shared" si="80"/>
        <v>1194978.3964959865</v>
      </c>
      <c r="AV293" s="210">
        <f t="shared" si="80"/>
        <v>1233926.5499753642</v>
      </c>
      <c r="AW293" s="210">
        <f t="shared" ref="AW293:AZ293" si="81">($P$278*$B$273)*(2^(((AW277-35)-$P$277)/HLOOKUP((AW277-35)-$B$274,$P$301:$BH$303,3,TRUE)))</f>
        <v>1304007.072672348</v>
      </c>
      <c r="AX293" s="210">
        <f t="shared" si="81"/>
        <v>1080113.5853274469</v>
      </c>
      <c r="AY293" s="210">
        <f t="shared" si="81"/>
        <v>1237331.6104270793</v>
      </c>
      <c r="AZ293" s="210">
        <f t="shared" si="81"/>
        <v>1359319.406003953</v>
      </c>
      <c r="BA293" s="210">
        <f t="shared" ref="BA293:BG293" si="82">($P$278*$B$273)*(2^(((BA277-35)-$P$277)/HLOOKUP((BA277-35)-$B$274,$P$301:$BH$303,3,TRUE)))</f>
        <v>1465051.8172476238</v>
      </c>
      <c r="BB293" s="241">
        <f t="shared" si="82"/>
        <v>244522136.45746857</v>
      </c>
      <c r="BC293" s="203">
        <f t="shared" si="82"/>
        <v>95221929.048420325</v>
      </c>
      <c r="BD293" s="203">
        <f t="shared" si="82"/>
        <v>82837682.125418589</v>
      </c>
      <c r="BE293" s="203">
        <f t="shared" si="82"/>
        <v>100068565.67911543</v>
      </c>
      <c r="BF293" s="204">
        <f t="shared" si="82"/>
        <v>142723503.10384431</v>
      </c>
      <c r="BG293" s="203">
        <f t="shared" si="82"/>
        <v>223986379.66662982</v>
      </c>
      <c r="BH293" s="247">
        <f>($P$278*$B$273)*(2^(((BH277 - 35) - $P$277)/BH303))</f>
        <v>14213259.027758533</v>
      </c>
      <c r="BI293" s="45"/>
      <c r="BJ293" s="45"/>
      <c r="BK293" s="69"/>
    </row>
    <row r="294" spans="1:63" s="69" customFormat="1" hidden="1" x14ac:dyDescent="0.25">
      <c r="A294" s="48" t="s">
        <v>105</v>
      </c>
      <c r="B294" s="25"/>
      <c r="C294" s="47"/>
      <c r="D294" s="47"/>
      <c r="E294" s="47"/>
      <c r="F294" s="47"/>
      <c r="G294" s="47"/>
      <c r="H294" s="47"/>
      <c r="I294" s="47"/>
      <c r="J294" s="47"/>
      <c r="K294" s="47"/>
      <c r="L294" s="47"/>
      <c r="M294" s="47"/>
      <c r="N294" s="47"/>
      <c r="O294" s="47"/>
      <c r="P294" s="150">
        <f t="shared" ref="P294:BG294" si="83">P277-7</f>
        <v>43875</v>
      </c>
      <c r="Q294" s="150">
        <f t="shared" si="83"/>
        <v>43883</v>
      </c>
      <c r="R294" s="150">
        <f t="shared" si="83"/>
        <v>43886</v>
      </c>
      <c r="S294" s="150">
        <f t="shared" si="83"/>
        <v>43888</v>
      </c>
      <c r="T294" s="150">
        <f t="shared" si="83"/>
        <v>43891</v>
      </c>
      <c r="U294" s="150">
        <f t="shared" si="83"/>
        <v>43894</v>
      </c>
      <c r="V294" s="150">
        <f t="shared" si="83"/>
        <v>43897</v>
      </c>
      <c r="W294" s="150">
        <f t="shared" si="83"/>
        <v>43899</v>
      </c>
      <c r="X294" s="150">
        <f t="shared" si="83"/>
        <v>43901</v>
      </c>
      <c r="Y294" s="150">
        <f t="shared" si="83"/>
        <v>43903</v>
      </c>
      <c r="Z294" s="150">
        <f t="shared" si="83"/>
        <v>43905</v>
      </c>
      <c r="AA294" s="150">
        <f t="shared" si="83"/>
        <v>43908</v>
      </c>
      <c r="AB294" s="150">
        <f t="shared" si="83"/>
        <v>43911</v>
      </c>
      <c r="AC294" s="150">
        <f t="shared" si="83"/>
        <v>43916</v>
      </c>
      <c r="AD294" s="150">
        <f t="shared" si="83"/>
        <v>43925</v>
      </c>
      <c r="AE294" s="150"/>
      <c r="AF294" s="150"/>
      <c r="AG294" s="150"/>
      <c r="AH294" s="150">
        <f t="shared" si="83"/>
        <v>43941</v>
      </c>
      <c r="AI294" s="150"/>
      <c r="AJ294" s="150"/>
      <c r="AK294" s="150"/>
      <c r="AL294" s="150">
        <f t="shared" si="83"/>
        <v>43983</v>
      </c>
      <c r="AM294" s="150"/>
      <c r="AN294" s="150"/>
      <c r="AO294" s="150"/>
      <c r="AP294" s="150"/>
      <c r="AQ294" s="150">
        <f t="shared" si="83"/>
        <v>44067</v>
      </c>
      <c r="AR294" s="150"/>
      <c r="AS294" s="150"/>
      <c r="AT294" s="150"/>
      <c r="AU294" s="150"/>
      <c r="AV294" s="150">
        <f t="shared" si="83"/>
        <v>44235</v>
      </c>
      <c r="AW294" s="150"/>
      <c r="AX294" s="150"/>
      <c r="AY294" s="150"/>
      <c r="AZ294" s="150"/>
      <c r="BA294" s="150">
        <f t="shared" si="83"/>
        <v>44571</v>
      </c>
      <c r="BB294" s="150"/>
      <c r="BC294" s="150"/>
      <c r="BD294" s="150"/>
      <c r="BE294" s="150"/>
      <c r="BF294" s="150"/>
      <c r="BG294" s="150">
        <f t="shared" si="83"/>
        <v>46587</v>
      </c>
      <c r="BH294" s="150"/>
      <c r="BI294" s="45"/>
      <c r="BJ294" s="45"/>
    </row>
    <row r="295" spans="1:63" s="69" customFormat="1" hidden="1" x14ac:dyDescent="0.25">
      <c r="A295" s="48" t="s">
        <v>103</v>
      </c>
      <c r="B295" s="25"/>
      <c r="C295" s="47"/>
      <c r="D295" s="47"/>
      <c r="E295" s="47"/>
      <c r="F295" s="47"/>
      <c r="G295" s="47"/>
      <c r="H295" s="47"/>
      <c r="I295" s="47"/>
      <c r="J295" s="47"/>
      <c r="K295" s="47"/>
      <c r="L295" s="47"/>
      <c r="M295" s="47"/>
      <c r="N295" s="47"/>
      <c r="O295" s="47"/>
      <c r="P295" s="150">
        <f t="shared" ref="P295:BG295" si="84">P277-14</f>
        <v>43868</v>
      </c>
      <c r="Q295" s="150">
        <f t="shared" si="84"/>
        <v>43876</v>
      </c>
      <c r="R295" s="150">
        <f t="shared" si="84"/>
        <v>43879</v>
      </c>
      <c r="S295" s="150">
        <f t="shared" si="84"/>
        <v>43881</v>
      </c>
      <c r="T295" s="150">
        <f t="shared" si="84"/>
        <v>43884</v>
      </c>
      <c r="U295" s="150">
        <f t="shared" si="84"/>
        <v>43887</v>
      </c>
      <c r="V295" s="150">
        <f t="shared" si="84"/>
        <v>43890</v>
      </c>
      <c r="W295" s="150">
        <f t="shared" si="84"/>
        <v>43892</v>
      </c>
      <c r="X295" s="150">
        <f t="shared" si="84"/>
        <v>43894</v>
      </c>
      <c r="Y295" s="150">
        <f t="shared" si="84"/>
        <v>43896</v>
      </c>
      <c r="Z295" s="150">
        <f t="shared" si="84"/>
        <v>43898</v>
      </c>
      <c r="AA295" s="150">
        <f t="shared" si="84"/>
        <v>43901</v>
      </c>
      <c r="AB295" s="150">
        <f t="shared" si="84"/>
        <v>43904</v>
      </c>
      <c r="AC295" s="150">
        <f t="shared" si="84"/>
        <v>43909</v>
      </c>
      <c r="AD295" s="150">
        <f t="shared" si="84"/>
        <v>43918</v>
      </c>
      <c r="AE295" s="150"/>
      <c r="AF295" s="150"/>
      <c r="AG295" s="150"/>
      <c r="AH295" s="150">
        <f t="shared" si="84"/>
        <v>43934</v>
      </c>
      <c r="AI295" s="150"/>
      <c r="AJ295" s="150"/>
      <c r="AK295" s="150"/>
      <c r="AL295" s="150">
        <f t="shared" si="84"/>
        <v>43976</v>
      </c>
      <c r="AM295" s="150"/>
      <c r="AN295" s="150"/>
      <c r="AO295" s="150"/>
      <c r="AP295" s="150"/>
      <c r="AQ295" s="150">
        <f t="shared" si="84"/>
        <v>44060</v>
      </c>
      <c r="AR295" s="150"/>
      <c r="AS295" s="150"/>
      <c r="AT295" s="150"/>
      <c r="AU295" s="150"/>
      <c r="AV295" s="150">
        <f t="shared" si="84"/>
        <v>44228</v>
      </c>
      <c r="AW295" s="150"/>
      <c r="AX295" s="150"/>
      <c r="AY295" s="150"/>
      <c r="AZ295" s="150"/>
      <c r="BA295" s="150">
        <f t="shared" si="84"/>
        <v>44564</v>
      </c>
      <c r="BB295" s="150"/>
      <c r="BC295" s="150"/>
      <c r="BD295" s="150"/>
      <c r="BE295" s="150"/>
      <c r="BF295" s="150"/>
      <c r="BG295" s="150">
        <f t="shared" si="84"/>
        <v>46580</v>
      </c>
      <c r="BH295" s="150"/>
      <c r="BI295" s="45"/>
      <c r="BJ295" s="45"/>
    </row>
    <row r="296" spans="1:63" s="69" customFormat="1" hidden="1" x14ac:dyDescent="0.25">
      <c r="A296" s="48" t="s">
        <v>106</v>
      </c>
      <c r="B296" s="25"/>
      <c r="C296" s="47"/>
      <c r="D296" s="47"/>
      <c r="E296" s="47"/>
      <c r="F296" s="47"/>
      <c r="G296" s="47"/>
      <c r="H296" s="47"/>
      <c r="I296" s="47"/>
      <c r="J296" s="47"/>
      <c r="K296" s="47"/>
      <c r="L296" s="47"/>
      <c r="M296" s="47"/>
      <c r="N296" s="47"/>
      <c r="O296" s="47"/>
      <c r="P296" s="150">
        <f t="shared" ref="P296:BG296" si="85">P277-(7*5)</f>
        <v>43847</v>
      </c>
      <c r="Q296" s="150">
        <f t="shared" si="85"/>
        <v>43855</v>
      </c>
      <c r="R296" s="150">
        <f t="shared" si="85"/>
        <v>43858</v>
      </c>
      <c r="S296" s="150">
        <f t="shared" si="85"/>
        <v>43860</v>
      </c>
      <c r="T296" s="150">
        <f t="shared" si="85"/>
        <v>43863</v>
      </c>
      <c r="U296" s="150">
        <f t="shared" si="85"/>
        <v>43866</v>
      </c>
      <c r="V296" s="150">
        <f t="shared" si="85"/>
        <v>43869</v>
      </c>
      <c r="W296" s="150">
        <f t="shared" si="85"/>
        <v>43871</v>
      </c>
      <c r="X296" s="150">
        <f t="shared" si="85"/>
        <v>43873</v>
      </c>
      <c r="Y296" s="150">
        <f t="shared" si="85"/>
        <v>43875</v>
      </c>
      <c r="Z296" s="150">
        <f t="shared" si="85"/>
        <v>43877</v>
      </c>
      <c r="AA296" s="150">
        <f t="shared" si="85"/>
        <v>43880</v>
      </c>
      <c r="AB296" s="150">
        <f t="shared" si="85"/>
        <v>43883</v>
      </c>
      <c r="AC296" s="150">
        <f t="shared" si="85"/>
        <v>43888</v>
      </c>
      <c r="AD296" s="150">
        <f t="shared" si="85"/>
        <v>43897</v>
      </c>
      <c r="AE296" s="150"/>
      <c r="AF296" s="150"/>
      <c r="AG296" s="150"/>
      <c r="AH296" s="150">
        <f t="shared" si="85"/>
        <v>43913</v>
      </c>
      <c r="AI296" s="150"/>
      <c r="AJ296" s="150"/>
      <c r="AK296" s="150"/>
      <c r="AL296" s="150">
        <f t="shared" si="85"/>
        <v>43955</v>
      </c>
      <c r="AM296" s="150"/>
      <c r="AN296" s="150"/>
      <c r="AO296" s="150"/>
      <c r="AP296" s="150"/>
      <c r="AQ296" s="150">
        <f t="shared" si="85"/>
        <v>44039</v>
      </c>
      <c r="AR296" s="150"/>
      <c r="AS296" s="150"/>
      <c r="AT296" s="150"/>
      <c r="AU296" s="150"/>
      <c r="AV296" s="150">
        <f t="shared" si="85"/>
        <v>44207</v>
      </c>
      <c r="AW296" s="150"/>
      <c r="AX296" s="150"/>
      <c r="AY296" s="150"/>
      <c r="AZ296" s="150"/>
      <c r="BA296" s="150">
        <f t="shared" si="85"/>
        <v>44543</v>
      </c>
      <c r="BB296" s="150"/>
      <c r="BC296" s="150"/>
      <c r="BD296" s="150"/>
      <c r="BE296" s="150"/>
      <c r="BF296" s="150"/>
      <c r="BG296" s="150">
        <f t="shared" si="85"/>
        <v>46559</v>
      </c>
      <c r="BH296" s="150"/>
      <c r="BI296" s="45"/>
      <c r="BJ296" s="45"/>
    </row>
    <row r="297" spans="1:63" s="69" customFormat="1" hidden="1" x14ac:dyDescent="0.25">
      <c r="A297" s="48" t="s">
        <v>104</v>
      </c>
      <c r="B297" s="25"/>
      <c r="C297" s="47"/>
      <c r="D297" s="47"/>
      <c r="E297" s="47"/>
      <c r="F297" s="47"/>
      <c r="G297" s="47"/>
      <c r="H297" s="47"/>
      <c r="I297" s="47"/>
      <c r="J297" s="47"/>
      <c r="K297" s="47"/>
      <c r="L297" s="47"/>
      <c r="M297" s="47"/>
      <c r="N297" s="47"/>
      <c r="O297" s="47"/>
      <c r="P297" s="150">
        <f t="shared" ref="P297:BG297" si="86">P277-(6*7)</f>
        <v>43840</v>
      </c>
      <c r="Q297" s="150">
        <f t="shared" si="86"/>
        <v>43848</v>
      </c>
      <c r="R297" s="150">
        <f t="shared" si="86"/>
        <v>43851</v>
      </c>
      <c r="S297" s="150">
        <f t="shared" si="86"/>
        <v>43853</v>
      </c>
      <c r="T297" s="150">
        <f t="shared" si="86"/>
        <v>43856</v>
      </c>
      <c r="U297" s="150">
        <f t="shared" si="86"/>
        <v>43859</v>
      </c>
      <c r="V297" s="150">
        <f t="shared" si="86"/>
        <v>43862</v>
      </c>
      <c r="W297" s="150">
        <f t="shared" si="86"/>
        <v>43864</v>
      </c>
      <c r="X297" s="150">
        <f t="shared" si="86"/>
        <v>43866</v>
      </c>
      <c r="Y297" s="150">
        <f t="shared" si="86"/>
        <v>43868</v>
      </c>
      <c r="Z297" s="150">
        <f t="shared" si="86"/>
        <v>43870</v>
      </c>
      <c r="AA297" s="150">
        <f t="shared" si="86"/>
        <v>43873</v>
      </c>
      <c r="AB297" s="150">
        <f t="shared" si="86"/>
        <v>43876</v>
      </c>
      <c r="AC297" s="150">
        <f t="shared" si="86"/>
        <v>43881</v>
      </c>
      <c r="AD297" s="150">
        <f t="shared" si="86"/>
        <v>43890</v>
      </c>
      <c r="AE297" s="150"/>
      <c r="AF297" s="150"/>
      <c r="AG297" s="150"/>
      <c r="AH297" s="150">
        <f t="shared" si="86"/>
        <v>43906</v>
      </c>
      <c r="AI297" s="150"/>
      <c r="AJ297" s="150"/>
      <c r="AK297" s="150"/>
      <c r="AL297" s="150">
        <f t="shared" si="86"/>
        <v>43948</v>
      </c>
      <c r="AM297" s="150"/>
      <c r="AN297" s="150"/>
      <c r="AO297" s="150"/>
      <c r="AP297" s="150"/>
      <c r="AQ297" s="150">
        <f t="shared" si="86"/>
        <v>44032</v>
      </c>
      <c r="AR297" s="150"/>
      <c r="AS297" s="150"/>
      <c r="AT297" s="150"/>
      <c r="AU297" s="150"/>
      <c r="AV297" s="150">
        <f t="shared" si="86"/>
        <v>44200</v>
      </c>
      <c r="AW297" s="150"/>
      <c r="AX297" s="150"/>
      <c r="AY297" s="150"/>
      <c r="AZ297" s="150"/>
      <c r="BA297" s="150">
        <f t="shared" si="86"/>
        <v>44536</v>
      </c>
      <c r="BB297" s="150"/>
      <c r="BC297" s="150"/>
      <c r="BD297" s="150"/>
      <c r="BE297" s="150"/>
      <c r="BF297" s="150"/>
      <c r="BG297" s="150">
        <f t="shared" si="86"/>
        <v>46552</v>
      </c>
      <c r="BH297" s="150"/>
      <c r="BI297" s="45"/>
      <c r="BJ297" s="45"/>
    </row>
    <row r="299" spans="1:63" x14ac:dyDescent="0.25">
      <c r="A299" s="53" t="s">
        <v>48</v>
      </c>
      <c r="B299" s="15"/>
      <c r="C299" s="16"/>
      <c r="D299" s="16"/>
      <c r="E299" s="16"/>
      <c r="F299" s="16"/>
      <c r="G299" s="16"/>
      <c r="H299" s="16"/>
      <c r="I299" s="16"/>
      <c r="J299" s="16"/>
      <c r="K299" s="16"/>
      <c r="L299" s="16"/>
      <c r="M299" s="16"/>
      <c r="N299" s="16"/>
      <c r="O299" s="16"/>
    </row>
    <row r="300" spans="1:63" s="69" customFormat="1" x14ac:dyDescent="0.25">
      <c r="A300" s="143" t="s">
        <v>102</v>
      </c>
      <c r="B300" s="25"/>
      <c r="C300" s="47"/>
      <c r="D300" s="47"/>
      <c r="E300" s="47"/>
      <c r="F300" s="47"/>
      <c r="G300" s="47"/>
      <c r="H300" s="47"/>
      <c r="I300" s="47"/>
      <c r="J300" s="47"/>
      <c r="K300" s="47"/>
      <c r="L300" s="47"/>
      <c r="M300" s="47"/>
      <c r="N300" s="47"/>
      <c r="O300" s="47"/>
      <c r="P300" s="141">
        <f t="shared" ref="P300:BH300" si="87">(P277-$B$274)/7</f>
        <v>4.4285714285714288</v>
      </c>
      <c r="Q300" s="141">
        <f t="shared" si="87"/>
        <v>5.5714285714285712</v>
      </c>
      <c r="R300" s="145">
        <f t="shared" si="87"/>
        <v>6</v>
      </c>
      <c r="S300" s="145">
        <f t="shared" si="87"/>
        <v>6.2857142857142856</v>
      </c>
      <c r="T300" s="141">
        <f t="shared" si="87"/>
        <v>6.7142857142857144</v>
      </c>
      <c r="U300" s="145">
        <f t="shared" si="87"/>
        <v>7.1428571428571432</v>
      </c>
      <c r="V300" s="141">
        <f t="shared" si="87"/>
        <v>7.5714285714285712</v>
      </c>
      <c r="W300" s="145">
        <f t="shared" si="87"/>
        <v>7.8571428571428568</v>
      </c>
      <c r="X300" s="145">
        <f t="shared" si="87"/>
        <v>8.1428571428571423</v>
      </c>
      <c r="Y300" s="142">
        <f t="shared" si="87"/>
        <v>8.4285714285714288</v>
      </c>
      <c r="Z300" s="145">
        <f t="shared" si="87"/>
        <v>8.7142857142857135</v>
      </c>
      <c r="AA300" s="145">
        <f t="shared" si="87"/>
        <v>9.1428571428571423</v>
      </c>
      <c r="AB300" s="141">
        <f t="shared" si="87"/>
        <v>9.5714285714285712</v>
      </c>
      <c r="AC300" s="142">
        <f t="shared" si="87"/>
        <v>10.285714285714286</v>
      </c>
      <c r="AD300" s="142">
        <f t="shared" si="87"/>
        <v>11.571428571428571</v>
      </c>
      <c r="AE300" s="144">
        <f t="shared" ref="AE300:AG300" si="88">(AE277-$B$274)/7</f>
        <v>12.142857142857142</v>
      </c>
      <c r="AF300" s="144">
        <f t="shared" si="88"/>
        <v>12.714285714285714</v>
      </c>
      <c r="AG300" s="144">
        <f t="shared" si="88"/>
        <v>13.285714285714286</v>
      </c>
      <c r="AH300" s="144">
        <f t="shared" si="87"/>
        <v>13.857142857142858</v>
      </c>
      <c r="AI300" s="144">
        <f t="shared" ref="AI300:AK300" si="89">(AI277-$B$274)/7</f>
        <v>15.357142857142858</v>
      </c>
      <c r="AJ300" s="144">
        <f t="shared" si="89"/>
        <v>16.857142857142858</v>
      </c>
      <c r="AK300" s="144">
        <f t="shared" si="89"/>
        <v>18.477142857142358</v>
      </c>
      <c r="AL300" s="144">
        <f t="shared" si="87"/>
        <v>19.857142857142858</v>
      </c>
      <c r="AM300" s="142">
        <f t="shared" ref="AM300:AP300" si="90">(AM277-$B$274)/7</f>
        <v>22.257142857143272</v>
      </c>
      <c r="AN300" s="142">
        <f t="shared" si="90"/>
        <v>24.657142857142649</v>
      </c>
      <c r="AO300" s="142">
        <f t="shared" si="90"/>
        <v>27.057142857143067</v>
      </c>
      <c r="AP300" s="142">
        <f t="shared" si="90"/>
        <v>29.45714285714244</v>
      </c>
      <c r="AQ300" s="142">
        <f t="shared" si="87"/>
        <v>31.857142857142858</v>
      </c>
      <c r="AR300" s="144">
        <f t="shared" ref="AR300:AU300" si="91">(AR277-$B$274)/7</f>
        <v>36.657142857142652</v>
      </c>
      <c r="AS300" s="144">
        <f t="shared" si="91"/>
        <v>41.457142857142443</v>
      </c>
      <c r="AT300" s="144">
        <f t="shared" si="91"/>
        <v>46.257142857143272</v>
      </c>
      <c r="AU300" s="144">
        <f t="shared" si="91"/>
        <v>51.057142857143063</v>
      </c>
      <c r="AV300" s="144">
        <f t="shared" si="87"/>
        <v>55.857142857142854</v>
      </c>
      <c r="AW300" s="141">
        <f t="shared" ref="AW300:AZ300" si="92">(AW277-$B$274)/7</f>
        <v>65.457142857142443</v>
      </c>
      <c r="AX300" s="141">
        <f t="shared" si="92"/>
        <v>75.057142857143063</v>
      </c>
      <c r="AY300" s="141">
        <f t="shared" si="92"/>
        <v>84.657142857142645</v>
      </c>
      <c r="AZ300" s="141">
        <f t="shared" si="92"/>
        <v>94.257142857143279</v>
      </c>
      <c r="BA300" s="141">
        <f t="shared" si="87"/>
        <v>103.85714285714286</v>
      </c>
      <c r="BB300" s="141">
        <f t="shared" ref="BB300:BF300" si="93">(BB277-$B$274)/7</f>
        <v>151.85714285714286</v>
      </c>
      <c r="BC300" s="141">
        <f t="shared" si="93"/>
        <v>199.85714285714286</v>
      </c>
      <c r="BD300" s="141">
        <f t="shared" si="93"/>
        <v>247.85714285714286</v>
      </c>
      <c r="BE300" s="141">
        <f t="shared" si="93"/>
        <v>295.85714285714283</v>
      </c>
      <c r="BF300" s="141">
        <f t="shared" si="93"/>
        <v>343.85714285714283</v>
      </c>
      <c r="BG300" s="144">
        <f t="shared" si="87"/>
        <v>391.85714285714283</v>
      </c>
      <c r="BH300" s="144">
        <f t="shared" si="87"/>
        <v>399.85714285714283</v>
      </c>
    </row>
    <row r="301" spans="1:63" s="69" customFormat="1" x14ac:dyDescent="0.25">
      <c r="A301" s="143" t="s">
        <v>101</v>
      </c>
      <c r="B301" s="25"/>
      <c r="C301" s="47"/>
      <c r="D301" s="47"/>
      <c r="E301" s="47"/>
      <c r="F301" s="47"/>
      <c r="G301" s="47"/>
      <c r="H301" s="47"/>
      <c r="I301" s="47"/>
      <c r="J301" s="47"/>
      <c r="K301" s="47"/>
      <c r="L301" s="47"/>
      <c r="M301" s="47"/>
      <c r="N301" s="47"/>
      <c r="O301" s="47"/>
      <c r="P301" s="269">
        <f>P277-$B$274</f>
        <v>31</v>
      </c>
      <c r="Q301" s="234">
        <f t="shared" ref="Q301:U301" si="94">Q277-$B$274</f>
        <v>39</v>
      </c>
      <c r="R301" s="234">
        <f t="shared" si="94"/>
        <v>42</v>
      </c>
      <c r="S301" s="234">
        <f t="shared" si="94"/>
        <v>44</v>
      </c>
      <c r="T301" s="234">
        <f t="shared" si="94"/>
        <v>47</v>
      </c>
      <c r="U301" s="234">
        <f t="shared" si="94"/>
        <v>50</v>
      </c>
      <c r="V301" s="234">
        <f>V277-$B$274</f>
        <v>53</v>
      </c>
      <c r="W301" s="234">
        <f t="shared" ref="W301:BH301" si="95">W277-$B$274</f>
        <v>55</v>
      </c>
      <c r="X301" s="234">
        <f t="shared" si="95"/>
        <v>57</v>
      </c>
      <c r="Y301" s="234">
        <f t="shared" si="95"/>
        <v>59</v>
      </c>
      <c r="Z301" s="234">
        <f t="shared" si="95"/>
        <v>61</v>
      </c>
      <c r="AA301" s="234">
        <f t="shared" si="95"/>
        <v>64</v>
      </c>
      <c r="AB301" s="234">
        <f t="shared" si="95"/>
        <v>67</v>
      </c>
      <c r="AC301" s="234">
        <f t="shared" si="95"/>
        <v>72</v>
      </c>
      <c r="AD301" s="234">
        <f t="shared" si="95"/>
        <v>81</v>
      </c>
      <c r="AE301" s="234">
        <f t="shared" ref="AE301:AG301" si="96">AE277-$B$274</f>
        <v>85</v>
      </c>
      <c r="AF301" s="234">
        <f t="shared" si="96"/>
        <v>89</v>
      </c>
      <c r="AG301" s="234">
        <f t="shared" si="96"/>
        <v>93</v>
      </c>
      <c r="AH301" s="234">
        <f t="shared" si="95"/>
        <v>97</v>
      </c>
      <c r="AI301" s="234">
        <f t="shared" ref="AI301:AK301" si="97">AI277-$B$274</f>
        <v>107.5</v>
      </c>
      <c r="AJ301" s="234">
        <f t="shared" si="97"/>
        <v>118</v>
      </c>
      <c r="AK301" s="234">
        <f t="shared" si="97"/>
        <v>129.33999999999651</v>
      </c>
      <c r="AL301" s="234">
        <f t="shared" si="95"/>
        <v>139</v>
      </c>
      <c r="AM301" s="234">
        <f t="shared" ref="AM301:AP301" si="98">AM277-$B$274</f>
        <v>155.80000000000291</v>
      </c>
      <c r="AN301" s="234">
        <f t="shared" si="98"/>
        <v>172.59999999999854</v>
      </c>
      <c r="AO301" s="234">
        <f t="shared" si="98"/>
        <v>189.40000000000146</v>
      </c>
      <c r="AP301" s="234">
        <f t="shared" si="98"/>
        <v>206.19999999999709</v>
      </c>
      <c r="AQ301" s="234">
        <f t="shared" si="95"/>
        <v>223</v>
      </c>
      <c r="AR301" s="234">
        <f t="shared" ref="AR301:AU301" si="99">AR277-$B$274</f>
        <v>256.59999999999854</v>
      </c>
      <c r="AS301" s="234">
        <f t="shared" si="99"/>
        <v>290.19999999999709</v>
      </c>
      <c r="AT301" s="234">
        <f t="shared" si="99"/>
        <v>323.80000000000291</v>
      </c>
      <c r="AU301" s="234">
        <f t="shared" si="99"/>
        <v>357.40000000000146</v>
      </c>
      <c r="AV301" s="234">
        <f t="shared" si="95"/>
        <v>391</v>
      </c>
      <c r="AW301" s="235">
        <f t="shared" ref="AW301:AZ301" si="100">AW277-$B$274</f>
        <v>458.19999999999709</v>
      </c>
      <c r="AX301" s="235">
        <f t="shared" si="100"/>
        <v>525.40000000000146</v>
      </c>
      <c r="AY301" s="235">
        <f t="shared" si="100"/>
        <v>592.59999999999854</v>
      </c>
      <c r="AZ301" s="235">
        <f t="shared" si="100"/>
        <v>659.80000000000291</v>
      </c>
      <c r="BA301" s="235">
        <f t="shared" si="95"/>
        <v>727</v>
      </c>
      <c r="BB301" s="262">
        <f t="shared" ref="BB301:BF301" si="101">BB277-$B$274</f>
        <v>1063</v>
      </c>
      <c r="BC301" s="191">
        <f t="shared" si="101"/>
        <v>1399</v>
      </c>
      <c r="BD301" s="191">
        <f t="shared" si="101"/>
        <v>1735</v>
      </c>
      <c r="BE301" s="191">
        <f t="shared" si="101"/>
        <v>2071</v>
      </c>
      <c r="BF301" s="191">
        <f t="shared" si="101"/>
        <v>2407</v>
      </c>
      <c r="BG301" s="191">
        <f t="shared" si="95"/>
        <v>2743</v>
      </c>
      <c r="BH301" s="191">
        <f t="shared" si="95"/>
        <v>2799</v>
      </c>
    </row>
    <row r="302" spans="1:63" x14ac:dyDescent="0.25">
      <c r="A302" s="41" t="s">
        <v>42</v>
      </c>
      <c r="B302" s="16"/>
      <c r="C302" s="16"/>
      <c r="D302" s="16"/>
      <c r="E302" s="16"/>
      <c r="F302" s="16"/>
      <c r="G302" s="16"/>
      <c r="H302" s="16"/>
      <c r="I302" s="16"/>
      <c r="J302" s="16"/>
      <c r="K302" s="16"/>
      <c r="L302" s="16"/>
      <c r="M302" s="16"/>
      <c r="N302" s="16"/>
      <c r="O302" s="16"/>
      <c r="P302" s="146">
        <v>35</v>
      </c>
      <c r="Q302" s="147">
        <v>68</v>
      </c>
      <c r="R302" s="148">
        <v>124</v>
      </c>
      <c r="S302" s="148">
        <v>221</v>
      </c>
      <c r="T302" s="148">
        <v>541</v>
      </c>
      <c r="U302" s="148">
        <v>1301</v>
      </c>
      <c r="V302" s="148">
        <v>2771</v>
      </c>
      <c r="W302" s="148">
        <v>4604</v>
      </c>
      <c r="X302" s="148">
        <v>9317</v>
      </c>
      <c r="Y302" s="148">
        <v>19551</v>
      </c>
      <c r="Z302" s="148">
        <v>33840</v>
      </c>
      <c r="AA302" s="148">
        <v>68905</v>
      </c>
      <c r="AB302" s="148">
        <v>124788</v>
      </c>
      <c r="AC302" s="148">
        <v>250708</v>
      </c>
      <c r="AD302" s="148">
        <v>539942</v>
      </c>
      <c r="AE302" s="148">
        <v>652474</v>
      </c>
      <c r="AF302" s="148">
        <v>770014</v>
      </c>
      <c r="AG302" s="148">
        <v>886274</v>
      </c>
      <c r="AH302" s="148">
        <v>1010356</v>
      </c>
      <c r="AI302" s="148">
        <v>1292623</v>
      </c>
      <c r="AJ302" s="148">
        <v>1550294</v>
      </c>
      <c r="AK302" s="148">
        <v>1793530</v>
      </c>
      <c r="AL302" s="183">
        <f>AL278</f>
        <v>2048000</v>
      </c>
      <c r="AM302" s="183">
        <f t="shared" ref="AM302:AP302" si="102">AH302*2</f>
        <v>2020712</v>
      </c>
      <c r="AN302" s="183">
        <f t="shared" si="102"/>
        <v>2585246</v>
      </c>
      <c r="AO302" s="183">
        <f t="shared" si="102"/>
        <v>3100588</v>
      </c>
      <c r="AP302" s="183">
        <f t="shared" si="102"/>
        <v>3587060</v>
      </c>
      <c r="AQ302" s="183">
        <f>AL302*2</f>
        <v>4096000</v>
      </c>
      <c r="AR302" s="183">
        <f t="shared" ref="AR302:AU302" si="103">AM302*2</f>
        <v>4041424</v>
      </c>
      <c r="AS302" s="183">
        <f t="shared" si="103"/>
        <v>5170492</v>
      </c>
      <c r="AT302" s="183">
        <f t="shared" si="103"/>
        <v>6201176</v>
      </c>
      <c r="AU302" s="183">
        <f t="shared" si="103"/>
        <v>7174120</v>
      </c>
      <c r="AV302" s="183">
        <f>AQ302*2</f>
        <v>8192000</v>
      </c>
      <c r="AW302" s="183">
        <f t="shared" ref="AW302:AZ302" si="104">AR302*2</f>
        <v>8082848</v>
      </c>
      <c r="AX302" s="183">
        <f t="shared" si="104"/>
        <v>10340984</v>
      </c>
      <c r="AY302" s="183">
        <f t="shared" si="104"/>
        <v>12402352</v>
      </c>
      <c r="AZ302" s="183">
        <f t="shared" si="104"/>
        <v>14348240</v>
      </c>
      <c r="BA302" s="183">
        <f>AV302*2</f>
        <v>16384000</v>
      </c>
      <c r="BB302" s="187">
        <f t="shared" ref="BB302" si="105">BA302*2</f>
        <v>32768000</v>
      </c>
      <c r="BC302" s="187">
        <f t="shared" ref="BC302" si="106">BB302*2</f>
        <v>65536000</v>
      </c>
      <c r="BD302" s="187">
        <f t="shared" ref="BD302" si="107">BC302*2</f>
        <v>131072000</v>
      </c>
      <c r="BE302" s="187">
        <f t="shared" ref="BE302" si="108">BD302*2</f>
        <v>262144000</v>
      </c>
      <c r="BF302" s="187">
        <f t="shared" ref="BF302" si="109">BE302*2</f>
        <v>524288000</v>
      </c>
      <c r="BG302" s="187">
        <f>BG278</f>
        <v>330565500</v>
      </c>
      <c r="BH302" s="188">
        <f>BG278</f>
        <v>330565500</v>
      </c>
    </row>
    <row r="303" spans="1:63" x14ac:dyDescent="0.25">
      <c r="A303" s="41" t="s">
        <v>155</v>
      </c>
      <c r="B303" s="16"/>
      <c r="C303" s="16"/>
      <c r="D303" s="16"/>
      <c r="E303" s="16"/>
      <c r="F303" s="16"/>
      <c r="G303" s="16"/>
      <c r="H303" s="16"/>
      <c r="I303" s="16"/>
      <c r="J303" s="16"/>
      <c r="K303" s="16"/>
      <c r="L303" s="16"/>
      <c r="M303" s="16"/>
      <c r="N303" s="16"/>
      <c r="O303" s="16"/>
      <c r="P303" s="194">
        <f>(P277-B274)/(LOG(P302/1)/LOG(2))</f>
        <v>6.0437296787073755</v>
      </c>
      <c r="Q303" s="174">
        <f>(Q277-$P$277)/(LOG(Q302/$P$302)/LOG(2))</f>
        <v>8.3491634837954933</v>
      </c>
      <c r="R303" s="174">
        <f t="shared" ref="R303:BH303" si="110">(R277-$P$277)/(LOG(R302/$P$302)/LOG(2))</f>
        <v>6.0276836381926202</v>
      </c>
      <c r="S303" s="174">
        <f t="shared" si="110"/>
        <v>4.8897556767514709</v>
      </c>
      <c r="T303" s="174">
        <f t="shared" si="110"/>
        <v>4.0504260147273037</v>
      </c>
      <c r="U303" s="174">
        <f t="shared" si="110"/>
        <v>3.6425526786068976</v>
      </c>
      <c r="V303" s="174">
        <f t="shared" si="110"/>
        <v>3.4882386226134869</v>
      </c>
      <c r="W303" s="174">
        <f t="shared" si="110"/>
        <v>3.4093867599891814</v>
      </c>
      <c r="X303" s="174">
        <f t="shared" si="110"/>
        <v>3.2272612172752644</v>
      </c>
      <c r="Y303" s="174">
        <f t="shared" si="110"/>
        <v>3.0682672712732586</v>
      </c>
      <c r="Z303" s="174">
        <f t="shared" si="110"/>
        <v>3.0250599197351313</v>
      </c>
      <c r="AA303" s="174">
        <f t="shared" si="110"/>
        <v>3.0156159459256791</v>
      </c>
      <c r="AB303" s="174">
        <f t="shared" si="110"/>
        <v>3.0508896880563214</v>
      </c>
      <c r="AC303" s="174">
        <f t="shared" si="110"/>
        <v>3.201532865133665</v>
      </c>
      <c r="AD303" s="174">
        <f t="shared" si="110"/>
        <v>3.5937194117521298</v>
      </c>
      <c r="AE303" s="174">
        <f t="shared" si="110"/>
        <v>3.8064952970597021</v>
      </c>
      <c r="AF303" s="174">
        <f t="shared" si="110"/>
        <v>4.020729736229403</v>
      </c>
      <c r="AG303" s="174">
        <f t="shared" si="110"/>
        <v>4.2384148703141689</v>
      </c>
      <c r="AH303" s="174">
        <f t="shared" ref="AH303:AK303" si="111">(AH277-$P$277)/(LOG(AH302/$P$302)/LOG(2))</f>
        <v>4.4542981107309165</v>
      </c>
      <c r="AI303" s="174">
        <f t="shared" si="111"/>
        <v>5.041987855922657</v>
      </c>
      <c r="AJ303" s="174">
        <f t="shared" si="111"/>
        <v>5.6366033652080967</v>
      </c>
      <c r="AK303" s="174">
        <f t="shared" si="111"/>
        <v>6.2856791592201029</v>
      </c>
      <c r="AL303" s="184">
        <f t="shared" si="110"/>
        <v>6.8196881479218634</v>
      </c>
      <c r="AM303" s="184">
        <f t="shared" ref="AM303:AP303" si="112">(AM277-$P$277)/(LOG(AM302/$P$302)/LOG(2))</f>
        <v>7.8901702114120207</v>
      </c>
      <c r="AN303" s="184">
        <f t="shared" si="112"/>
        <v>8.7555564828774841</v>
      </c>
      <c r="AO303" s="184">
        <f t="shared" si="112"/>
        <v>9.6380689772170296</v>
      </c>
      <c r="AP303" s="184">
        <f t="shared" si="112"/>
        <v>10.525628101486339</v>
      </c>
      <c r="AQ303" s="184">
        <f t="shared" si="110"/>
        <v>11.403794466974404</v>
      </c>
      <c r="AR303" s="184">
        <f t="shared" ref="AR303:AU303" si="113">(AR277-$P$277)/(LOG(AR302/$P$302)/LOG(2))</f>
        <v>13.41487765716507</v>
      </c>
      <c r="AS303" s="184">
        <f t="shared" si="113"/>
        <v>15.093823556965019</v>
      </c>
      <c r="AT303" s="184">
        <f t="shared" si="113"/>
        <v>16.793971828560863</v>
      </c>
      <c r="AU303" s="184">
        <f t="shared" si="113"/>
        <v>18.498066462038878</v>
      </c>
      <c r="AV303" s="184">
        <f t="shared" si="110"/>
        <v>20.183330497196554</v>
      </c>
      <c r="AW303" s="184">
        <f t="shared" ref="AW303:AZ303" si="114">(AW277-$P$277)/(LOG(AW302/$P$302)/LOG(2))</f>
        <v>23.976899644552805</v>
      </c>
      <c r="AX303" s="184">
        <f t="shared" si="114"/>
        <v>27.205812620180367</v>
      </c>
      <c r="AY303" s="184">
        <f t="shared" si="114"/>
        <v>30.464076943146686</v>
      </c>
      <c r="AZ303" s="184">
        <f t="shared" si="114"/>
        <v>33.724701070802553</v>
      </c>
      <c r="BA303" s="184">
        <f t="shared" si="110"/>
        <v>36.949536971222855</v>
      </c>
      <c r="BB303" s="189">
        <f t="shared" ref="BB303" si="115">(BB277-$P$277)/(LOG(BB302/$P$302)/LOG(2))</f>
        <v>52.025303558925813</v>
      </c>
      <c r="BC303" s="189">
        <f t="shared" ref="BC303" si="116">(BC277-$P$277)/(LOG(BC302/$P$302)/LOG(2))</f>
        <v>65.654016594403046</v>
      </c>
      <c r="BD303" s="189">
        <f t="shared" ref="BD303" si="117">(BD277-$P$277)/(LOG(BD302/$P$302)/LOG(2))</f>
        <v>78.034479017899159</v>
      </c>
      <c r="BE303" s="189">
        <f t="shared" ref="BE303" si="118">(BE277-$P$277)/(LOG(BE302/$P$302)/LOG(2))</f>
        <v>89.330671808463549</v>
      </c>
      <c r="BF303" s="189">
        <f t="shared" ref="BF303" si="119">(BF277-$P$277)/(LOG(BF302/$P$302)/LOG(2))</f>
        <v>99.679058319600244</v>
      </c>
      <c r="BG303" s="189">
        <f t="shared" si="110"/>
        <v>117.04246177351067</v>
      </c>
      <c r="BH303" s="190">
        <f t="shared" si="110"/>
        <v>119.4592677688339</v>
      </c>
    </row>
    <row r="304" spans="1:63" x14ac:dyDescent="0.25">
      <c r="A304" s="41" t="s">
        <v>191</v>
      </c>
      <c r="B304" s="16"/>
      <c r="C304" s="16"/>
      <c r="D304" s="16"/>
      <c r="E304" s="16"/>
      <c r="F304" s="16"/>
      <c r="G304" s="16"/>
      <c r="H304" s="16"/>
      <c r="I304" s="16"/>
      <c r="J304" s="16"/>
      <c r="K304" s="16"/>
      <c r="L304" s="16"/>
      <c r="M304" s="16"/>
      <c r="N304" s="16"/>
      <c r="O304" s="16"/>
      <c r="P304" s="266">
        <v>14</v>
      </c>
      <c r="Q304" s="263">
        <v>51</v>
      </c>
      <c r="R304" s="263">
        <v>70</v>
      </c>
      <c r="S304" s="263">
        <v>102</v>
      </c>
      <c r="T304" s="263">
        <v>246</v>
      </c>
      <c r="U304" s="263">
        <v>608</v>
      </c>
      <c r="V304" s="263">
        <v>1390</v>
      </c>
      <c r="W304" s="263">
        <v>2355</v>
      </c>
      <c r="X304" s="263">
        <v>4207</v>
      </c>
      <c r="Y304" s="263">
        <v>8341</v>
      </c>
      <c r="Z304" s="263">
        <v>15608</v>
      </c>
      <c r="AA304" s="263">
        <v>36304</v>
      </c>
      <c r="AB304" s="263">
        <v>71401</v>
      </c>
      <c r="AC304" s="263">
        <v>161932</v>
      </c>
      <c r="AD304" s="263">
        <v>400623</v>
      </c>
      <c r="AE304" s="263">
        <v>505584</v>
      </c>
      <c r="AF304" s="263">
        <v>593640</v>
      </c>
      <c r="AG304" s="263">
        <v>680047</v>
      </c>
      <c r="AH304" s="263">
        <v>763531</v>
      </c>
      <c r="AI304" s="263">
        <v>998445</v>
      </c>
      <c r="AJ304" s="263">
        <v>1101930</v>
      </c>
      <c r="AK304" s="263">
        <v>1169419</v>
      </c>
      <c r="AL304" s="267"/>
      <c r="AM304" s="267"/>
      <c r="AN304" s="267"/>
      <c r="AO304" s="267"/>
      <c r="AP304" s="267"/>
      <c r="AQ304" s="267"/>
      <c r="AR304" s="267"/>
      <c r="AS304" s="267"/>
      <c r="AT304" s="267"/>
      <c r="AU304" s="267"/>
      <c r="AV304" s="267"/>
      <c r="AW304" s="267"/>
      <c r="AX304" s="267"/>
      <c r="AY304" s="267"/>
      <c r="AZ304" s="267"/>
      <c r="BA304" s="267"/>
      <c r="BB304" s="189"/>
      <c r="BC304" s="189"/>
      <c r="BD304" s="189"/>
      <c r="BE304" s="189"/>
      <c r="BF304" s="189"/>
      <c r="BG304" s="189"/>
      <c r="BH304" s="190"/>
    </row>
    <row r="305" spans="1:60" x14ac:dyDescent="0.25">
      <c r="A305" s="41" t="s">
        <v>63</v>
      </c>
      <c r="B305" s="16"/>
      <c r="C305" s="16"/>
      <c r="D305" s="16"/>
      <c r="E305" s="16"/>
      <c r="F305" s="16"/>
      <c r="G305" s="16"/>
      <c r="H305" s="16"/>
      <c r="I305" s="16"/>
      <c r="J305" s="16"/>
      <c r="K305" s="16"/>
      <c r="L305" s="16"/>
      <c r="M305" s="16"/>
      <c r="N305" s="16"/>
      <c r="O305" s="16"/>
      <c r="P305" s="233">
        <f>P302-P306-P304</f>
        <v>21</v>
      </c>
      <c r="Q305" s="149">
        <f t="shared" ref="Q305:AE305" si="120">Q302-Q306-Q304</f>
        <v>16</v>
      </c>
      <c r="R305" s="149">
        <f t="shared" si="120"/>
        <v>45</v>
      </c>
      <c r="S305" s="149">
        <f t="shared" si="120"/>
        <v>107</v>
      </c>
      <c r="T305" s="149">
        <f t="shared" si="120"/>
        <v>273</v>
      </c>
      <c r="U305" s="149">
        <f t="shared" si="120"/>
        <v>655</v>
      </c>
      <c r="V305" s="149">
        <f t="shared" si="120"/>
        <v>1323</v>
      </c>
      <c r="W305" s="149">
        <f t="shared" si="120"/>
        <v>2154</v>
      </c>
      <c r="X305" s="149">
        <f t="shared" si="120"/>
        <v>4939</v>
      </c>
      <c r="Y305" s="149">
        <f t="shared" si="120"/>
        <v>10901</v>
      </c>
      <c r="Z305" s="149">
        <f t="shared" si="120"/>
        <v>17723</v>
      </c>
      <c r="AA305" s="149">
        <f t="shared" si="120"/>
        <v>31341</v>
      </c>
      <c r="AB305" s="149">
        <f t="shared" si="120"/>
        <v>50633</v>
      </c>
      <c r="AC305" s="149">
        <f t="shared" si="120"/>
        <v>81200</v>
      </c>
      <c r="AD305" s="149">
        <f t="shared" si="120"/>
        <v>115257</v>
      </c>
      <c r="AE305" s="149">
        <f t="shared" si="120"/>
        <v>114178</v>
      </c>
      <c r="AF305" s="149">
        <f t="shared" ref="AF305:AH305" si="121">AF302-AF306-AF304</f>
        <v>135473</v>
      </c>
      <c r="AG305" s="149">
        <f t="shared" si="121"/>
        <v>155993</v>
      </c>
      <c r="AH305" s="149">
        <f t="shared" si="121"/>
        <v>190030</v>
      </c>
      <c r="AI305" s="149">
        <f t="shared" ref="AI305:AJ305" si="122">AI302-AI306-AI304</f>
        <v>217250</v>
      </c>
      <c r="AJ305" s="149">
        <f t="shared" si="122"/>
        <v>356383</v>
      </c>
      <c r="AK305" s="149">
        <f t="shared" ref="AK305" si="123">AK302-AK306-AK304</f>
        <v>519569</v>
      </c>
      <c r="AL305" s="253"/>
      <c r="AM305" s="185"/>
      <c r="AN305" s="185"/>
      <c r="AO305" s="185"/>
      <c r="AP305" s="185"/>
      <c r="AQ305" s="185"/>
      <c r="AR305" s="185"/>
      <c r="AS305" s="185"/>
      <c r="AT305" s="185"/>
      <c r="AU305" s="185"/>
      <c r="AV305" s="185"/>
      <c r="AW305" s="185"/>
      <c r="AX305" s="185"/>
      <c r="AY305" s="185"/>
      <c r="AZ305" s="185"/>
      <c r="BA305" s="185"/>
      <c r="BB305" s="187"/>
      <c r="BC305" s="107"/>
      <c r="BD305" s="107"/>
      <c r="BE305" s="107"/>
      <c r="BF305" s="107"/>
      <c r="BG305" s="107"/>
      <c r="BH305" s="108"/>
    </row>
    <row r="306" spans="1:60" x14ac:dyDescent="0.25">
      <c r="A306" s="49" t="s">
        <v>43</v>
      </c>
      <c r="B306" s="38"/>
      <c r="C306" s="39"/>
      <c r="D306" s="39"/>
      <c r="E306" s="39"/>
      <c r="F306" s="39"/>
      <c r="G306" s="39"/>
      <c r="H306" s="39"/>
      <c r="I306" s="39"/>
      <c r="J306" s="39"/>
      <c r="K306" s="39"/>
      <c r="L306" s="39"/>
      <c r="M306" s="39"/>
      <c r="N306" s="39"/>
      <c r="O306" s="39"/>
      <c r="P306" s="67">
        <v>0</v>
      </c>
      <c r="Q306" s="68">
        <v>1</v>
      </c>
      <c r="R306" s="52">
        <v>9</v>
      </c>
      <c r="S306" s="52">
        <v>12</v>
      </c>
      <c r="T306" s="52">
        <v>22</v>
      </c>
      <c r="U306" s="52">
        <v>38</v>
      </c>
      <c r="V306" s="52">
        <v>58</v>
      </c>
      <c r="W306" s="52">
        <v>95</v>
      </c>
      <c r="X306" s="52">
        <v>171</v>
      </c>
      <c r="Y306" s="52">
        <v>309</v>
      </c>
      <c r="Z306" s="52">
        <v>509</v>
      </c>
      <c r="AA306" s="52">
        <v>1260</v>
      </c>
      <c r="AB306" s="52">
        <v>2754</v>
      </c>
      <c r="AC306" s="52">
        <v>7576</v>
      </c>
      <c r="AD306" s="52">
        <v>24062</v>
      </c>
      <c r="AE306" s="52">
        <v>32712</v>
      </c>
      <c r="AF306" s="52">
        <v>40901</v>
      </c>
      <c r="AG306" s="52">
        <v>50234</v>
      </c>
      <c r="AH306" s="52">
        <v>56795</v>
      </c>
      <c r="AI306" s="52">
        <v>76928</v>
      </c>
      <c r="AJ306" s="52">
        <v>91981</v>
      </c>
      <c r="AK306" s="52">
        <v>104542</v>
      </c>
      <c r="AL306" s="254"/>
      <c r="AM306" s="186"/>
      <c r="AN306" s="186"/>
      <c r="AO306" s="186"/>
      <c r="AP306" s="186"/>
      <c r="AQ306" s="186"/>
      <c r="AR306" s="186"/>
      <c r="AS306" s="186"/>
      <c r="AT306" s="186"/>
      <c r="AU306" s="186"/>
      <c r="AV306" s="186"/>
      <c r="AW306" s="186"/>
      <c r="AX306" s="186"/>
      <c r="AY306" s="186"/>
      <c r="AZ306" s="186"/>
      <c r="BA306" s="186"/>
      <c r="BB306" s="187"/>
      <c r="BC306" s="107"/>
      <c r="BD306" s="107"/>
      <c r="BE306" s="107"/>
      <c r="BF306" s="107"/>
      <c r="BG306" s="107"/>
      <c r="BH306" s="108"/>
    </row>
    <row r="307" spans="1:60" x14ac:dyDescent="0.25">
      <c r="B307" s="3"/>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35"/>
      <c r="AM307" s="35"/>
      <c r="AN307" s="35"/>
      <c r="AO307" s="35"/>
      <c r="AP307" s="35"/>
      <c r="AQ307" s="35"/>
      <c r="AR307" s="35"/>
      <c r="AS307" s="35"/>
      <c r="AT307" s="35"/>
      <c r="AU307" s="35"/>
    </row>
    <row r="308" spans="1:60" x14ac:dyDescent="0.25">
      <c r="A308" s="74" t="s">
        <v>49</v>
      </c>
      <c r="AQ308" s="16"/>
      <c r="AR308" s="16"/>
      <c r="AS308" s="16"/>
      <c r="AT308" s="16"/>
      <c r="AU308" s="16"/>
    </row>
    <row r="309" spans="1:60" x14ac:dyDescent="0.25">
      <c r="A309" s="4" t="s">
        <v>0</v>
      </c>
      <c r="B309" s="193" t="s">
        <v>116</v>
      </c>
      <c r="C309" s="5" t="s">
        <v>3</v>
      </c>
      <c r="D309" s="193" t="s">
        <v>51</v>
      </c>
      <c r="E309" s="58" t="s">
        <v>2</v>
      </c>
      <c r="F309" s="9" t="s">
        <v>3</v>
      </c>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5"/>
      <c r="BH309" s="47"/>
    </row>
    <row r="310" spans="1:60" x14ac:dyDescent="0.25">
      <c r="A310" s="41" t="s">
        <v>12</v>
      </c>
      <c r="B310" s="13">
        <f>'Population by Age - Wikipedia'!D41</f>
        <v>3.6394890344941602E-2</v>
      </c>
      <c r="C310" s="12">
        <f>$B$261*B310</f>
        <v>12030895.124320794</v>
      </c>
      <c r="D310" s="22">
        <f>'AU Infection Rate by Age'!C4</f>
        <v>2.8847876724601325E-2</v>
      </c>
      <c r="E310" s="5"/>
      <c r="F310" s="16"/>
      <c r="G310" s="16"/>
      <c r="H310" s="16"/>
      <c r="I310" s="16"/>
      <c r="J310" s="16"/>
      <c r="K310" s="16"/>
      <c r="L310" s="16"/>
      <c r="M310" s="16"/>
      <c r="N310" s="16"/>
      <c r="O310" s="16"/>
      <c r="P310" s="18">
        <f t="shared" ref="P310:BG310" si="124">P$278*$D$310</f>
        <v>0.90149614764379138</v>
      </c>
      <c r="Q310" s="19">
        <f t="shared" si="124"/>
        <v>1.8029922952875828</v>
      </c>
      <c r="R310" s="19">
        <f t="shared" si="124"/>
        <v>3.6059845905751655</v>
      </c>
      <c r="S310" s="19">
        <f t="shared" si="124"/>
        <v>7.211969181150331</v>
      </c>
      <c r="T310" s="19">
        <f t="shared" si="124"/>
        <v>14.423938362300662</v>
      </c>
      <c r="U310" s="19">
        <f t="shared" si="124"/>
        <v>28.847876724601324</v>
      </c>
      <c r="V310" s="19">
        <f t="shared" si="124"/>
        <v>57.695753449202648</v>
      </c>
      <c r="W310" s="19">
        <f t="shared" si="124"/>
        <v>115.3915068984053</v>
      </c>
      <c r="X310" s="19">
        <f t="shared" si="124"/>
        <v>230.78301379681059</v>
      </c>
      <c r="Y310" s="19">
        <f t="shared" si="124"/>
        <v>461.56602759362119</v>
      </c>
      <c r="Z310" s="19">
        <f t="shared" si="124"/>
        <v>923.13205518724237</v>
      </c>
      <c r="AA310" s="19">
        <f t="shared" si="124"/>
        <v>1846.2641103744847</v>
      </c>
      <c r="AB310" s="19">
        <f t="shared" si="124"/>
        <v>3692.5282207489695</v>
      </c>
      <c r="AC310" s="19">
        <f t="shared" si="124"/>
        <v>7385.056441497939</v>
      </c>
      <c r="AD310" s="19">
        <f t="shared" si="124"/>
        <v>14770.112882995878</v>
      </c>
      <c r="AE310" s="19">
        <f t="shared" si="124"/>
        <v>18462.641103744849</v>
      </c>
      <c r="AF310" s="19">
        <f t="shared" si="124"/>
        <v>22155.169324493818</v>
      </c>
      <c r="AG310" s="19">
        <f t="shared" si="124"/>
        <v>25847.697545242787</v>
      </c>
      <c r="AH310" s="19">
        <f t="shared" si="124"/>
        <v>29540.225765991756</v>
      </c>
      <c r="AI310" s="19">
        <f t="shared" si="124"/>
        <v>37811.488980469447</v>
      </c>
      <c r="AJ310" s="19">
        <f t="shared" si="124"/>
        <v>44310.338648987636</v>
      </c>
      <c r="AK310" s="19">
        <f t="shared" si="124"/>
        <v>51695.395090485574</v>
      </c>
      <c r="AL310" s="19">
        <f t="shared" si="124"/>
        <v>59080.451531983512</v>
      </c>
      <c r="AM310" s="19">
        <f t="shared" si="124"/>
        <v>70896.541838380217</v>
      </c>
      <c r="AN310" s="19">
        <f t="shared" si="124"/>
        <v>82712.632144776915</v>
      </c>
      <c r="AO310" s="19">
        <f t="shared" si="124"/>
        <v>94528.722451173628</v>
      </c>
      <c r="AP310" s="19">
        <f t="shared" si="124"/>
        <v>106344.81275757033</v>
      </c>
      <c r="AQ310" s="19">
        <f t="shared" si="124"/>
        <v>118160.90306396702</v>
      </c>
      <c r="AR310" s="19">
        <f t="shared" si="124"/>
        <v>141793.08367676043</v>
      </c>
      <c r="AS310" s="19">
        <f t="shared" si="124"/>
        <v>165425.26428955383</v>
      </c>
      <c r="AT310" s="19">
        <f t="shared" si="124"/>
        <v>189057.44490234726</v>
      </c>
      <c r="AU310" s="19">
        <f t="shared" si="124"/>
        <v>212689.62551514065</v>
      </c>
      <c r="AV310" s="19">
        <f t="shared" si="124"/>
        <v>236321.80612793405</v>
      </c>
      <c r="AW310" s="19">
        <f t="shared" si="124"/>
        <v>283586.16735352087</v>
      </c>
      <c r="AX310" s="19">
        <f t="shared" si="124"/>
        <v>330850.52857910766</v>
      </c>
      <c r="AY310" s="19">
        <f t="shared" si="124"/>
        <v>378114.88980469451</v>
      </c>
      <c r="AZ310" s="19">
        <f t="shared" si="124"/>
        <v>425379.2510302813</v>
      </c>
      <c r="BA310" s="19">
        <f t="shared" si="124"/>
        <v>472643.61225586809</v>
      </c>
      <c r="BB310" s="18">
        <f t="shared" si="124"/>
        <v>945287.22451173619</v>
      </c>
      <c r="BC310" s="19">
        <f t="shared" si="124"/>
        <v>1890574.4490234724</v>
      </c>
      <c r="BD310" s="19">
        <f t="shared" si="124"/>
        <v>3781148.8980469448</v>
      </c>
      <c r="BE310" s="19">
        <f t="shared" si="124"/>
        <v>7562297.7960938895</v>
      </c>
      <c r="BF310" s="19">
        <f t="shared" si="124"/>
        <v>9536112.7934061997</v>
      </c>
      <c r="BG310" s="60">
        <f t="shared" si="124"/>
        <v>9536112.7934061997</v>
      </c>
      <c r="BH310" s="45"/>
    </row>
    <row r="311" spans="1:60" x14ac:dyDescent="0.25">
      <c r="A311" s="41"/>
      <c r="B311" s="6"/>
      <c r="C311" s="10"/>
      <c r="D311" s="8"/>
      <c r="E311" s="27">
        <v>0.14799999999999999</v>
      </c>
      <c r="F311" s="10"/>
      <c r="G311" s="10"/>
      <c r="H311" s="10"/>
      <c r="I311" s="10"/>
      <c r="J311" s="10"/>
      <c r="K311" s="10"/>
      <c r="L311" s="10"/>
      <c r="M311" s="10"/>
      <c r="N311" s="10"/>
      <c r="O311" s="10"/>
      <c r="P311" s="29">
        <f t="shared" ref="P311:BG311" si="125">P$278*$D$310*$E$311</f>
        <v>0.13342142985128111</v>
      </c>
      <c r="Q311" s="30">
        <f t="shared" si="125"/>
        <v>0.26684285970256222</v>
      </c>
      <c r="R311" s="30">
        <f t="shared" si="125"/>
        <v>0.53368571940512444</v>
      </c>
      <c r="S311" s="30">
        <f t="shared" si="125"/>
        <v>1.0673714388102489</v>
      </c>
      <c r="T311" s="30">
        <f t="shared" si="125"/>
        <v>2.1347428776204977</v>
      </c>
      <c r="U311" s="30">
        <f t="shared" si="125"/>
        <v>4.2694857552409955</v>
      </c>
      <c r="V311" s="30">
        <f t="shared" si="125"/>
        <v>8.538971510481991</v>
      </c>
      <c r="W311" s="30">
        <f t="shared" si="125"/>
        <v>17.077943020963982</v>
      </c>
      <c r="X311" s="30">
        <f t="shared" si="125"/>
        <v>34.155886041927964</v>
      </c>
      <c r="Y311" s="30">
        <f t="shared" si="125"/>
        <v>68.311772083855928</v>
      </c>
      <c r="Z311" s="30">
        <f t="shared" si="125"/>
        <v>136.62354416771186</v>
      </c>
      <c r="AA311" s="30">
        <f t="shared" si="125"/>
        <v>273.24708833542371</v>
      </c>
      <c r="AB311" s="30">
        <f t="shared" si="125"/>
        <v>546.49417667084742</v>
      </c>
      <c r="AC311" s="30">
        <f t="shared" si="125"/>
        <v>1092.9883533416948</v>
      </c>
      <c r="AD311" s="30">
        <f t="shared" si="125"/>
        <v>2185.9767066833897</v>
      </c>
      <c r="AE311" s="30">
        <f t="shared" si="125"/>
        <v>2732.4708833542377</v>
      </c>
      <c r="AF311" s="30">
        <f t="shared" si="125"/>
        <v>3278.9650600250848</v>
      </c>
      <c r="AG311" s="30">
        <f t="shared" si="125"/>
        <v>3825.4592366959323</v>
      </c>
      <c r="AH311" s="30">
        <f t="shared" si="125"/>
        <v>4371.9534133667794</v>
      </c>
      <c r="AI311" s="30">
        <f t="shared" si="125"/>
        <v>5596.1003691094775</v>
      </c>
      <c r="AJ311" s="30">
        <f t="shared" si="125"/>
        <v>6557.9301200501695</v>
      </c>
      <c r="AK311" s="30">
        <f t="shared" si="125"/>
        <v>7650.9184733918646</v>
      </c>
      <c r="AL311" s="30">
        <f t="shared" si="125"/>
        <v>8743.9068267335588</v>
      </c>
      <c r="AM311" s="30">
        <f t="shared" si="125"/>
        <v>10492.688192080272</v>
      </c>
      <c r="AN311" s="30">
        <f t="shared" si="125"/>
        <v>12241.469557426983</v>
      </c>
      <c r="AO311" s="30">
        <f t="shared" si="125"/>
        <v>13990.250922773695</v>
      </c>
      <c r="AP311" s="30">
        <f t="shared" si="125"/>
        <v>15739.032288120407</v>
      </c>
      <c r="AQ311" s="30">
        <f t="shared" si="125"/>
        <v>17487.813653467118</v>
      </c>
      <c r="AR311" s="30">
        <f t="shared" si="125"/>
        <v>20985.376384160543</v>
      </c>
      <c r="AS311" s="30">
        <f t="shared" si="125"/>
        <v>24482.939114853965</v>
      </c>
      <c r="AT311" s="30">
        <f t="shared" si="125"/>
        <v>27980.501845547391</v>
      </c>
      <c r="AU311" s="30">
        <f t="shared" si="125"/>
        <v>31478.064576240813</v>
      </c>
      <c r="AV311" s="30">
        <f t="shared" si="125"/>
        <v>34975.627306934235</v>
      </c>
      <c r="AW311" s="30">
        <f t="shared" si="125"/>
        <v>41970.752768321086</v>
      </c>
      <c r="AX311" s="30">
        <f t="shared" si="125"/>
        <v>48965.878229707931</v>
      </c>
      <c r="AY311" s="30">
        <f t="shared" si="125"/>
        <v>55961.003691094782</v>
      </c>
      <c r="AZ311" s="30">
        <f t="shared" si="125"/>
        <v>62956.129152481626</v>
      </c>
      <c r="BA311" s="30">
        <f t="shared" si="125"/>
        <v>69951.25461386847</v>
      </c>
      <c r="BB311" s="29">
        <f t="shared" si="125"/>
        <v>139902.50922773694</v>
      </c>
      <c r="BC311" s="30">
        <f t="shared" si="125"/>
        <v>279805.01845547388</v>
      </c>
      <c r="BD311" s="30">
        <f t="shared" si="125"/>
        <v>559610.03691094776</v>
      </c>
      <c r="BE311" s="30">
        <f t="shared" si="125"/>
        <v>1119220.0738218955</v>
      </c>
      <c r="BF311" s="30">
        <f t="shared" si="125"/>
        <v>1411344.6934241175</v>
      </c>
      <c r="BG311" s="71">
        <f t="shared" si="125"/>
        <v>1411344.6934241175</v>
      </c>
      <c r="BH311" s="45"/>
    </row>
    <row r="312" spans="1:60" x14ac:dyDescent="0.25">
      <c r="A312" s="41" t="s">
        <v>13</v>
      </c>
      <c r="B312" s="6">
        <f>'Population by Age - Wikipedia'!D37</f>
        <v>5.3752877231864643E-2</v>
      </c>
      <c r="C312" s="10">
        <f t="shared" ref="C312:C326" si="126">$B$261*B312</f>
        <v>17768846.73858995</v>
      </c>
      <c r="D312" s="23">
        <f>'AU Infection Rate by Age'!C5</f>
        <v>0.10661171833004837</v>
      </c>
      <c r="E312" s="17"/>
      <c r="F312" s="16"/>
      <c r="G312" s="16"/>
      <c r="H312" s="16"/>
      <c r="I312" s="16"/>
      <c r="J312" s="16"/>
      <c r="K312" s="16"/>
      <c r="L312" s="16"/>
      <c r="M312" s="16"/>
      <c r="N312" s="16"/>
      <c r="O312" s="16"/>
      <c r="P312" s="20">
        <f t="shared" ref="P312:BG312" si="127">P$278*$D$312</f>
        <v>3.3316161978140117</v>
      </c>
      <c r="Q312" s="21">
        <f t="shared" si="127"/>
        <v>6.6632323956280235</v>
      </c>
      <c r="R312" s="21">
        <f t="shared" si="127"/>
        <v>13.326464791256047</v>
      </c>
      <c r="S312" s="21">
        <f t="shared" si="127"/>
        <v>26.652929582512094</v>
      </c>
      <c r="T312" s="21">
        <f t="shared" si="127"/>
        <v>53.305859165024188</v>
      </c>
      <c r="U312" s="21">
        <f t="shared" si="127"/>
        <v>106.61171833004838</v>
      </c>
      <c r="V312" s="21">
        <f t="shared" si="127"/>
        <v>213.22343666009675</v>
      </c>
      <c r="W312" s="21">
        <f t="shared" si="127"/>
        <v>426.4468733201935</v>
      </c>
      <c r="X312" s="21">
        <f t="shared" si="127"/>
        <v>852.89374664038701</v>
      </c>
      <c r="Y312" s="21">
        <f t="shared" si="127"/>
        <v>1705.787493280774</v>
      </c>
      <c r="Z312" s="21">
        <f t="shared" si="127"/>
        <v>3411.574986561548</v>
      </c>
      <c r="AA312" s="21">
        <f t="shared" si="127"/>
        <v>6823.1499731230961</v>
      </c>
      <c r="AB312" s="21">
        <f t="shared" si="127"/>
        <v>13646.299946246192</v>
      </c>
      <c r="AC312" s="21">
        <f t="shared" si="127"/>
        <v>27292.599892492384</v>
      </c>
      <c r="AD312" s="21">
        <f t="shared" si="127"/>
        <v>54585.199784984768</v>
      </c>
      <c r="AE312" s="21">
        <f t="shared" si="127"/>
        <v>68231.499731230957</v>
      </c>
      <c r="AF312" s="21">
        <f t="shared" si="127"/>
        <v>81877.799677477145</v>
      </c>
      <c r="AG312" s="21">
        <f t="shared" si="127"/>
        <v>95524.099623723334</v>
      </c>
      <c r="AH312" s="21">
        <f t="shared" si="127"/>
        <v>109170.39956996954</v>
      </c>
      <c r="AI312" s="21">
        <f t="shared" si="127"/>
        <v>139738.11144956099</v>
      </c>
      <c r="AJ312" s="21">
        <f t="shared" si="127"/>
        <v>163755.59935495429</v>
      </c>
      <c r="AK312" s="21">
        <f t="shared" si="127"/>
        <v>191048.19924744667</v>
      </c>
      <c r="AL312" s="21">
        <f t="shared" si="127"/>
        <v>218340.79913993907</v>
      </c>
      <c r="AM312" s="21">
        <f t="shared" si="127"/>
        <v>262008.95896792688</v>
      </c>
      <c r="AN312" s="21">
        <f t="shared" si="127"/>
        <v>305677.11879591469</v>
      </c>
      <c r="AO312" s="21">
        <f t="shared" si="127"/>
        <v>349345.27862390253</v>
      </c>
      <c r="AP312" s="21">
        <f t="shared" si="127"/>
        <v>393013.43845189031</v>
      </c>
      <c r="AQ312" s="21">
        <f t="shared" si="127"/>
        <v>436681.59827987815</v>
      </c>
      <c r="AR312" s="21">
        <f t="shared" si="127"/>
        <v>524017.91793585377</v>
      </c>
      <c r="AS312" s="21">
        <f t="shared" si="127"/>
        <v>611354.23759182938</v>
      </c>
      <c r="AT312" s="21">
        <f t="shared" si="127"/>
        <v>698690.55724780506</v>
      </c>
      <c r="AU312" s="21">
        <f t="shared" si="127"/>
        <v>786026.87690378062</v>
      </c>
      <c r="AV312" s="21">
        <f t="shared" si="127"/>
        <v>873363.1965597563</v>
      </c>
      <c r="AW312" s="21">
        <f t="shared" si="127"/>
        <v>1048035.8358717075</v>
      </c>
      <c r="AX312" s="21">
        <f t="shared" si="127"/>
        <v>1222708.4751836588</v>
      </c>
      <c r="AY312" s="21">
        <f t="shared" si="127"/>
        <v>1397381.1144956101</v>
      </c>
      <c r="AZ312" s="21">
        <f t="shared" si="127"/>
        <v>1572053.7538075612</v>
      </c>
      <c r="BA312" s="21">
        <f t="shared" si="127"/>
        <v>1746726.3931195126</v>
      </c>
      <c r="BB312" s="20">
        <f t="shared" si="127"/>
        <v>3493452.7862390252</v>
      </c>
      <c r="BC312" s="21">
        <f t="shared" si="127"/>
        <v>6986905.5724780504</v>
      </c>
      <c r="BD312" s="21">
        <f t="shared" si="127"/>
        <v>13973811.144956101</v>
      </c>
      <c r="BE312" s="21">
        <f t="shared" si="127"/>
        <v>27947622.289912201</v>
      </c>
      <c r="BF312" s="21">
        <f t="shared" si="127"/>
        <v>35242155.975631602</v>
      </c>
      <c r="BG312" s="72">
        <f t="shared" si="127"/>
        <v>35242155.975631602</v>
      </c>
      <c r="BH312" s="45"/>
    </row>
    <row r="313" spans="1:60" x14ac:dyDescent="0.25">
      <c r="A313" s="41"/>
      <c r="B313" s="6"/>
      <c r="C313" s="10"/>
      <c r="D313" s="8"/>
      <c r="E313" s="27">
        <v>0.08</v>
      </c>
      <c r="F313" s="10"/>
      <c r="G313" s="10"/>
      <c r="H313" s="10"/>
      <c r="I313" s="10"/>
      <c r="J313" s="10"/>
      <c r="K313" s="10"/>
      <c r="L313" s="10"/>
      <c r="M313" s="10"/>
      <c r="N313" s="10"/>
      <c r="O313" s="10"/>
      <c r="P313" s="29">
        <f t="shared" ref="P313:BG313" si="128">P$278*$D$312*$E$313</f>
        <v>0.26652929582512097</v>
      </c>
      <c r="Q313" s="30">
        <f t="shared" si="128"/>
        <v>0.53305859165024194</v>
      </c>
      <c r="R313" s="30">
        <f t="shared" si="128"/>
        <v>1.0661171833004839</v>
      </c>
      <c r="S313" s="30">
        <f t="shared" si="128"/>
        <v>2.1322343666009678</v>
      </c>
      <c r="T313" s="30">
        <f t="shared" si="128"/>
        <v>4.2644687332019355</v>
      </c>
      <c r="U313" s="30">
        <f t="shared" si="128"/>
        <v>8.5289374664038711</v>
      </c>
      <c r="V313" s="30">
        <f t="shared" si="128"/>
        <v>17.057874932807742</v>
      </c>
      <c r="W313" s="30">
        <f t="shared" si="128"/>
        <v>34.115749865615484</v>
      </c>
      <c r="X313" s="30">
        <f t="shared" si="128"/>
        <v>68.231499731230969</v>
      </c>
      <c r="Y313" s="30">
        <f t="shared" si="128"/>
        <v>136.46299946246194</v>
      </c>
      <c r="Z313" s="30">
        <f t="shared" si="128"/>
        <v>272.92599892492387</v>
      </c>
      <c r="AA313" s="30">
        <f t="shared" si="128"/>
        <v>545.85199784984775</v>
      </c>
      <c r="AB313" s="30">
        <f t="shared" si="128"/>
        <v>1091.7039956996955</v>
      </c>
      <c r="AC313" s="30">
        <f t="shared" si="128"/>
        <v>2183.407991399391</v>
      </c>
      <c r="AD313" s="30">
        <f t="shared" si="128"/>
        <v>4366.815982798782</v>
      </c>
      <c r="AE313" s="30">
        <f t="shared" si="128"/>
        <v>5458.519978498477</v>
      </c>
      <c r="AF313" s="30">
        <f t="shared" si="128"/>
        <v>6550.2239741981721</v>
      </c>
      <c r="AG313" s="30">
        <f t="shared" si="128"/>
        <v>7641.9279698978671</v>
      </c>
      <c r="AH313" s="30">
        <f t="shared" si="128"/>
        <v>8733.631965597564</v>
      </c>
      <c r="AI313" s="30">
        <f t="shared" si="128"/>
        <v>11179.048915964881</v>
      </c>
      <c r="AJ313" s="30">
        <f t="shared" si="128"/>
        <v>13100.447948396344</v>
      </c>
      <c r="AK313" s="30">
        <f t="shared" si="128"/>
        <v>15283.855939795734</v>
      </c>
      <c r="AL313" s="30">
        <f t="shared" si="128"/>
        <v>17467.263931195128</v>
      </c>
      <c r="AM313" s="30">
        <f t="shared" si="128"/>
        <v>20960.716717434152</v>
      </c>
      <c r="AN313" s="30">
        <f t="shared" si="128"/>
        <v>24454.169503673176</v>
      </c>
      <c r="AO313" s="30">
        <f t="shared" si="128"/>
        <v>27947.622289912204</v>
      </c>
      <c r="AP313" s="30">
        <f t="shared" si="128"/>
        <v>31441.075076151224</v>
      </c>
      <c r="AQ313" s="30">
        <f t="shared" si="128"/>
        <v>34934.527862390256</v>
      </c>
      <c r="AR313" s="30">
        <f t="shared" si="128"/>
        <v>41921.433434868304</v>
      </c>
      <c r="AS313" s="30">
        <f t="shared" si="128"/>
        <v>48908.339007346352</v>
      </c>
      <c r="AT313" s="30">
        <f t="shared" si="128"/>
        <v>55895.244579824408</v>
      </c>
      <c r="AU313" s="30">
        <f t="shared" si="128"/>
        <v>62882.150152302449</v>
      </c>
      <c r="AV313" s="30">
        <f t="shared" si="128"/>
        <v>69869.055724780512</v>
      </c>
      <c r="AW313" s="30">
        <f t="shared" si="128"/>
        <v>83842.866869736608</v>
      </c>
      <c r="AX313" s="30">
        <f t="shared" si="128"/>
        <v>97816.678014692705</v>
      </c>
      <c r="AY313" s="30">
        <f t="shared" si="128"/>
        <v>111790.48915964882</v>
      </c>
      <c r="AZ313" s="30">
        <f t="shared" si="128"/>
        <v>125764.3003046049</v>
      </c>
      <c r="BA313" s="30">
        <f t="shared" si="128"/>
        <v>139738.11144956102</v>
      </c>
      <c r="BB313" s="29">
        <f t="shared" si="128"/>
        <v>279476.22289912205</v>
      </c>
      <c r="BC313" s="30">
        <f t="shared" si="128"/>
        <v>558952.44579824409</v>
      </c>
      <c r="BD313" s="30">
        <f t="shared" si="128"/>
        <v>1117904.8915964882</v>
      </c>
      <c r="BE313" s="30">
        <f t="shared" si="128"/>
        <v>2235809.7831929764</v>
      </c>
      <c r="BF313" s="30">
        <f t="shared" si="128"/>
        <v>2819372.4780505281</v>
      </c>
      <c r="BG313" s="71">
        <f t="shared" si="128"/>
        <v>2819372.4780505281</v>
      </c>
      <c r="BH313" s="45"/>
    </row>
    <row r="314" spans="1:60" x14ac:dyDescent="0.25">
      <c r="A314" s="41" t="s">
        <v>14</v>
      </c>
      <c r="B314" s="6">
        <f>'Population by Age - Wikipedia'!D33</f>
        <v>9.4748533661399834E-2</v>
      </c>
      <c r="C314" s="10">
        <f t="shared" si="126"/>
        <v>31320596.404047467</v>
      </c>
      <c r="D314" s="23">
        <f>'AU Infection Rate by Age'!C6</f>
        <v>0.16735352087439526</v>
      </c>
      <c r="E314" s="17"/>
      <c r="F314" s="10"/>
      <c r="G314" s="10"/>
      <c r="H314" s="10"/>
      <c r="I314" s="10"/>
      <c r="J314" s="10"/>
      <c r="K314" s="10"/>
      <c r="L314" s="10"/>
      <c r="M314" s="10"/>
      <c r="N314" s="10"/>
      <c r="O314" s="10"/>
      <c r="P314" s="20">
        <f t="shared" ref="P314:BG314" si="129">P$278*$D$314</f>
        <v>5.2297975273248518</v>
      </c>
      <c r="Q314" s="21">
        <f t="shared" si="129"/>
        <v>10.459595054649704</v>
      </c>
      <c r="R314" s="21">
        <f t="shared" si="129"/>
        <v>20.919190109299407</v>
      </c>
      <c r="S314" s="21">
        <f t="shared" si="129"/>
        <v>41.838380218598815</v>
      </c>
      <c r="T314" s="21">
        <f t="shared" si="129"/>
        <v>83.676760437197629</v>
      </c>
      <c r="U314" s="21">
        <f t="shared" si="129"/>
        <v>167.35352087439526</v>
      </c>
      <c r="V314" s="21">
        <f t="shared" si="129"/>
        <v>334.70704174879052</v>
      </c>
      <c r="W314" s="21">
        <f t="shared" si="129"/>
        <v>669.41408349758103</v>
      </c>
      <c r="X314" s="21">
        <f t="shared" si="129"/>
        <v>1338.8281669951621</v>
      </c>
      <c r="Y314" s="21">
        <f t="shared" si="129"/>
        <v>2677.6563339903241</v>
      </c>
      <c r="Z314" s="21">
        <f t="shared" si="129"/>
        <v>5355.3126679806483</v>
      </c>
      <c r="AA314" s="21">
        <f t="shared" si="129"/>
        <v>10710.625335961297</v>
      </c>
      <c r="AB314" s="21">
        <f t="shared" si="129"/>
        <v>21421.250671922593</v>
      </c>
      <c r="AC314" s="21">
        <f t="shared" si="129"/>
        <v>42842.501343845186</v>
      </c>
      <c r="AD314" s="21">
        <f t="shared" si="129"/>
        <v>85685.002687690372</v>
      </c>
      <c r="AE314" s="21">
        <f t="shared" si="129"/>
        <v>107106.25335961297</v>
      </c>
      <c r="AF314" s="21">
        <f t="shared" si="129"/>
        <v>128527.50403153556</v>
      </c>
      <c r="AG314" s="21">
        <f t="shared" si="129"/>
        <v>149948.75470345814</v>
      </c>
      <c r="AH314" s="21">
        <f t="shared" si="129"/>
        <v>171370.00537538074</v>
      </c>
      <c r="AI314" s="21">
        <f t="shared" si="129"/>
        <v>219353.60688048735</v>
      </c>
      <c r="AJ314" s="21">
        <f t="shared" si="129"/>
        <v>257055.00806307112</v>
      </c>
      <c r="AK314" s="21">
        <f t="shared" si="129"/>
        <v>299897.50940691627</v>
      </c>
      <c r="AL314" s="21">
        <f t="shared" si="129"/>
        <v>342740.01075076149</v>
      </c>
      <c r="AM314" s="21">
        <f t="shared" si="129"/>
        <v>411288.01290091377</v>
      </c>
      <c r="AN314" s="21">
        <f t="shared" si="129"/>
        <v>479836.01505106606</v>
      </c>
      <c r="AO314" s="21">
        <f t="shared" si="129"/>
        <v>548384.0172012184</v>
      </c>
      <c r="AP314" s="21">
        <f t="shared" si="129"/>
        <v>616932.01935137063</v>
      </c>
      <c r="AQ314" s="21">
        <f t="shared" si="129"/>
        <v>685480.02150152298</v>
      </c>
      <c r="AR314" s="21">
        <f t="shared" si="129"/>
        <v>822576.02580182755</v>
      </c>
      <c r="AS314" s="21">
        <f t="shared" si="129"/>
        <v>959672.03010213212</v>
      </c>
      <c r="AT314" s="21">
        <f t="shared" si="129"/>
        <v>1096768.0344024368</v>
      </c>
      <c r="AU314" s="21">
        <f t="shared" si="129"/>
        <v>1233864.0387027413</v>
      </c>
      <c r="AV314" s="21">
        <f t="shared" si="129"/>
        <v>1370960.043003046</v>
      </c>
      <c r="AW314" s="21">
        <f t="shared" si="129"/>
        <v>1645152.0516036551</v>
      </c>
      <c r="AX314" s="21">
        <f t="shared" si="129"/>
        <v>1919344.0602042642</v>
      </c>
      <c r="AY314" s="21">
        <f t="shared" si="129"/>
        <v>2193536.0688048736</v>
      </c>
      <c r="AZ314" s="21">
        <f t="shared" si="129"/>
        <v>2467728.0774054825</v>
      </c>
      <c r="BA314" s="21">
        <f t="shared" si="129"/>
        <v>2741920.0860060919</v>
      </c>
      <c r="BB314" s="20">
        <f t="shared" si="129"/>
        <v>5483840.1720121838</v>
      </c>
      <c r="BC314" s="21">
        <f t="shared" si="129"/>
        <v>10967680.344024368</v>
      </c>
      <c r="BD314" s="21">
        <f t="shared" si="129"/>
        <v>21935360.688048735</v>
      </c>
      <c r="BE314" s="21">
        <f t="shared" si="129"/>
        <v>43870721.376097471</v>
      </c>
      <c r="BF314" s="21">
        <f t="shared" si="129"/>
        <v>55321300.304604903</v>
      </c>
      <c r="BG314" s="72">
        <f t="shared" si="129"/>
        <v>55321300.304604903</v>
      </c>
      <c r="BH314" s="45"/>
    </row>
    <row r="315" spans="1:60" x14ac:dyDescent="0.25">
      <c r="A315" s="41"/>
      <c r="B315" s="6"/>
      <c r="C315" s="10"/>
      <c r="D315" s="8"/>
      <c r="E315" s="27">
        <v>3.5999999999999997E-2</v>
      </c>
      <c r="F315" s="10"/>
      <c r="G315" s="10"/>
      <c r="H315" s="10"/>
      <c r="I315" s="10"/>
      <c r="J315" s="10"/>
      <c r="K315" s="10"/>
      <c r="L315" s="10"/>
      <c r="M315" s="10"/>
      <c r="N315" s="10"/>
      <c r="O315" s="10"/>
      <c r="P315" s="29">
        <f t="shared" ref="P315:BG315" si="130">P$278*$D$314*$E$315</f>
        <v>0.18827271098369466</v>
      </c>
      <c r="Q315" s="30">
        <f t="shared" si="130"/>
        <v>0.37654542196738933</v>
      </c>
      <c r="R315" s="30">
        <f t="shared" si="130"/>
        <v>0.75309084393477865</v>
      </c>
      <c r="S315" s="30">
        <f t="shared" si="130"/>
        <v>1.5061816878695573</v>
      </c>
      <c r="T315" s="30">
        <f t="shared" si="130"/>
        <v>3.0123633757391146</v>
      </c>
      <c r="U315" s="30">
        <f t="shared" si="130"/>
        <v>6.0247267514782292</v>
      </c>
      <c r="V315" s="30">
        <f t="shared" si="130"/>
        <v>12.049453502956458</v>
      </c>
      <c r="W315" s="30">
        <f t="shared" si="130"/>
        <v>24.098907005912917</v>
      </c>
      <c r="X315" s="30">
        <f t="shared" si="130"/>
        <v>48.197814011825834</v>
      </c>
      <c r="Y315" s="30">
        <f t="shared" si="130"/>
        <v>96.395628023651668</v>
      </c>
      <c r="Z315" s="30">
        <f t="shared" si="130"/>
        <v>192.79125604730334</v>
      </c>
      <c r="AA315" s="30">
        <f t="shared" si="130"/>
        <v>385.58251209460667</v>
      </c>
      <c r="AB315" s="30">
        <f t="shared" si="130"/>
        <v>771.16502418921334</v>
      </c>
      <c r="AC315" s="30">
        <f t="shared" si="130"/>
        <v>1542.3300483784267</v>
      </c>
      <c r="AD315" s="30">
        <f t="shared" si="130"/>
        <v>3084.6600967568534</v>
      </c>
      <c r="AE315" s="30">
        <f t="shared" si="130"/>
        <v>3855.8251209460664</v>
      </c>
      <c r="AF315" s="30">
        <f t="shared" si="130"/>
        <v>4626.9901451352798</v>
      </c>
      <c r="AG315" s="30">
        <f t="shared" si="130"/>
        <v>5398.1551693244928</v>
      </c>
      <c r="AH315" s="30">
        <f t="shared" si="130"/>
        <v>6169.3201935137067</v>
      </c>
      <c r="AI315" s="30">
        <f t="shared" si="130"/>
        <v>7896.7298476975438</v>
      </c>
      <c r="AJ315" s="30">
        <f t="shared" si="130"/>
        <v>9253.9802902705596</v>
      </c>
      <c r="AK315" s="30">
        <f t="shared" si="130"/>
        <v>10796.310338648986</v>
      </c>
      <c r="AL315" s="30">
        <f t="shared" si="130"/>
        <v>12338.640387027413</v>
      </c>
      <c r="AM315" s="30">
        <f t="shared" si="130"/>
        <v>14806.368464432895</v>
      </c>
      <c r="AN315" s="30">
        <f t="shared" si="130"/>
        <v>17274.096541838378</v>
      </c>
      <c r="AO315" s="30">
        <f t="shared" si="130"/>
        <v>19741.82461924386</v>
      </c>
      <c r="AP315" s="30">
        <f t="shared" si="130"/>
        <v>22209.552696649342</v>
      </c>
      <c r="AQ315" s="30">
        <f t="shared" si="130"/>
        <v>24677.280774054827</v>
      </c>
      <c r="AR315" s="30">
        <f t="shared" si="130"/>
        <v>29612.73692886579</v>
      </c>
      <c r="AS315" s="30">
        <f t="shared" si="130"/>
        <v>34548.193083676757</v>
      </c>
      <c r="AT315" s="30">
        <f t="shared" si="130"/>
        <v>39483.64923848772</v>
      </c>
      <c r="AU315" s="30">
        <f t="shared" si="130"/>
        <v>44419.105393298683</v>
      </c>
      <c r="AV315" s="30">
        <f t="shared" si="130"/>
        <v>49354.561548109654</v>
      </c>
      <c r="AW315" s="30">
        <f t="shared" si="130"/>
        <v>59225.47385773158</v>
      </c>
      <c r="AX315" s="30">
        <f t="shared" si="130"/>
        <v>69096.386167353514</v>
      </c>
      <c r="AY315" s="30">
        <f t="shared" si="130"/>
        <v>78967.29847697544</v>
      </c>
      <c r="AZ315" s="30">
        <f t="shared" si="130"/>
        <v>88838.210786597367</v>
      </c>
      <c r="BA315" s="30">
        <f t="shared" si="130"/>
        <v>98709.123096219308</v>
      </c>
      <c r="BB315" s="29">
        <f t="shared" si="130"/>
        <v>197418.24619243862</v>
      </c>
      <c r="BC315" s="30">
        <f t="shared" si="130"/>
        <v>394836.49238487723</v>
      </c>
      <c r="BD315" s="30">
        <f t="shared" si="130"/>
        <v>789672.98476975446</v>
      </c>
      <c r="BE315" s="30">
        <f t="shared" si="130"/>
        <v>1579345.9695395089</v>
      </c>
      <c r="BF315" s="30">
        <f t="shared" si="130"/>
        <v>1991566.8109657764</v>
      </c>
      <c r="BG315" s="71">
        <f t="shared" si="130"/>
        <v>1991566.8109657764</v>
      </c>
      <c r="BH315" s="45"/>
    </row>
    <row r="316" spans="1:60" x14ac:dyDescent="0.25">
      <c r="A316" s="41" t="s">
        <v>15</v>
      </c>
      <c r="B316" s="6">
        <f>'Population by Age - Wikipedia'!D29</f>
        <v>0.13591428809571979</v>
      </c>
      <c r="C316" s="10">
        <f t="shared" si="126"/>
        <v>44928574.60150566</v>
      </c>
      <c r="D316" s="23">
        <f>'AU Infection Rate by Age'!C7</f>
        <v>0.15534850385235621</v>
      </c>
      <c r="E316" s="17"/>
      <c r="F316" s="10"/>
      <c r="G316" s="10"/>
      <c r="H316" s="10"/>
      <c r="I316" s="10"/>
      <c r="J316" s="10"/>
      <c r="K316" s="10"/>
      <c r="L316" s="10"/>
      <c r="M316" s="10"/>
      <c r="N316" s="10"/>
      <c r="O316" s="10"/>
      <c r="P316" s="20">
        <f t="shared" ref="P316:BG316" si="131">P$278*$D$316</f>
        <v>4.8546407453861313</v>
      </c>
      <c r="Q316" s="21">
        <f t="shared" si="131"/>
        <v>9.7092814907722627</v>
      </c>
      <c r="R316" s="21">
        <f t="shared" si="131"/>
        <v>19.418562981544525</v>
      </c>
      <c r="S316" s="21">
        <f t="shared" si="131"/>
        <v>38.837125963089051</v>
      </c>
      <c r="T316" s="21">
        <f t="shared" si="131"/>
        <v>77.674251926178101</v>
      </c>
      <c r="U316" s="21">
        <f t="shared" si="131"/>
        <v>155.3485038523562</v>
      </c>
      <c r="V316" s="21">
        <f t="shared" si="131"/>
        <v>310.69700770471241</v>
      </c>
      <c r="W316" s="21">
        <f t="shared" si="131"/>
        <v>621.39401540942481</v>
      </c>
      <c r="X316" s="21">
        <f t="shared" si="131"/>
        <v>1242.7880308188496</v>
      </c>
      <c r="Y316" s="21">
        <f t="shared" si="131"/>
        <v>2485.5760616376992</v>
      </c>
      <c r="Z316" s="21">
        <f t="shared" si="131"/>
        <v>4971.1521232753985</v>
      </c>
      <c r="AA316" s="21">
        <f t="shared" si="131"/>
        <v>9942.304246550797</v>
      </c>
      <c r="AB316" s="21">
        <f t="shared" si="131"/>
        <v>19884.608493101594</v>
      </c>
      <c r="AC316" s="21">
        <f t="shared" si="131"/>
        <v>39769.216986203188</v>
      </c>
      <c r="AD316" s="21">
        <f t="shared" si="131"/>
        <v>79538.433972406376</v>
      </c>
      <c r="AE316" s="21">
        <f t="shared" si="131"/>
        <v>99423.04246550797</v>
      </c>
      <c r="AF316" s="21">
        <f t="shared" si="131"/>
        <v>119307.65095860958</v>
      </c>
      <c r="AG316" s="21">
        <f t="shared" si="131"/>
        <v>139192.25945171117</v>
      </c>
      <c r="AH316" s="21">
        <f t="shared" si="131"/>
        <v>159076.86794481275</v>
      </c>
      <c r="AI316" s="21">
        <f t="shared" si="131"/>
        <v>203618.39096936033</v>
      </c>
      <c r="AJ316" s="21">
        <f t="shared" si="131"/>
        <v>238615.30191721916</v>
      </c>
      <c r="AK316" s="21">
        <f t="shared" si="131"/>
        <v>278384.51890342234</v>
      </c>
      <c r="AL316" s="21">
        <f t="shared" si="131"/>
        <v>318153.7358896255</v>
      </c>
      <c r="AM316" s="21">
        <f t="shared" si="131"/>
        <v>381784.48306755064</v>
      </c>
      <c r="AN316" s="21">
        <f t="shared" si="131"/>
        <v>445415.23024547572</v>
      </c>
      <c r="AO316" s="21">
        <f t="shared" si="131"/>
        <v>509045.97742340085</v>
      </c>
      <c r="AP316" s="21">
        <f t="shared" si="131"/>
        <v>572676.72460132593</v>
      </c>
      <c r="AQ316" s="21">
        <f t="shared" si="131"/>
        <v>636307.47177925101</v>
      </c>
      <c r="AR316" s="21">
        <f t="shared" si="131"/>
        <v>763568.96613510128</v>
      </c>
      <c r="AS316" s="21">
        <f t="shared" si="131"/>
        <v>890830.46049095143</v>
      </c>
      <c r="AT316" s="21">
        <f t="shared" si="131"/>
        <v>1018091.9548468017</v>
      </c>
      <c r="AU316" s="21">
        <f t="shared" si="131"/>
        <v>1145353.4492026519</v>
      </c>
      <c r="AV316" s="21">
        <f t="shared" si="131"/>
        <v>1272614.943558502</v>
      </c>
      <c r="AW316" s="21">
        <f t="shared" si="131"/>
        <v>1527137.9322702026</v>
      </c>
      <c r="AX316" s="21">
        <f t="shared" si="131"/>
        <v>1781660.9209819029</v>
      </c>
      <c r="AY316" s="21">
        <f t="shared" si="131"/>
        <v>2036183.9096936034</v>
      </c>
      <c r="AZ316" s="21">
        <f t="shared" si="131"/>
        <v>2290706.8984053037</v>
      </c>
      <c r="BA316" s="21">
        <f t="shared" si="131"/>
        <v>2545229.887117004</v>
      </c>
      <c r="BB316" s="20">
        <f t="shared" si="131"/>
        <v>5090459.774234008</v>
      </c>
      <c r="BC316" s="21">
        <f t="shared" si="131"/>
        <v>10180919.548468016</v>
      </c>
      <c r="BD316" s="21">
        <f t="shared" si="131"/>
        <v>20361839.096936032</v>
      </c>
      <c r="BE316" s="21">
        <f t="shared" si="131"/>
        <v>40723678.193872064</v>
      </c>
      <c r="BF316" s="21">
        <f t="shared" si="131"/>
        <v>51352855.850206055</v>
      </c>
      <c r="BG316" s="72">
        <f t="shared" si="131"/>
        <v>51352855.850206055</v>
      </c>
      <c r="BH316" s="45"/>
    </row>
    <row r="317" spans="1:60" x14ac:dyDescent="0.25">
      <c r="A317" s="41"/>
      <c r="B317" s="6"/>
      <c r="C317" s="10"/>
      <c r="D317" s="8"/>
      <c r="E317" s="27">
        <v>1.2999999999999999E-2</v>
      </c>
      <c r="F317" s="10"/>
      <c r="G317" s="10"/>
      <c r="H317" s="10"/>
      <c r="I317" s="10"/>
      <c r="J317" s="10"/>
      <c r="K317" s="10"/>
      <c r="L317" s="10"/>
      <c r="M317" s="10"/>
      <c r="N317" s="10"/>
      <c r="O317" s="10"/>
      <c r="P317" s="29">
        <f t="shared" ref="P317:BG317" si="132">P$278*$D$316*$E$317</f>
        <v>6.3110329690019701E-2</v>
      </c>
      <c r="Q317" s="30">
        <f t="shared" si="132"/>
        <v>0.1262206593800394</v>
      </c>
      <c r="R317" s="30">
        <f t="shared" si="132"/>
        <v>0.2524413187600788</v>
      </c>
      <c r="S317" s="30">
        <f t="shared" si="132"/>
        <v>0.50488263752015761</v>
      </c>
      <c r="T317" s="30">
        <f t="shared" si="132"/>
        <v>1.0097652750403152</v>
      </c>
      <c r="U317" s="30">
        <f t="shared" si="132"/>
        <v>2.0195305500806304</v>
      </c>
      <c r="V317" s="30">
        <f t="shared" si="132"/>
        <v>4.0390611001612609</v>
      </c>
      <c r="W317" s="30">
        <f t="shared" si="132"/>
        <v>8.0781222003225217</v>
      </c>
      <c r="X317" s="30">
        <f t="shared" si="132"/>
        <v>16.156244400645043</v>
      </c>
      <c r="Y317" s="30">
        <f t="shared" si="132"/>
        <v>32.312488801290087</v>
      </c>
      <c r="Z317" s="30">
        <f t="shared" si="132"/>
        <v>64.624977602580174</v>
      </c>
      <c r="AA317" s="30">
        <f t="shared" si="132"/>
        <v>129.24995520516035</v>
      </c>
      <c r="AB317" s="30">
        <f t="shared" si="132"/>
        <v>258.49991041032069</v>
      </c>
      <c r="AC317" s="30">
        <f t="shared" si="132"/>
        <v>516.99982082064139</v>
      </c>
      <c r="AD317" s="30">
        <f t="shared" si="132"/>
        <v>1033.9996416412828</v>
      </c>
      <c r="AE317" s="30">
        <f t="shared" si="132"/>
        <v>1292.4995520516036</v>
      </c>
      <c r="AF317" s="30">
        <f t="shared" si="132"/>
        <v>1550.9994624619244</v>
      </c>
      <c r="AG317" s="30">
        <f t="shared" si="132"/>
        <v>1809.4993728722452</v>
      </c>
      <c r="AH317" s="30">
        <f t="shared" si="132"/>
        <v>2067.9992832825656</v>
      </c>
      <c r="AI317" s="30">
        <f t="shared" si="132"/>
        <v>2647.0390826016842</v>
      </c>
      <c r="AJ317" s="30">
        <f t="shared" si="132"/>
        <v>3101.9989249238488</v>
      </c>
      <c r="AK317" s="30">
        <f t="shared" si="132"/>
        <v>3618.9987457444904</v>
      </c>
      <c r="AL317" s="30">
        <f t="shared" si="132"/>
        <v>4135.9985665651311</v>
      </c>
      <c r="AM317" s="30">
        <f t="shared" si="132"/>
        <v>4963.1982798781582</v>
      </c>
      <c r="AN317" s="30">
        <f t="shared" si="132"/>
        <v>5790.3979931911845</v>
      </c>
      <c r="AO317" s="30">
        <f t="shared" si="132"/>
        <v>6617.5977065042107</v>
      </c>
      <c r="AP317" s="30">
        <f t="shared" si="132"/>
        <v>7444.7974198172369</v>
      </c>
      <c r="AQ317" s="30">
        <f t="shared" si="132"/>
        <v>8271.9971331302622</v>
      </c>
      <c r="AR317" s="30">
        <f t="shared" si="132"/>
        <v>9926.3965597563165</v>
      </c>
      <c r="AS317" s="30">
        <f t="shared" si="132"/>
        <v>11580.795986382369</v>
      </c>
      <c r="AT317" s="30">
        <f t="shared" si="132"/>
        <v>13235.195413008421</v>
      </c>
      <c r="AU317" s="30">
        <f t="shared" si="132"/>
        <v>14889.594839634474</v>
      </c>
      <c r="AV317" s="30">
        <f t="shared" si="132"/>
        <v>16543.994266260524</v>
      </c>
      <c r="AW317" s="30">
        <f t="shared" si="132"/>
        <v>19852.793119512633</v>
      </c>
      <c r="AX317" s="30">
        <f t="shared" si="132"/>
        <v>23161.591972764738</v>
      </c>
      <c r="AY317" s="30">
        <f t="shared" si="132"/>
        <v>26470.390826016843</v>
      </c>
      <c r="AZ317" s="30">
        <f t="shared" si="132"/>
        <v>29779.189679268948</v>
      </c>
      <c r="BA317" s="30">
        <f t="shared" si="132"/>
        <v>33087.988532521049</v>
      </c>
      <c r="BB317" s="29">
        <f t="shared" si="132"/>
        <v>66175.977065042098</v>
      </c>
      <c r="BC317" s="30">
        <f t="shared" si="132"/>
        <v>132351.9541300842</v>
      </c>
      <c r="BD317" s="30">
        <f t="shared" si="132"/>
        <v>264703.90826016839</v>
      </c>
      <c r="BE317" s="30">
        <f t="shared" si="132"/>
        <v>529407.81652033678</v>
      </c>
      <c r="BF317" s="30">
        <f t="shared" si="132"/>
        <v>667587.12605267868</v>
      </c>
      <c r="BG317" s="71">
        <f t="shared" si="132"/>
        <v>667587.12605267868</v>
      </c>
      <c r="BH317" s="45"/>
    </row>
    <row r="318" spans="1:60" x14ac:dyDescent="0.25">
      <c r="A318" s="41" t="s">
        <v>16</v>
      </c>
      <c r="B318" s="6">
        <f>'Population by Age - Wikipedia'!D25</f>
        <v>0.14121517441978385</v>
      </c>
      <c r="C318" s="10">
        <f t="shared" si="126"/>
        <v>46680864.739663057</v>
      </c>
      <c r="D318" s="23">
        <f>'AU Infection Rate by Age'!C8</f>
        <v>0.12972585558143701</v>
      </c>
      <c r="E318" s="17"/>
      <c r="F318" s="10"/>
      <c r="G318" s="10"/>
      <c r="H318" s="10"/>
      <c r="I318" s="10"/>
      <c r="J318" s="10"/>
      <c r="K318" s="10"/>
      <c r="L318" s="10"/>
      <c r="M318" s="10"/>
      <c r="N318" s="10"/>
      <c r="O318" s="10"/>
      <c r="P318" s="20">
        <f t="shared" ref="P318:BG318" si="133">P$278*$D$318</f>
        <v>4.0539329869199063</v>
      </c>
      <c r="Q318" s="21">
        <f t="shared" si="133"/>
        <v>8.1078659738398127</v>
      </c>
      <c r="R318" s="21">
        <f t="shared" si="133"/>
        <v>16.215731947679625</v>
      </c>
      <c r="S318" s="21">
        <f t="shared" si="133"/>
        <v>32.431463895359251</v>
      </c>
      <c r="T318" s="21">
        <f t="shared" si="133"/>
        <v>64.862927790718501</v>
      </c>
      <c r="U318" s="21">
        <f t="shared" si="133"/>
        <v>129.725855581437</v>
      </c>
      <c r="V318" s="21">
        <f t="shared" si="133"/>
        <v>259.45171116287401</v>
      </c>
      <c r="W318" s="21">
        <f t="shared" si="133"/>
        <v>518.90342232574801</v>
      </c>
      <c r="X318" s="21">
        <f t="shared" si="133"/>
        <v>1037.806844651496</v>
      </c>
      <c r="Y318" s="21">
        <f t="shared" si="133"/>
        <v>2075.613689302992</v>
      </c>
      <c r="Z318" s="21">
        <f t="shared" si="133"/>
        <v>4151.2273786059841</v>
      </c>
      <c r="AA318" s="21">
        <f t="shared" si="133"/>
        <v>8302.4547572119682</v>
      </c>
      <c r="AB318" s="21">
        <f t="shared" si="133"/>
        <v>16604.909514423936</v>
      </c>
      <c r="AC318" s="21">
        <f t="shared" si="133"/>
        <v>33209.819028847873</v>
      </c>
      <c r="AD318" s="21">
        <f t="shared" si="133"/>
        <v>66419.638057695745</v>
      </c>
      <c r="AE318" s="21">
        <f t="shared" si="133"/>
        <v>83024.547572119685</v>
      </c>
      <c r="AF318" s="21">
        <f t="shared" si="133"/>
        <v>99629.457086543625</v>
      </c>
      <c r="AG318" s="21">
        <f t="shared" si="133"/>
        <v>116234.36660096757</v>
      </c>
      <c r="AH318" s="21">
        <f t="shared" si="133"/>
        <v>132839.27611539149</v>
      </c>
      <c r="AI318" s="21">
        <f t="shared" si="133"/>
        <v>170034.27342770112</v>
      </c>
      <c r="AJ318" s="21">
        <f t="shared" si="133"/>
        <v>199258.91417308725</v>
      </c>
      <c r="AK318" s="21">
        <f t="shared" si="133"/>
        <v>232468.73320193513</v>
      </c>
      <c r="AL318" s="21">
        <f t="shared" si="133"/>
        <v>265678.55223078298</v>
      </c>
      <c r="AM318" s="21">
        <f t="shared" si="133"/>
        <v>318814.2626769396</v>
      </c>
      <c r="AN318" s="21">
        <f t="shared" si="133"/>
        <v>371949.97312309622</v>
      </c>
      <c r="AO318" s="21">
        <f t="shared" si="133"/>
        <v>425085.68356925278</v>
      </c>
      <c r="AP318" s="21">
        <f t="shared" si="133"/>
        <v>478221.3940154094</v>
      </c>
      <c r="AQ318" s="21">
        <f t="shared" si="133"/>
        <v>531357.10446156596</v>
      </c>
      <c r="AR318" s="21">
        <f t="shared" si="133"/>
        <v>637628.5253538792</v>
      </c>
      <c r="AS318" s="21">
        <f t="shared" si="133"/>
        <v>743899.94624619244</v>
      </c>
      <c r="AT318" s="21">
        <f t="shared" si="133"/>
        <v>850171.36713850556</v>
      </c>
      <c r="AU318" s="21">
        <f t="shared" si="133"/>
        <v>956442.7880308188</v>
      </c>
      <c r="AV318" s="21">
        <f t="shared" si="133"/>
        <v>1062714.2089231319</v>
      </c>
      <c r="AW318" s="21">
        <f t="shared" si="133"/>
        <v>1275257.0507077584</v>
      </c>
      <c r="AX318" s="21">
        <f t="shared" si="133"/>
        <v>1487799.8924923849</v>
      </c>
      <c r="AY318" s="21">
        <f t="shared" si="133"/>
        <v>1700342.7342770111</v>
      </c>
      <c r="AZ318" s="21">
        <f t="shared" si="133"/>
        <v>1912885.5760616376</v>
      </c>
      <c r="BA318" s="21">
        <f t="shared" si="133"/>
        <v>2125428.4178462639</v>
      </c>
      <c r="BB318" s="20">
        <f t="shared" si="133"/>
        <v>4250856.8356925277</v>
      </c>
      <c r="BC318" s="21">
        <f t="shared" si="133"/>
        <v>8501713.6713850554</v>
      </c>
      <c r="BD318" s="21">
        <f t="shared" si="133"/>
        <v>17003427.342770111</v>
      </c>
      <c r="BE318" s="21">
        <f t="shared" si="133"/>
        <v>34006854.685540222</v>
      </c>
      <c r="BF318" s="21">
        <f t="shared" si="133"/>
        <v>42882892.313205518</v>
      </c>
      <c r="BG318" s="72">
        <f t="shared" si="133"/>
        <v>42882892.313205518</v>
      </c>
      <c r="BH318" s="45"/>
    </row>
    <row r="319" spans="1:60" x14ac:dyDescent="0.25">
      <c r="A319" s="41"/>
      <c r="B319" s="6"/>
      <c r="C319" s="10"/>
      <c r="D319" s="8"/>
      <c r="E319" s="27">
        <v>4.0000000000000001E-3</v>
      </c>
      <c r="F319" s="10"/>
      <c r="G319" s="10"/>
      <c r="H319" s="10"/>
      <c r="I319" s="10"/>
      <c r="J319" s="10"/>
      <c r="K319" s="10"/>
      <c r="L319" s="10"/>
      <c r="M319" s="10"/>
      <c r="N319" s="10"/>
      <c r="O319" s="10"/>
      <c r="P319" s="29">
        <f t="shared" ref="P319:BG319" si="134">P$278*$D$318*$E$319</f>
        <v>1.6215731947679626E-2</v>
      </c>
      <c r="Q319" s="30">
        <f t="shared" si="134"/>
        <v>3.2431463895359253E-2</v>
      </c>
      <c r="R319" s="30">
        <f t="shared" si="134"/>
        <v>6.4862927790718505E-2</v>
      </c>
      <c r="S319" s="30">
        <f t="shared" si="134"/>
        <v>0.12972585558143701</v>
      </c>
      <c r="T319" s="30">
        <f t="shared" si="134"/>
        <v>0.25945171116287402</v>
      </c>
      <c r="U319" s="30">
        <f t="shared" si="134"/>
        <v>0.51890342232574804</v>
      </c>
      <c r="V319" s="30">
        <f t="shared" si="134"/>
        <v>1.0378068446514961</v>
      </c>
      <c r="W319" s="30">
        <f t="shared" si="134"/>
        <v>2.0756136893029922</v>
      </c>
      <c r="X319" s="30">
        <f t="shared" si="134"/>
        <v>4.1512273786059843</v>
      </c>
      <c r="Y319" s="30">
        <f t="shared" si="134"/>
        <v>8.3024547572119687</v>
      </c>
      <c r="Z319" s="30">
        <f t="shared" si="134"/>
        <v>16.604909514423937</v>
      </c>
      <c r="AA319" s="30">
        <f t="shared" si="134"/>
        <v>33.209819028847875</v>
      </c>
      <c r="AB319" s="30">
        <f t="shared" si="134"/>
        <v>66.419638057695749</v>
      </c>
      <c r="AC319" s="30">
        <f t="shared" si="134"/>
        <v>132.8392761153915</v>
      </c>
      <c r="AD319" s="30">
        <f t="shared" si="134"/>
        <v>265.678552230783</v>
      </c>
      <c r="AE319" s="30">
        <f t="shared" si="134"/>
        <v>332.09819028847875</v>
      </c>
      <c r="AF319" s="30">
        <f t="shared" si="134"/>
        <v>398.5178283461745</v>
      </c>
      <c r="AG319" s="30">
        <f t="shared" si="134"/>
        <v>464.93746640387025</v>
      </c>
      <c r="AH319" s="30">
        <f t="shared" si="134"/>
        <v>531.357104461566</v>
      </c>
      <c r="AI319" s="30">
        <f t="shared" si="134"/>
        <v>680.13709371080449</v>
      </c>
      <c r="AJ319" s="30">
        <f t="shared" si="134"/>
        <v>797.03565669234899</v>
      </c>
      <c r="AK319" s="30">
        <f t="shared" si="134"/>
        <v>929.87493280774049</v>
      </c>
      <c r="AL319" s="30">
        <f t="shared" si="134"/>
        <v>1062.714208923132</v>
      </c>
      <c r="AM319" s="30">
        <f t="shared" si="134"/>
        <v>1275.2570507077585</v>
      </c>
      <c r="AN319" s="30">
        <f t="shared" si="134"/>
        <v>1487.799892492385</v>
      </c>
      <c r="AO319" s="30">
        <f t="shared" si="134"/>
        <v>1700.3427342770112</v>
      </c>
      <c r="AP319" s="30">
        <f t="shared" si="134"/>
        <v>1912.8855760616377</v>
      </c>
      <c r="AQ319" s="30">
        <f t="shared" si="134"/>
        <v>2125.428417846264</v>
      </c>
      <c r="AR319" s="30">
        <f t="shared" si="134"/>
        <v>2550.514101415517</v>
      </c>
      <c r="AS319" s="30">
        <f t="shared" si="134"/>
        <v>2975.5997849847699</v>
      </c>
      <c r="AT319" s="30">
        <f t="shared" si="134"/>
        <v>3400.6854685540225</v>
      </c>
      <c r="AU319" s="30">
        <f t="shared" si="134"/>
        <v>3825.7711521232754</v>
      </c>
      <c r="AV319" s="30">
        <f t="shared" si="134"/>
        <v>4250.856835692528</v>
      </c>
      <c r="AW319" s="30">
        <f t="shared" si="134"/>
        <v>5101.0282028310339</v>
      </c>
      <c r="AX319" s="30">
        <f t="shared" si="134"/>
        <v>5951.1995699695399</v>
      </c>
      <c r="AY319" s="30">
        <f t="shared" si="134"/>
        <v>6801.3709371080449</v>
      </c>
      <c r="AZ319" s="30">
        <f t="shared" si="134"/>
        <v>7651.5423042465509</v>
      </c>
      <c r="BA319" s="30">
        <f t="shared" si="134"/>
        <v>8501.7136713850559</v>
      </c>
      <c r="BB319" s="29">
        <f t="shared" si="134"/>
        <v>17003.427342770112</v>
      </c>
      <c r="BC319" s="30">
        <f t="shared" si="134"/>
        <v>34006.854685540224</v>
      </c>
      <c r="BD319" s="30">
        <f t="shared" si="134"/>
        <v>68013.709371080447</v>
      </c>
      <c r="BE319" s="30">
        <f t="shared" si="134"/>
        <v>136027.41874216089</v>
      </c>
      <c r="BF319" s="30">
        <f t="shared" si="134"/>
        <v>171531.56925282208</v>
      </c>
      <c r="BG319" s="71">
        <f t="shared" si="134"/>
        <v>171531.56925282208</v>
      </c>
      <c r="BH319" s="45"/>
    </row>
    <row r="320" spans="1:60" x14ac:dyDescent="0.25">
      <c r="A320" s="41" t="s">
        <v>17</v>
      </c>
      <c r="B320" s="6">
        <f>'Population by Age - Wikipedia'!D21</f>
        <v>0.13001561499489589</v>
      </c>
      <c r="C320" s="10">
        <f t="shared" si="126"/>
        <v>42978676.778595254</v>
      </c>
      <c r="D320" s="23">
        <f>'AU Infection Rate by Age'!C9</f>
        <v>0.15731947679627306</v>
      </c>
      <c r="E320" s="17"/>
      <c r="F320" s="10"/>
      <c r="G320" s="14"/>
      <c r="H320" s="14"/>
      <c r="I320" s="14"/>
      <c r="J320" s="14"/>
      <c r="K320" s="14"/>
      <c r="L320" s="14"/>
      <c r="M320" s="14"/>
      <c r="N320" s="10"/>
      <c r="O320" s="10"/>
      <c r="P320" s="20">
        <f t="shared" ref="P320:BG320" si="135">P$278*$D$320</f>
        <v>4.9162336498835328</v>
      </c>
      <c r="Q320" s="21">
        <f t="shared" si="135"/>
        <v>9.8324672997670657</v>
      </c>
      <c r="R320" s="21">
        <f t="shared" si="135"/>
        <v>19.664934599534131</v>
      </c>
      <c r="S320" s="21">
        <f t="shared" si="135"/>
        <v>39.329869199068263</v>
      </c>
      <c r="T320" s="21">
        <f t="shared" si="135"/>
        <v>78.659738398136525</v>
      </c>
      <c r="U320" s="21">
        <f t="shared" si="135"/>
        <v>157.31947679627305</v>
      </c>
      <c r="V320" s="21">
        <f t="shared" si="135"/>
        <v>314.6389535925461</v>
      </c>
      <c r="W320" s="21">
        <f t="shared" si="135"/>
        <v>629.2779071850922</v>
      </c>
      <c r="X320" s="21">
        <f t="shared" si="135"/>
        <v>1258.5558143701844</v>
      </c>
      <c r="Y320" s="21">
        <f t="shared" si="135"/>
        <v>2517.1116287403688</v>
      </c>
      <c r="Z320" s="21">
        <f t="shared" si="135"/>
        <v>5034.2232574807376</v>
      </c>
      <c r="AA320" s="21">
        <f t="shared" si="135"/>
        <v>10068.446514961475</v>
      </c>
      <c r="AB320" s="21">
        <f t="shared" si="135"/>
        <v>20136.893029922951</v>
      </c>
      <c r="AC320" s="21">
        <f t="shared" si="135"/>
        <v>40273.786059845901</v>
      </c>
      <c r="AD320" s="21">
        <f t="shared" si="135"/>
        <v>80547.572119691802</v>
      </c>
      <c r="AE320" s="21">
        <f t="shared" si="135"/>
        <v>100684.46514961476</v>
      </c>
      <c r="AF320" s="21">
        <f t="shared" si="135"/>
        <v>120821.35817953771</v>
      </c>
      <c r="AG320" s="21">
        <f t="shared" si="135"/>
        <v>140958.25120946066</v>
      </c>
      <c r="AH320" s="21">
        <f t="shared" si="135"/>
        <v>161095.1442393836</v>
      </c>
      <c r="AI320" s="21">
        <f t="shared" si="135"/>
        <v>206201.78462641104</v>
      </c>
      <c r="AJ320" s="21">
        <f t="shared" si="135"/>
        <v>241642.71635907542</v>
      </c>
      <c r="AK320" s="21">
        <f t="shared" si="135"/>
        <v>281916.50241892133</v>
      </c>
      <c r="AL320" s="21">
        <f t="shared" si="135"/>
        <v>322190.28847876721</v>
      </c>
      <c r="AM320" s="21">
        <f t="shared" si="135"/>
        <v>386628.34617452067</v>
      </c>
      <c r="AN320" s="21">
        <f t="shared" si="135"/>
        <v>451066.40387027414</v>
      </c>
      <c r="AO320" s="21">
        <f t="shared" si="135"/>
        <v>515504.46156602754</v>
      </c>
      <c r="AP320" s="21">
        <f t="shared" si="135"/>
        <v>579942.51926178101</v>
      </c>
      <c r="AQ320" s="21">
        <f t="shared" si="135"/>
        <v>644380.57695753442</v>
      </c>
      <c r="AR320" s="21">
        <f t="shared" si="135"/>
        <v>773256.69234904135</v>
      </c>
      <c r="AS320" s="21">
        <f t="shared" si="135"/>
        <v>902132.80774054828</v>
      </c>
      <c r="AT320" s="21">
        <f t="shared" si="135"/>
        <v>1031008.9231320551</v>
      </c>
      <c r="AU320" s="21">
        <f t="shared" si="135"/>
        <v>1159885.038523562</v>
      </c>
      <c r="AV320" s="21">
        <f t="shared" si="135"/>
        <v>1288761.1539150688</v>
      </c>
      <c r="AW320" s="21">
        <f t="shared" si="135"/>
        <v>1546513.3846980827</v>
      </c>
      <c r="AX320" s="21">
        <f t="shared" si="135"/>
        <v>1804265.6154810966</v>
      </c>
      <c r="AY320" s="21">
        <f t="shared" si="135"/>
        <v>2062017.8462641102</v>
      </c>
      <c r="AZ320" s="21">
        <f t="shared" si="135"/>
        <v>2319770.077047124</v>
      </c>
      <c r="BA320" s="21">
        <f t="shared" si="135"/>
        <v>2577522.3078301377</v>
      </c>
      <c r="BB320" s="20">
        <f t="shared" si="135"/>
        <v>5155044.6156602753</v>
      </c>
      <c r="BC320" s="21">
        <f t="shared" si="135"/>
        <v>10310089.231320551</v>
      </c>
      <c r="BD320" s="21">
        <f t="shared" si="135"/>
        <v>20620178.462641101</v>
      </c>
      <c r="BE320" s="21">
        <f t="shared" si="135"/>
        <v>41240356.925282203</v>
      </c>
      <c r="BF320" s="21">
        <f t="shared" si="135"/>
        <v>52004391.506898403</v>
      </c>
      <c r="BG320" s="72">
        <f t="shared" si="135"/>
        <v>52004391.506898403</v>
      </c>
      <c r="BH320" s="45"/>
    </row>
    <row r="321" spans="1:60" x14ac:dyDescent="0.25">
      <c r="A321" s="41"/>
      <c r="B321" s="6"/>
      <c r="C321" s="10"/>
      <c r="D321" s="8"/>
      <c r="E321" s="27">
        <v>2E-3</v>
      </c>
      <c r="F321" s="10"/>
      <c r="G321" s="10"/>
      <c r="H321" s="10"/>
      <c r="I321" s="10"/>
      <c r="J321" s="10"/>
      <c r="K321" s="10"/>
      <c r="L321" s="10"/>
      <c r="M321" s="10"/>
      <c r="N321" s="10"/>
      <c r="O321" s="10"/>
      <c r="P321" s="29">
        <f t="shared" ref="P321:BG321" si="136">P$278*$D$320*$E$321</f>
        <v>9.8324672997670663E-3</v>
      </c>
      <c r="Q321" s="30">
        <f t="shared" si="136"/>
        <v>1.9664934599534133E-2</v>
      </c>
      <c r="R321" s="30">
        <f t="shared" si="136"/>
        <v>3.9329869199068265E-2</v>
      </c>
      <c r="S321" s="30">
        <f t="shared" si="136"/>
        <v>7.8659738398136531E-2</v>
      </c>
      <c r="T321" s="30">
        <f t="shared" si="136"/>
        <v>0.15731947679627306</v>
      </c>
      <c r="U321" s="30">
        <f t="shared" si="136"/>
        <v>0.31463895359254612</v>
      </c>
      <c r="V321" s="30">
        <f t="shared" si="136"/>
        <v>0.62927790718509224</v>
      </c>
      <c r="W321" s="30">
        <f t="shared" si="136"/>
        <v>1.2585558143701845</v>
      </c>
      <c r="X321" s="30">
        <f t="shared" si="136"/>
        <v>2.517111628740369</v>
      </c>
      <c r="Y321" s="30">
        <f t="shared" si="136"/>
        <v>5.034223257480738</v>
      </c>
      <c r="Z321" s="30">
        <f t="shared" si="136"/>
        <v>10.068446514961476</v>
      </c>
      <c r="AA321" s="30">
        <f t="shared" si="136"/>
        <v>20.136893029922952</v>
      </c>
      <c r="AB321" s="30">
        <f t="shared" si="136"/>
        <v>40.273786059845904</v>
      </c>
      <c r="AC321" s="30">
        <f t="shared" si="136"/>
        <v>80.547572119691807</v>
      </c>
      <c r="AD321" s="30">
        <f t="shared" si="136"/>
        <v>161.09514423938361</v>
      </c>
      <c r="AE321" s="30">
        <f t="shared" si="136"/>
        <v>201.3689302992295</v>
      </c>
      <c r="AF321" s="30">
        <f t="shared" si="136"/>
        <v>241.64271635907542</v>
      </c>
      <c r="AG321" s="30">
        <f t="shared" si="136"/>
        <v>281.91650241892131</v>
      </c>
      <c r="AH321" s="30">
        <f t="shared" si="136"/>
        <v>322.19028847876723</v>
      </c>
      <c r="AI321" s="30">
        <f t="shared" si="136"/>
        <v>412.40356925282208</v>
      </c>
      <c r="AJ321" s="30">
        <f t="shared" si="136"/>
        <v>483.28543271815084</v>
      </c>
      <c r="AK321" s="30">
        <f t="shared" si="136"/>
        <v>563.83300483784262</v>
      </c>
      <c r="AL321" s="30">
        <f t="shared" si="136"/>
        <v>644.38057695753446</v>
      </c>
      <c r="AM321" s="30">
        <f t="shared" si="136"/>
        <v>773.25669234904137</v>
      </c>
      <c r="AN321" s="30">
        <f t="shared" si="136"/>
        <v>902.13280774054829</v>
      </c>
      <c r="AO321" s="30">
        <f t="shared" si="136"/>
        <v>1031.0089231320551</v>
      </c>
      <c r="AP321" s="30">
        <f t="shared" si="136"/>
        <v>1159.8850385235621</v>
      </c>
      <c r="AQ321" s="30">
        <f t="shared" si="136"/>
        <v>1288.7611539150689</v>
      </c>
      <c r="AR321" s="30">
        <f t="shared" si="136"/>
        <v>1546.5133846980827</v>
      </c>
      <c r="AS321" s="30">
        <f t="shared" si="136"/>
        <v>1804.2656154810966</v>
      </c>
      <c r="AT321" s="30">
        <f t="shared" si="136"/>
        <v>2062.0178462641102</v>
      </c>
      <c r="AU321" s="30">
        <f t="shared" si="136"/>
        <v>2319.7700770471242</v>
      </c>
      <c r="AV321" s="30">
        <f t="shared" si="136"/>
        <v>2577.5223078301378</v>
      </c>
      <c r="AW321" s="30">
        <f t="shared" si="136"/>
        <v>3093.0267693961655</v>
      </c>
      <c r="AX321" s="30">
        <f t="shared" si="136"/>
        <v>3608.5312309621931</v>
      </c>
      <c r="AY321" s="30">
        <f t="shared" si="136"/>
        <v>4124.0356925282204</v>
      </c>
      <c r="AZ321" s="30">
        <f t="shared" si="136"/>
        <v>4639.5401540942485</v>
      </c>
      <c r="BA321" s="30">
        <f t="shared" si="136"/>
        <v>5155.0446156602757</v>
      </c>
      <c r="BB321" s="29">
        <f t="shared" si="136"/>
        <v>10310.089231320551</v>
      </c>
      <c r="BC321" s="30">
        <f t="shared" si="136"/>
        <v>20620.178462641103</v>
      </c>
      <c r="BD321" s="30">
        <f t="shared" si="136"/>
        <v>41240.356925282205</v>
      </c>
      <c r="BE321" s="30">
        <f t="shared" si="136"/>
        <v>82480.713850564411</v>
      </c>
      <c r="BF321" s="30">
        <f t="shared" si="136"/>
        <v>104008.78301379681</v>
      </c>
      <c r="BG321" s="71">
        <f t="shared" si="136"/>
        <v>104008.78301379681</v>
      </c>
      <c r="BH321" s="45"/>
    </row>
    <row r="322" spans="1:60" x14ac:dyDescent="0.25">
      <c r="A322" s="41" t="s">
        <v>18</v>
      </c>
      <c r="B322" s="6">
        <f>'Population by Age - Wikipedia'!D17</f>
        <v>0.13826223457843137</v>
      </c>
      <c r="C322" s="10">
        <f t="shared" si="126"/>
        <v>45704724.704536453</v>
      </c>
      <c r="D322" s="23">
        <f>'AU Infection Rate by Age'!C10</f>
        <v>0.2160903063967031</v>
      </c>
      <c r="E322" s="17"/>
      <c r="F322" s="10"/>
      <c r="G322" s="10"/>
      <c r="H322" s="10"/>
      <c r="I322" s="10"/>
      <c r="J322" s="10"/>
      <c r="K322" s="10"/>
      <c r="L322" s="10"/>
      <c r="M322" s="10"/>
      <c r="N322" s="10"/>
      <c r="O322" s="10"/>
      <c r="P322" s="20">
        <f t="shared" ref="P322:BG322" si="137">P$278*$D$322</f>
        <v>6.7528220748969714</v>
      </c>
      <c r="Q322" s="21">
        <f t="shared" si="137"/>
        <v>13.505644149793943</v>
      </c>
      <c r="R322" s="21">
        <f t="shared" si="137"/>
        <v>27.011288299587886</v>
      </c>
      <c r="S322" s="21">
        <f t="shared" si="137"/>
        <v>54.022576599175771</v>
      </c>
      <c r="T322" s="21">
        <f t="shared" si="137"/>
        <v>108.04515319835154</v>
      </c>
      <c r="U322" s="21">
        <f t="shared" si="137"/>
        <v>216.09030639670308</v>
      </c>
      <c r="V322" s="21">
        <f t="shared" si="137"/>
        <v>432.18061279340617</v>
      </c>
      <c r="W322" s="21">
        <f t="shared" si="137"/>
        <v>864.36122558681234</v>
      </c>
      <c r="X322" s="21">
        <f t="shared" si="137"/>
        <v>1728.7224511736247</v>
      </c>
      <c r="Y322" s="21">
        <f t="shared" si="137"/>
        <v>3457.4449023472494</v>
      </c>
      <c r="Z322" s="21">
        <f t="shared" si="137"/>
        <v>6914.8898046944987</v>
      </c>
      <c r="AA322" s="21">
        <f t="shared" si="137"/>
        <v>13829.779609388997</v>
      </c>
      <c r="AB322" s="21">
        <f t="shared" si="137"/>
        <v>27659.559218777995</v>
      </c>
      <c r="AC322" s="21">
        <f t="shared" si="137"/>
        <v>55319.11843755599</v>
      </c>
      <c r="AD322" s="21">
        <f t="shared" si="137"/>
        <v>110638.23687511198</v>
      </c>
      <c r="AE322" s="21">
        <f t="shared" si="137"/>
        <v>138297.79609388998</v>
      </c>
      <c r="AF322" s="21">
        <f t="shared" si="137"/>
        <v>165957.35531266799</v>
      </c>
      <c r="AG322" s="21">
        <f t="shared" si="137"/>
        <v>193616.91453144597</v>
      </c>
      <c r="AH322" s="21">
        <f t="shared" si="137"/>
        <v>221276.47375022396</v>
      </c>
      <c r="AI322" s="21">
        <f t="shared" si="137"/>
        <v>283233.88640028669</v>
      </c>
      <c r="AJ322" s="21">
        <f t="shared" si="137"/>
        <v>331914.71062533598</v>
      </c>
      <c r="AK322" s="21">
        <f t="shared" si="137"/>
        <v>387233.82906289195</v>
      </c>
      <c r="AL322" s="21">
        <f t="shared" si="137"/>
        <v>442552.94750044792</v>
      </c>
      <c r="AM322" s="21">
        <f t="shared" si="137"/>
        <v>531063.5370005375</v>
      </c>
      <c r="AN322" s="21">
        <f t="shared" si="137"/>
        <v>619574.12650062714</v>
      </c>
      <c r="AO322" s="21">
        <f t="shared" si="137"/>
        <v>708084.71600071667</v>
      </c>
      <c r="AP322" s="21">
        <f t="shared" si="137"/>
        <v>796595.30550080631</v>
      </c>
      <c r="AQ322" s="21">
        <f t="shared" si="137"/>
        <v>885105.89500089583</v>
      </c>
      <c r="AR322" s="21">
        <f t="shared" si="137"/>
        <v>1062127.074001075</v>
      </c>
      <c r="AS322" s="21">
        <f t="shared" si="137"/>
        <v>1239148.2530012543</v>
      </c>
      <c r="AT322" s="21">
        <f t="shared" si="137"/>
        <v>1416169.4320014333</v>
      </c>
      <c r="AU322" s="21">
        <f t="shared" si="137"/>
        <v>1593190.6110016126</v>
      </c>
      <c r="AV322" s="21">
        <f t="shared" si="137"/>
        <v>1770211.7900017917</v>
      </c>
      <c r="AW322" s="21">
        <f t="shared" si="137"/>
        <v>2124254.14800215</v>
      </c>
      <c r="AX322" s="21">
        <f t="shared" si="137"/>
        <v>2478296.5060025086</v>
      </c>
      <c r="AY322" s="21">
        <f t="shared" si="137"/>
        <v>2832338.8640028667</v>
      </c>
      <c r="AZ322" s="21">
        <f t="shared" si="137"/>
        <v>3186381.2220032252</v>
      </c>
      <c r="BA322" s="21">
        <f t="shared" si="137"/>
        <v>3540423.5800035833</v>
      </c>
      <c r="BB322" s="20">
        <f t="shared" si="137"/>
        <v>7080847.1600071667</v>
      </c>
      <c r="BC322" s="21">
        <f t="shared" si="137"/>
        <v>14161694.320014333</v>
      </c>
      <c r="BD322" s="21">
        <f t="shared" si="137"/>
        <v>28323388.640028667</v>
      </c>
      <c r="BE322" s="21">
        <f t="shared" si="137"/>
        <v>56646777.280057333</v>
      </c>
      <c r="BF322" s="21">
        <f t="shared" si="137"/>
        <v>71432000.179179356</v>
      </c>
      <c r="BG322" s="72">
        <f t="shared" si="137"/>
        <v>71432000.179179356</v>
      </c>
      <c r="BH322" s="45"/>
    </row>
    <row r="323" spans="1:60" x14ac:dyDescent="0.25">
      <c r="A323" s="41"/>
      <c r="B323" s="6"/>
      <c r="C323" s="10"/>
      <c r="D323" s="8"/>
      <c r="E323" s="27">
        <v>2E-3</v>
      </c>
      <c r="F323" s="10"/>
      <c r="G323" s="10"/>
      <c r="H323" s="10"/>
      <c r="I323" s="10"/>
      <c r="J323" s="10"/>
      <c r="K323" s="10"/>
      <c r="L323" s="10"/>
      <c r="M323" s="10"/>
      <c r="N323" s="10"/>
      <c r="O323" s="10"/>
      <c r="P323" s="29">
        <f t="shared" ref="P323:BG323" si="138">P$278*$D$322*$E$323</f>
        <v>1.3505644149793944E-2</v>
      </c>
      <c r="Q323" s="30">
        <f t="shared" si="138"/>
        <v>2.7011288299587887E-2</v>
      </c>
      <c r="R323" s="30">
        <f t="shared" si="138"/>
        <v>5.4022576599175774E-2</v>
      </c>
      <c r="S323" s="30">
        <f t="shared" si="138"/>
        <v>0.10804515319835155</v>
      </c>
      <c r="T323" s="30">
        <f t="shared" si="138"/>
        <v>0.2160903063967031</v>
      </c>
      <c r="U323" s="30">
        <f t="shared" si="138"/>
        <v>0.43218061279340619</v>
      </c>
      <c r="V323" s="30">
        <f t="shared" si="138"/>
        <v>0.86436122558681239</v>
      </c>
      <c r="W323" s="30">
        <f t="shared" si="138"/>
        <v>1.7287224511736248</v>
      </c>
      <c r="X323" s="30">
        <f t="shared" si="138"/>
        <v>3.4574449023472495</v>
      </c>
      <c r="Y323" s="30">
        <f t="shared" si="138"/>
        <v>6.9148898046944991</v>
      </c>
      <c r="Z323" s="30">
        <f t="shared" si="138"/>
        <v>13.829779609388998</v>
      </c>
      <c r="AA323" s="30">
        <f t="shared" si="138"/>
        <v>27.659559218777996</v>
      </c>
      <c r="AB323" s="30">
        <f t="shared" si="138"/>
        <v>55.319118437555993</v>
      </c>
      <c r="AC323" s="30">
        <f t="shared" si="138"/>
        <v>110.63823687511199</v>
      </c>
      <c r="AD323" s="30">
        <f t="shared" si="138"/>
        <v>221.27647375022397</v>
      </c>
      <c r="AE323" s="30">
        <f t="shared" si="138"/>
        <v>276.59559218777997</v>
      </c>
      <c r="AF323" s="30">
        <f t="shared" si="138"/>
        <v>331.914710625336</v>
      </c>
      <c r="AG323" s="30">
        <f t="shared" si="138"/>
        <v>387.23382906289197</v>
      </c>
      <c r="AH323" s="30">
        <f t="shared" si="138"/>
        <v>442.55294750044794</v>
      </c>
      <c r="AI323" s="30">
        <f t="shared" si="138"/>
        <v>566.46777280057336</v>
      </c>
      <c r="AJ323" s="30">
        <f t="shared" si="138"/>
        <v>663.829421250672</v>
      </c>
      <c r="AK323" s="30">
        <f t="shared" si="138"/>
        <v>774.46765812578394</v>
      </c>
      <c r="AL323" s="30">
        <f t="shared" si="138"/>
        <v>885.10589500089588</v>
      </c>
      <c r="AM323" s="30">
        <f t="shared" si="138"/>
        <v>1062.127074001075</v>
      </c>
      <c r="AN323" s="30">
        <f t="shared" si="138"/>
        <v>1239.1482530012543</v>
      </c>
      <c r="AO323" s="30">
        <f t="shared" si="138"/>
        <v>1416.1694320014333</v>
      </c>
      <c r="AP323" s="30">
        <f t="shared" si="138"/>
        <v>1593.1906110016128</v>
      </c>
      <c r="AQ323" s="30">
        <f t="shared" si="138"/>
        <v>1770.2117900017918</v>
      </c>
      <c r="AR323" s="30">
        <f t="shared" si="138"/>
        <v>2124.25414800215</v>
      </c>
      <c r="AS323" s="30">
        <f t="shared" si="138"/>
        <v>2478.2965060025085</v>
      </c>
      <c r="AT323" s="30">
        <f t="shared" si="138"/>
        <v>2832.3388640028666</v>
      </c>
      <c r="AU323" s="30">
        <f t="shared" si="138"/>
        <v>3186.3812220032255</v>
      </c>
      <c r="AV323" s="30">
        <f t="shared" si="138"/>
        <v>3540.4235800035835</v>
      </c>
      <c r="AW323" s="30">
        <f t="shared" si="138"/>
        <v>4248.5082960043001</v>
      </c>
      <c r="AX323" s="30">
        <f t="shared" si="138"/>
        <v>4956.593012005017</v>
      </c>
      <c r="AY323" s="30">
        <f t="shared" si="138"/>
        <v>5664.6777280057331</v>
      </c>
      <c r="AZ323" s="30">
        <f t="shared" si="138"/>
        <v>6372.762444006451</v>
      </c>
      <c r="BA323" s="30">
        <f t="shared" si="138"/>
        <v>7080.8471600071671</v>
      </c>
      <c r="BB323" s="29">
        <f t="shared" si="138"/>
        <v>14161.694320014334</v>
      </c>
      <c r="BC323" s="30">
        <f t="shared" si="138"/>
        <v>28323.388640028668</v>
      </c>
      <c r="BD323" s="30">
        <f t="shared" si="138"/>
        <v>56646.777280057337</v>
      </c>
      <c r="BE323" s="30">
        <f t="shared" si="138"/>
        <v>113293.55456011467</v>
      </c>
      <c r="BF323" s="30">
        <f t="shared" si="138"/>
        <v>142864.00035835872</v>
      </c>
      <c r="BG323" s="71">
        <f t="shared" si="138"/>
        <v>142864.00035835872</v>
      </c>
      <c r="BH323" s="45"/>
    </row>
    <row r="324" spans="1:60" x14ac:dyDescent="0.25">
      <c r="A324" s="42" t="s">
        <v>19</v>
      </c>
      <c r="B324" s="6">
        <f>'Population by Age - Wikipedia'!D13</f>
        <v>0.13835839467257338</v>
      </c>
      <c r="C324" s="10">
        <f t="shared" si="126"/>
        <v>45736511.914136559</v>
      </c>
      <c r="D324" s="23">
        <f>'AU Infection Rate by Age'!C11</f>
        <v>2.8847876724601325E-2</v>
      </c>
      <c r="E324" s="17"/>
      <c r="F324" s="10"/>
      <c r="G324" s="10"/>
      <c r="H324" s="10"/>
      <c r="I324" s="10"/>
      <c r="J324" s="10"/>
      <c r="K324" s="10"/>
      <c r="L324" s="10"/>
      <c r="M324" s="10"/>
      <c r="N324" s="10"/>
      <c r="O324" s="10"/>
      <c r="P324" s="20">
        <f t="shared" ref="P324:BG324" si="139">P$278*$D$324</f>
        <v>0.90149614764379138</v>
      </c>
      <c r="Q324" s="21">
        <f t="shared" si="139"/>
        <v>1.8029922952875828</v>
      </c>
      <c r="R324" s="21">
        <f t="shared" si="139"/>
        <v>3.6059845905751655</v>
      </c>
      <c r="S324" s="21">
        <f t="shared" si="139"/>
        <v>7.211969181150331</v>
      </c>
      <c r="T324" s="21">
        <f t="shared" si="139"/>
        <v>14.423938362300662</v>
      </c>
      <c r="U324" s="21">
        <f t="shared" si="139"/>
        <v>28.847876724601324</v>
      </c>
      <c r="V324" s="21">
        <f t="shared" si="139"/>
        <v>57.695753449202648</v>
      </c>
      <c r="W324" s="21">
        <f t="shared" si="139"/>
        <v>115.3915068984053</v>
      </c>
      <c r="X324" s="21">
        <f t="shared" si="139"/>
        <v>230.78301379681059</v>
      </c>
      <c r="Y324" s="21">
        <f t="shared" si="139"/>
        <v>461.56602759362119</v>
      </c>
      <c r="Z324" s="21">
        <f t="shared" si="139"/>
        <v>923.13205518724237</v>
      </c>
      <c r="AA324" s="21">
        <f t="shared" si="139"/>
        <v>1846.2641103744847</v>
      </c>
      <c r="AB324" s="21">
        <f t="shared" si="139"/>
        <v>3692.5282207489695</v>
      </c>
      <c r="AC324" s="21">
        <f t="shared" si="139"/>
        <v>7385.056441497939</v>
      </c>
      <c r="AD324" s="21">
        <f t="shared" si="139"/>
        <v>14770.112882995878</v>
      </c>
      <c r="AE324" s="21">
        <f t="shared" si="139"/>
        <v>18462.641103744849</v>
      </c>
      <c r="AF324" s="21">
        <f t="shared" si="139"/>
        <v>22155.169324493818</v>
      </c>
      <c r="AG324" s="21">
        <f t="shared" si="139"/>
        <v>25847.697545242787</v>
      </c>
      <c r="AH324" s="21">
        <f t="shared" si="139"/>
        <v>29540.225765991756</v>
      </c>
      <c r="AI324" s="21">
        <f t="shared" si="139"/>
        <v>37811.488980469447</v>
      </c>
      <c r="AJ324" s="21">
        <f t="shared" si="139"/>
        <v>44310.338648987636</v>
      </c>
      <c r="AK324" s="21">
        <f t="shared" si="139"/>
        <v>51695.395090485574</v>
      </c>
      <c r="AL324" s="21">
        <f t="shared" si="139"/>
        <v>59080.451531983512</v>
      </c>
      <c r="AM324" s="21">
        <f t="shared" si="139"/>
        <v>70896.541838380217</v>
      </c>
      <c r="AN324" s="21">
        <f t="shared" si="139"/>
        <v>82712.632144776915</v>
      </c>
      <c r="AO324" s="21">
        <f t="shared" si="139"/>
        <v>94528.722451173628</v>
      </c>
      <c r="AP324" s="21">
        <f t="shared" si="139"/>
        <v>106344.81275757033</v>
      </c>
      <c r="AQ324" s="21">
        <f t="shared" si="139"/>
        <v>118160.90306396702</v>
      </c>
      <c r="AR324" s="21">
        <f t="shared" si="139"/>
        <v>141793.08367676043</v>
      </c>
      <c r="AS324" s="21">
        <f t="shared" si="139"/>
        <v>165425.26428955383</v>
      </c>
      <c r="AT324" s="21">
        <f t="shared" si="139"/>
        <v>189057.44490234726</v>
      </c>
      <c r="AU324" s="21">
        <f t="shared" si="139"/>
        <v>212689.62551514065</v>
      </c>
      <c r="AV324" s="21">
        <f t="shared" si="139"/>
        <v>236321.80612793405</v>
      </c>
      <c r="AW324" s="21">
        <f t="shared" si="139"/>
        <v>283586.16735352087</v>
      </c>
      <c r="AX324" s="21">
        <f t="shared" si="139"/>
        <v>330850.52857910766</v>
      </c>
      <c r="AY324" s="21">
        <f t="shared" si="139"/>
        <v>378114.88980469451</v>
      </c>
      <c r="AZ324" s="21">
        <f t="shared" si="139"/>
        <v>425379.2510302813</v>
      </c>
      <c r="BA324" s="21">
        <f t="shared" si="139"/>
        <v>472643.61225586809</v>
      </c>
      <c r="BB324" s="20">
        <f t="shared" si="139"/>
        <v>945287.22451173619</v>
      </c>
      <c r="BC324" s="21">
        <f t="shared" si="139"/>
        <v>1890574.4490234724</v>
      </c>
      <c r="BD324" s="21">
        <f t="shared" si="139"/>
        <v>3781148.8980469448</v>
      </c>
      <c r="BE324" s="21">
        <f t="shared" si="139"/>
        <v>7562297.7960938895</v>
      </c>
      <c r="BF324" s="21">
        <f t="shared" si="139"/>
        <v>9536112.7934061997</v>
      </c>
      <c r="BG324" s="72">
        <f t="shared" si="139"/>
        <v>9536112.7934061997</v>
      </c>
      <c r="BH324" s="45"/>
    </row>
    <row r="325" spans="1:60" x14ac:dyDescent="0.25">
      <c r="A325" s="42"/>
      <c r="B325" s="6"/>
      <c r="C325" s="10"/>
      <c r="D325" s="8"/>
      <c r="E325" s="27">
        <v>2E-3</v>
      </c>
      <c r="F325" s="10"/>
      <c r="G325" s="10"/>
      <c r="H325" s="10"/>
      <c r="I325" s="10"/>
      <c r="J325" s="10"/>
      <c r="K325" s="10"/>
      <c r="L325" s="10"/>
      <c r="M325" s="10"/>
      <c r="N325" s="10"/>
      <c r="O325" s="10"/>
      <c r="P325" s="29">
        <f t="shared" ref="P325:BG325" si="140">P$278*$D$324*$E$325</f>
        <v>1.8029922952875828E-3</v>
      </c>
      <c r="Q325" s="30">
        <f t="shared" si="140"/>
        <v>3.6059845905751656E-3</v>
      </c>
      <c r="R325" s="30">
        <f t="shared" si="140"/>
        <v>7.2119691811503312E-3</v>
      </c>
      <c r="S325" s="30">
        <f t="shared" si="140"/>
        <v>1.4423938362300662E-2</v>
      </c>
      <c r="T325" s="30">
        <f t="shared" si="140"/>
        <v>2.8847876724601325E-2</v>
      </c>
      <c r="U325" s="30">
        <f t="shared" si="140"/>
        <v>5.769575344920265E-2</v>
      </c>
      <c r="V325" s="30">
        <f t="shared" si="140"/>
        <v>0.1153915068984053</v>
      </c>
      <c r="W325" s="30">
        <f t="shared" si="140"/>
        <v>0.2307830137968106</v>
      </c>
      <c r="X325" s="30">
        <f t="shared" si="140"/>
        <v>0.4615660275936212</v>
      </c>
      <c r="Y325" s="30">
        <f t="shared" si="140"/>
        <v>0.9231320551872424</v>
      </c>
      <c r="Z325" s="30">
        <f t="shared" si="140"/>
        <v>1.8462641103744848</v>
      </c>
      <c r="AA325" s="30">
        <f t="shared" si="140"/>
        <v>3.6925282207489696</v>
      </c>
      <c r="AB325" s="30">
        <f t="shared" si="140"/>
        <v>7.3850564414979392</v>
      </c>
      <c r="AC325" s="30">
        <f t="shared" si="140"/>
        <v>14.770112882995878</v>
      </c>
      <c r="AD325" s="30">
        <f t="shared" si="140"/>
        <v>29.540225765991757</v>
      </c>
      <c r="AE325" s="30">
        <f t="shared" si="140"/>
        <v>36.925282207489701</v>
      </c>
      <c r="AF325" s="30">
        <f t="shared" si="140"/>
        <v>44.310338648987639</v>
      </c>
      <c r="AG325" s="30">
        <f t="shared" si="140"/>
        <v>51.695395090485576</v>
      </c>
      <c r="AH325" s="30">
        <f t="shared" si="140"/>
        <v>59.080451531983513</v>
      </c>
      <c r="AI325" s="30">
        <f t="shared" si="140"/>
        <v>75.622977960938897</v>
      </c>
      <c r="AJ325" s="30">
        <f t="shared" si="140"/>
        <v>88.620677297975277</v>
      </c>
      <c r="AK325" s="30">
        <f t="shared" si="140"/>
        <v>103.39079018097115</v>
      </c>
      <c r="AL325" s="30">
        <f t="shared" si="140"/>
        <v>118.16090306396703</v>
      </c>
      <c r="AM325" s="30">
        <f t="shared" si="140"/>
        <v>141.79308367676043</v>
      </c>
      <c r="AN325" s="30">
        <f t="shared" si="140"/>
        <v>165.42526428955384</v>
      </c>
      <c r="AO325" s="30">
        <f t="shared" si="140"/>
        <v>189.05744490234727</v>
      </c>
      <c r="AP325" s="30">
        <f t="shared" si="140"/>
        <v>212.68962551514065</v>
      </c>
      <c r="AQ325" s="30">
        <f t="shared" si="140"/>
        <v>236.32180612793405</v>
      </c>
      <c r="AR325" s="30">
        <f t="shared" si="140"/>
        <v>283.58616735352086</v>
      </c>
      <c r="AS325" s="30">
        <f t="shared" si="140"/>
        <v>330.85052857910767</v>
      </c>
      <c r="AT325" s="30">
        <f t="shared" si="140"/>
        <v>378.11488980469454</v>
      </c>
      <c r="AU325" s="30">
        <f t="shared" si="140"/>
        <v>425.3792510302813</v>
      </c>
      <c r="AV325" s="30">
        <f t="shared" si="140"/>
        <v>472.64361225586811</v>
      </c>
      <c r="AW325" s="30">
        <f t="shared" si="140"/>
        <v>567.17233470704173</v>
      </c>
      <c r="AX325" s="30">
        <f t="shared" si="140"/>
        <v>661.70105715821535</v>
      </c>
      <c r="AY325" s="30">
        <f t="shared" si="140"/>
        <v>756.22977960938908</v>
      </c>
      <c r="AZ325" s="30">
        <f t="shared" si="140"/>
        <v>850.75850206056259</v>
      </c>
      <c r="BA325" s="30">
        <f t="shared" si="140"/>
        <v>945.28722451173621</v>
      </c>
      <c r="BB325" s="29">
        <f t="shared" si="140"/>
        <v>1890.5744490234724</v>
      </c>
      <c r="BC325" s="30">
        <f t="shared" si="140"/>
        <v>3781.1488980469449</v>
      </c>
      <c r="BD325" s="30">
        <f t="shared" si="140"/>
        <v>7562.2977960938897</v>
      </c>
      <c r="BE325" s="30">
        <f t="shared" si="140"/>
        <v>15124.595592187779</v>
      </c>
      <c r="BF325" s="30">
        <f t="shared" si="140"/>
        <v>19072.225586812401</v>
      </c>
      <c r="BG325" s="71">
        <f t="shared" si="140"/>
        <v>19072.225586812401</v>
      </c>
      <c r="BH325" s="45"/>
    </row>
    <row r="326" spans="1:60" x14ac:dyDescent="0.25">
      <c r="A326" s="42" t="s">
        <v>20</v>
      </c>
      <c r="B326" s="6">
        <f>'Population by Age - Wikipedia'!D9</f>
        <v>0.13133799200038965</v>
      </c>
      <c r="C326" s="10">
        <f t="shared" si="126"/>
        <v>43415808.994604804</v>
      </c>
      <c r="D326" s="23">
        <f>'AU Infection Rate by Age'!C12</f>
        <v>9.8548647195843032E-3</v>
      </c>
      <c r="E326" s="17"/>
      <c r="F326" s="10"/>
      <c r="G326" s="10"/>
      <c r="H326" s="10"/>
      <c r="I326" s="10"/>
      <c r="J326" s="10"/>
      <c r="K326" s="10"/>
      <c r="L326" s="10"/>
      <c r="M326" s="10"/>
      <c r="N326" s="10"/>
      <c r="O326" s="10"/>
      <c r="P326" s="20">
        <f t="shared" ref="P326:BG326" si="141">P$278*$D$326</f>
        <v>0.30796452248700945</v>
      </c>
      <c r="Q326" s="21">
        <f t="shared" si="141"/>
        <v>0.6159290449740189</v>
      </c>
      <c r="R326" s="21">
        <f t="shared" si="141"/>
        <v>1.2318580899480378</v>
      </c>
      <c r="S326" s="21">
        <f t="shared" si="141"/>
        <v>2.4637161798960756</v>
      </c>
      <c r="T326" s="21">
        <f t="shared" si="141"/>
        <v>4.9274323597921512</v>
      </c>
      <c r="U326" s="21">
        <f t="shared" si="141"/>
        <v>9.8548647195843024</v>
      </c>
      <c r="V326" s="21">
        <f t="shared" si="141"/>
        <v>19.709729439168605</v>
      </c>
      <c r="W326" s="21">
        <f t="shared" si="141"/>
        <v>39.41945887833721</v>
      </c>
      <c r="X326" s="21">
        <f t="shared" si="141"/>
        <v>78.838917756674419</v>
      </c>
      <c r="Y326" s="21">
        <f t="shared" si="141"/>
        <v>157.67783551334884</v>
      </c>
      <c r="Z326" s="21">
        <f t="shared" si="141"/>
        <v>315.35567102669768</v>
      </c>
      <c r="AA326" s="21">
        <f t="shared" si="141"/>
        <v>630.71134205339536</v>
      </c>
      <c r="AB326" s="21">
        <f t="shared" si="141"/>
        <v>1261.4226841067907</v>
      </c>
      <c r="AC326" s="21">
        <f t="shared" si="141"/>
        <v>2522.8453682135814</v>
      </c>
      <c r="AD326" s="21">
        <f t="shared" si="141"/>
        <v>5045.6907364271628</v>
      </c>
      <c r="AE326" s="21">
        <f t="shared" si="141"/>
        <v>6307.113420533954</v>
      </c>
      <c r="AF326" s="21">
        <f t="shared" si="141"/>
        <v>7568.5361046407452</v>
      </c>
      <c r="AG326" s="21">
        <f t="shared" si="141"/>
        <v>8829.9587887475354</v>
      </c>
      <c r="AH326" s="21">
        <f t="shared" si="141"/>
        <v>10091.381472854326</v>
      </c>
      <c r="AI326" s="21">
        <f t="shared" si="141"/>
        <v>12916.968285253537</v>
      </c>
      <c r="AJ326" s="21">
        <f t="shared" si="141"/>
        <v>15137.07220928149</v>
      </c>
      <c r="AK326" s="21">
        <f t="shared" si="141"/>
        <v>17659.917577495071</v>
      </c>
      <c r="AL326" s="21">
        <f t="shared" si="141"/>
        <v>20182.762945708651</v>
      </c>
      <c r="AM326" s="21">
        <f t="shared" si="141"/>
        <v>24219.315534850382</v>
      </c>
      <c r="AN326" s="21">
        <f t="shared" si="141"/>
        <v>28255.868123992113</v>
      </c>
      <c r="AO326" s="21">
        <f t="shared" si="141"/>
        <v>32292.420713133844</v>
      </c>
      <c r="AP326" s="21">
        <f t="shared" si="141"/>
        <v>36328.973302275575</v>
      </c>
      <c r="AQ326" s="21">
        <f t="shared" si="141"/>
        <v>40365.525891417303</v>
      </c>
      <c r="AR326" s="21">
        <f t="shared" si="141"/>
        <v>48438.631069700765</v>
      </c>
      <c r="AS326" s="21">
        <f t="shared" si="141"/>
        <v>56511.736247984227</v>
      </c>
      <c r="AT326" s="21">
        <f t="shared" si="141"/>
        <v>64584.841426267689</v>
      </c>
      <c r="AU326" s="21">
        <f t="shared" si="141"/>
        <v>72657.946604551151</v>
      </c>
      <c r="AV326" s="21">
        <f t="shared" si="141"/>
        <v>80731.051782834606</v>
      </c>
      <c r="AW326" s="21">
        <f t="shared" si="141"/>
        <v>96877.26213940153</v>
      </c>
      <c r="AX326" s="21">
        <f t="shared" si="141"/>
        <v>113023.47249596845</v>
      </c>
      <c r="AY326" s="21">
        <f t="shared" si="141"/>
        <v>129169.68285253538</v>
      </c>
      <c r="AZ326" s="21">
        <f t="shared" si="141"/>
        <v>145315.8932091023</v>
      </c>
      <c r="BA326" s="21">
        <f t="shared" si="141"/>
        <v>161462.10356566921</v>
      </c>
      <c r="BB326" s="20">
        <f t="shared" si="141"/>
        <v>322924.20713133842</v>
      </c>
      <c r="BC326" s="21">
        <f t="shared" si="141"/>
        <v>645848.41426267684</v>
      </c>
      <c r="BD326" s="21">
        <f t="shared" si="141"/>
        <v>1291696.8285253537</v>
      </c>
      <c r="BE326" s="21">
        <f t="shared" si="141"/>
        <v>2583393.6570507074</v>
      </c>
      <c r="BF326" s="21">
        <f t="shared" si="141"/>
        <v>3257678.2834617449</v>
      </c>
      <c r="BG326" s="72">
        <f t="shared" si="141"/>
        <v>3257678.2834617449</v>
      </c>
      <c r="BH326" s="45"/>
    </row>
    <row r="327" spans="1:60" x14ac:dyDescent="0.25">
      <c r="A327" s="42"/>
      <c r="B327" s="7"/>
      <c r="C327" s="11"/>
      <c r="D327" s="26"/>
      <c r="E327" s="28">
        <v>0</v>
      </c>
      <c r="F327" s="10"/>
      <c r="G327" s="10"/>
      <c r="H327" s="10"/>
      <c r="I327" s="10"/>
      <c r="J327" s="10"/>
      <c r="K327" s="10"/>
      <c r="L327" s="10"/>
      <c r="M327" s="10"/>
      <c r="N327" s="10"/>
      <c r="O327" s="10"/>
      <c r="P327" s="31">
        <f t="shared" ref="P327:BG327" si="142">P$278*$D$326*$E$327</f>
        <v>0</v>
      </c>
      <c r="Q327" s="32">
        <f t="shared" si="142"/>
        <v>0</v>
      </c>
      <c r="R327" s="32">
        <f t="shared" si="142"/>
        <v>0</v>
      </c>
      <c r="S327" s="32">
        <f t="shared" si="142"/>
        <v>0</v>
      </c>
      <c r="T327" s="32">
        <f t="shared" si="142"/>
        <v>0</v>
      </c>
      <c r="U327" s="32">
        <f t="shared" si="142"/>
        <v>0</v>
      </c>
      <c r="V327" s="32">
        <f t="shared" si="142"/>
        <v>0</v>
      </c>
      <c r="W327" s="32">
        <f t="shared" si="142"/>
        <v>0</v>
      </c>
      <c r="X327" s="32">
        <f t="shared" si="142"/>
        <v>0</v>
      </c>
      <c r="Y327" s="32">
        <f t="shared" si="142"/>
        <v>0</v>
      </c>
      <c r="Z327" s="32">
        <f t="shared" si="142"/>
        <v>0</v>
      </c>
      <c r="AA327" s="32">
        <f t="shared" si="142"/>
        <v>0</v>
      </c>
      <c r="AB327" s="32">
        <f t="shared" si="142"/>
        <v>0</v>
      </c>
      <c r="AC327" s="32">
        <f t="shared" si="142"/>
        <v>0</v>
      </c>
      <c r="AD327" s="32">
        <f t="shared" si="142"/>
        <v>0</v>
      </c>
      <c r="AE327" s="32">
        <f t="shared" si="142"/>
        <v>0</v>
      </c>
      <c r="AF327" s="32">
        <f t="shared" si="142"/>
        <v>0</v>
      </c>
      <c r="AG327" s="32">
        <f t="shared" si="142"/>
        <v>0</v>
      </c>
      <c r="AH327" s="32">
        <f t="shared" si="142"/>
        <v>0</v>
      </c>
      <c r="AI327" s="32">
        <f t="shared" si="142"/>
        <v>0</v>
      </c>
      <c r="AJ327" s="32">
        <f t="shared" si="142"/>
        <v>0</v>
      </c>
      <c r="AK327" s="32">
        <f t="shared" si="142"/>
        <v>0</v>
      </c>
      <c r="AL327" s="32">
        <f t="shared" si="142"/>
        <v>0</v>
      </c>
      <c r="AM327" s="32">
        <f t="shared" si="142"/>
        <v>0</v>
      </c>
      <c r="AN327" s="32">
        <f t="shared" si="142"/>
        <v>0</v>
      </c>
      <c r="AO327" s="32">
        <f t="shared" si="142"/>
        <v>0</v>
      </c>
      <c r="AP327" s="32">
        <f t="shared" si="142"/>
        <v>0</v>
      </c>
      <c r="AQ327" s="32">
        <f t="shared" si="142"/>
        <v>0</v>
      </c>
      <c r="AR327" s="32">
        <f t="shared" si="142"/>
        <v>0</v>
      </c>
      <c r="AS327" s="32">
        <f t="shared" si="142"/>
        <v>0</v>
      </c>
      <c r="AT327" s="32">
        <f t="shared" si="142"/>
        <v>0</v>
      </c>
      <c r="AU327" s="32">
        <f t="shared" si="142"/>
        <v>0</v>
      </c>
      <c r="AV327" s="32">
        <f t="shared" si="142"/>
        <v>0</v>
      </c>
      <c r="AW327" s="32">
        <f t="shared" si="142"/>
        <v>0</v>
      </c>
      <c r="AX327" s="32">
        <f t="shared" si="142"/>
        <v>0</v>
      </c>
      <c r="AY327" s="32">
        <f t="shared" si="142"/>
        <v>0</v>
      </c>
      <c r="AZ327" s="32">
        <f t="shared" si="142"/>
        <v>0</v>
      </c>
      <c r="BA327" s="32">
        <f t="shared" si="142"/>
        <v>0</v>
      </c>
      <c r="BB327" s="29">
        <f t="shared" si="142"/>
        <v>0</v>
      </c>
      <c r="BC327" s="30">
        <f t="shared" si="142"/>
        <v>0</v>
      </c>
      <c r="BD327" s="30">
        <f t="shared" si="142"/>
        <v>0</v>
      </c>
      <c r="BE327" s="30">
        <f t="shared" si="142"/>
        <v>0</v>
      </c>
      <c r="BF327" s="30">
        <f t="shared" si="142"/>
        <v>0</v>
      </c>
      <c r="BG327" s="71">
        <f t="shared" si="142"/>
        <v>0</v>
      </c>
      <c r="BH327" s="45"/>
    </row>
    <row r="328" spans="1:60" x14ac:dyDescent="0.25">
      <c r="A328" s="41" t="s">
        <v>39</v>
      </c>
      <c r="B328" s="14"/>
      <c r="C328" s="10"/>
      <c r="D328" s="10"/>
      <c r="E328" s="15"/>
      <c r="F328" s="10"/>
      <c r="G328" s="10"/>
      <c r="H328" s="10"/>
      <c r="I328" s="10"/>
      <c r="J328" s="10"/>
      <c r="K328" s="10"/>
      <c r="L328" s="10"/>
      <c r="M328" s="10"/>
      <c r="N328" s="10"/>
      <c r="O328" s="10"/>
      <c r="P328" s="18">
        <f t="shared" ref="P328:AP328" si="143">SUM(P310,P312,P314,P316,P318,P320,P322,P324,P326)</f>
        <v>31.249999999999996</v>
      </c>
      <c r="Q328" s="19">
        <f t="shared" si="143"/>
        <v>62.499999999999993</v>
      </c>
      <c r="R328" s="19">
        <f t="shared" si="143"/>
        <v>124.99999999999999</v>
      </c>
      <c r="S328" s="19">
        <f t="shared" si="143"/>
        <v>249.99999999999997</v>
      </c>
      <c r="T328" s="19">
        <f t="shared" si="143"/>
        <v>499.99999999999994</v>
      </c>
      <c r="U328" s="19">
        <f>SUM(U310,U312,U314,U316,U318,U320,U322,U324,U326)</f>
        <v>999.99999999999989</v>
      </c>
      <c r="V328" s="19">
        <f t="shared" si="143"/>
        <v>1999.9999999999998</v>
      </c>
      <c r="W328" s="19">
        <f t="shared" si="143"/>
        <v>3999.9999999999995</v>
      </c>
      <c r="X328" s="19">
        <f t="shared" si="143"/>
        <v>7999.9999999999991</v>
      </c>
      <c r="Y328" s="19">
        <f t="shared" si="143"/>
        <v>15999.999999999998</v>
      </c>
      <c r="Z328" s="19">
        <f t="shared" si="143"/>
        <v>31999.999999999996</v>
      </c>
      <c r="AA328" s="19">
        <f t="shared" si="143"/>
        <v>63999.999999999993</v>
      </c>
      <c r="AB328" s="19">
        <f t="shared" si="143"/>
        <v>127999.99999999999</v>
      </c>
      <c r="AC328" s="19">
        <f t="shared" si="143"/>
        <v>255999.99999999997</v>
      </c>
      <c r="AD328" s="19">
        <f t="shared" si="143"/>
        <v>511999.99999999994</v>
      </c>
      <c r="AE328" s="19">
        <f t="shared" ref="AE328:AG328" si="144">SUM(AE310,AE312,AE314,AE316,AE318,AE320,AE322,AE324,AE326)</f>
        <v>640000</v>
      </c>
      <c r="AF328" s="19">
        <f t="shared" si="144"/>
        <v>768000</v>
      </c>
      <c r="AG328" s="19">
        <f t="shared" si="144"/>
        <v>895999.99999999988</v>
      </c>
      <c r="AH328" s="19">
        <f t="shared" si="143"/>
        <v>1023999.9999999999</v>
      </c>
      <c r="AI328" s="19">
        <f t="shared" ref="AI328:AK328" si="145">SUM(AI310,AI312,AI314,AI316,AI318,AI320,AI322,AI324,AI326)</f>
        <v>1310720</v>
      </c>
      <c r="AJ328" s="19">
        <f t="shared" si="145"/>
        <v>1536000</v>
      </c>
      <c r="AK328" s="19">
        <f t="shared" si="145"/>
        <v>1791999.9999999998</v>
      </c>
      <c r="AL328" s="19">
        <f t="shared" si="143"/>
        <v>2047999.9999999998</v>
      </c>
      <c r="AM328" s="19">
        <f t="shared" si="143"/>
        <v>2457600</v>
      </c>
      <c r="AN328" s="19">
        <f t="shared" si="143"/>
        <v>2867200</v>
      </c>
      <c r="AO328" s="19">
        <f t="shared" si="143"/>
        <v>3276799.9999999995</v>
      </c>
      <c r="AP328" s="19">
        <f t="shared" si="143"/>
        <v>3686400</v>
      </c>
      <c r="AQ328" s="19">
        <f t="shared" ref="AQ328:BA329" si="146">SUM(AQ310,AQ312,AQ314,AQ316,AQ318,AQ320,AQ322,AQ324,AQ326)</f>
        <v>4095999.9999999995</v>
      </c>
      <c r="AR328" s="19">
        <f t="shared" ref="AR328:AU328" si="147">SUM(AR310,AR312,AR314,AR316,AR318,AR320,AR322,AR324,AR326)</f>
        <v>4915200</v>
      </c>
      <c r="AS328" s="19">
        <f t="shared" si="147"/>
        <v>5734400</v>
      </c>
      <c r="AT328" s="19">
        <f t="shared" si="147"/>
        <v>6553599.9999999991</v>
      </c>
      <c r="AU328" s="19">
        <f t="shared" si="147"/>
        <v>7372800</v>
      </c>
      <c r="AV328" s="19">
        <f t="shared" si="146"/>
        <v>8191999.9999999991</v>
      </c>
      <c r="AW328" s="19">
        <f t="shared" ref="AW328:AZ328" si="148">SUM(AW310,AW312,AW314,AW316,AW318,AW320,AW322,AW324,AW326)</f>
        <v>9830400</v>
      </c>
      <c r="AX328" s="19">
        <f t="shared" si="148"/>
        <v>11468800</v>
      </c>
      <c r="AY328" s="19">
        <f t="shared" si="148"/>
        <v>13107199.999999998</v>
      </c>
      <c r="AZ328" s="19">
        <f t="shared" si="148"/>
        <v>14745600</v>
      </c>
      <c r="BA328" s="19">
        <f t="shared" si="146"/>
        <v>16383999.999999998</v>
      </c>
      <c r="BB328" s="18">
        <f t="shared" ref="BB328:BG328" si="149">SUM(BB310,BB312,BB314,BB316,BB318,BB320,BB322,BB324,BB326)</f>
        <v>32767999.999999996</v>
      </c>
      <c r="BC328" s="19">
        <f t="shared" si="149"/>
        <v>65535999.999999993</v>
      </c>
      <c r="BD328" s="19">
        <f t="shared" si="149"/>
        <v>131071999.99999999</v>
      </c>
      <c r="BE328" s="19">
        <f t="shared" si="149"/>
        <v>262143999.99999997</v>
      </c>
      <c r="BF328" s="19">
        <f t="shared" si="149"/>
        <v>330565499.99999994</v>
      </c>
      <c r="BG328" s="60">
        <f t="shared" si="149"/>
        <v>330565499.99999994</v>
      </c>
      <c r="BH328" s="45"/>
    </row>
    <row r="329" spans="1:60" x14ac:dyDescent="0.25">
      <c r="A329" s="43" t="s">
        <v>38</v>
      </c>
      <c r="B329" s="44"/>
      <c r="C329" s="11"/>
      <c r="D329" s="11"/>
      <c r="E329" s="38"/>
      <c r="F329" s="11"/>
      <c r="G329" s="11"/>
      <c r="H329" s="11"/>
      <c r="I329" s="11"/>
      <c r="J329" s="11"/>
      <c r="K329" s="11"/>
      <c r="L329" s="11"/>
      <c r="M329" s="11"/>
      <c r="N329" s="11"/>
      <c r="O329" s="11"/>
      <c r="P329" s="31">
        <f>SUM(P311,P313,P315,P317,P319,P321,P323,P325,P327)</f>
        <v>0.69269060204264477</v>
      </c>
      <c r="Q329" s="32">
        <f>SUM(Q311,Q313,Q315,Q317,Q319,Q321,Q323,Q325,Q327)</f>
        <v>1.3853812040852895</v>
      </c>
      <c r="R329" s="32">
        <f t="shared" ref="R329:AP329" si="150">SUM(R311,R313,R315,R317,R319,R321,R323,R325,R327)</f>
        <v>2.7707624081705791</v>
      </c>
      <c r="S329" s="32">
        <f t="shared" si="150"/>
        <v>5.5415248163411581</v>
      </c>
      <c r="T329" s="32">
        <f t="shared" si="150"/>
        <v>11.083049632682316</v>
      </c>
      <c r="U329" s="32">
        <f t="shared" si="150"/>
        <v>22.166099265364632</v>
      </c>
      <c r="V329" s="32">
        <f t="shared" si="150"/>
        <v>44.332198530729265</v>
      </c>
      <c r="W329" s="32">
        <f t="shared" si="150"/>
        <v>88.66439706145853</v>
      </c>
      <c r="X329" s="32">
        <f t="shared" si="150"/>
        <v>177.32879412291706</v>
      </c>
      <c r="Y329" s="32">
        <f t="shared" si="150"/>
        <v>354.65758824583412</v>
      </c>
      <c r="Z329" s="32">
        <f t="shared" si="150"/>
        <v>709.31517649166824</v>
      </c>
      <c r="AA329" s="32">
        <f t="shared" si="150"/>
        <v>1418.6303529833365</v>
      </c>
      <c r="AB329" s="32">
        <f t="shared" si="150"/>
        <v>2837.260705966673</v>
      </c>
      <c r="AC329" s="32">
        <f t="shared" si="150"/>
        <v>5674.5214119333459</v>
      </c>
      <c r="AD329" s="32">
        <f t="shared" si="150"/>
        <v>11349.042823866692</v>
      </c>
      <c r="AE329" s="32">
        <f t="shared" ref="AE329:AG329" si="151">SUM(AE311,AE313,AE315,AE317,AE319,AE321,AE323,AE325,AE327)</f>
        <v>14186.303529833365</v>
      </c>
      <c r="AF329" s="32">
        <f t="shared" si="151"/>
        <v>17023.564235800037</v>
      </c>
      <c r="AG329" s="32">
        <f t="shared" si="151"/>
        <v>19860.824941766703</v>
      </c>
      <c r="AH329" s="32">
        <f t="shared" si="150"/>
        <v>22698.085647733384</v>
      </c>
      <c r="AI329" s="32">
        <f t="shared" ref="AI329:AK329" si="152">SUM(AI311,AI313,AI315,AI317,AI319,AI321,AI323,AI325,AI327)</f>
        <v>29053.549629098728</v>
      </c>
      <c r="AJ329" s="32">
        <f t="shared" si="152"/>
        <v>34047.128471600074</v>
      </c>
      <c r="AK329" s="32">
        <f t="shared" si="152"/>
        <v>39721.649883533406</v>
      </c>
      <c r="AL329" s="32">
        <f t="shared" si="150"/>
        <v>45396.171295466767</v>
      </c>
      <c r="AM329" s="32">
        <f t="shared" si="150"/>
        <v>54475.405554560122</v>
      </c>
      <c r="AN329" s="32">
        <f t="shared" si="150"/>
        <v>63554.639813653455</v>
      </c>
      <c r="AO329" s="32">
        <f t="shared" si="150"/>
        <v>72633.874072746825</v>
      </c>
      <c r="AP329" s="32">
        <f t="shared" si="150"/>
        <v>81713.108331840151</v>
      </c>
      <c r="AQ329" s="32">
        <f t="shared" si="146"/>
        <v>90792.342590933535</v>
      </c>
      <c r="AR329" s="32">
        <f t="shared" ref="AR329:AU329" si="153">SUM(AR311,AR313,AR315,AR317,AR319,AR321,AR323,AR325,AR327)</f>
        <v>108950.81110912024</v>
      </c>
      <c r="AS329" s="32">
        <f t="shared" si="153"/>
        <v>127109.27962730691</v>
      </c>
      <c r="AT329" s="32">
        <f t="shared" si="153"/>
        <v>145267.74814549365</v>
      </c>
      <c r="AU329" s="32">
        <f t="shared" si="153"/>
        <v>163426.2166636803</v>
      </c>
      <c r="AV329" s="32">
        <f t="shared" si="146"/>
        <v>181584.68518186707</v>
      </c>
      <c r="AW329" s="32">
        <f t="shared" ref="AW329:AZ329" si="154">SUM(AW311,AW313,AW315,AW317,AW319,AW321,AW323,AW325,AW327)</f>
        <v>217901.62221824049</v>
      </c>
      <c r="AX329" s="32">
        <f t="shared" si="154"/>
        <v>254218.55925461382</v>
      </c>
      <c r="AY329" s="32">
        <f t="shared" si="154"/>
        <v>290535.4962909873</v>
      </c>
      <c r="AZ329" s="32">
        <f t="shared" si="154"/>
        <v>326852.4333273606</v>
      </c>
      <c r="BA329" s="32">
        <f t="shared" si="146"/>
        <v>363169.37036373414</v>
      </c>
      <c r="BB329" s="31">
        <f t="shared" ref="BB329:BG329" si="155">SUM(BB311,BB313,BB315,BB317,BB319,BB321,BB323,BB325,BB327)</f>
        <v>726338.74072746828</v>
      </c>
      <c r="BC329" s="32">
        <f t="shared" si="155"/>
        <v>1452677.4814549366</v>
      </c>
      <c r="BD329" s="32">
        <f t="shared" si="155"/>
        <v>2905354.9629098731</v>
      </c>
      <c r="BE329" s="32">
        <f t="shared" si="155"/>
        <v>5810709.9258197462</v>
      </c>
      <c r="BF329" s="32">
        <f t="shared" si="155"/>
        <v>7327347.6867048908</v>
      </c>
      <c r="BG329" s="73">
        <f t="shared" si="155"/>
        <v>7327347.6867048908</v>
      </c>
      <c r="BH329" s="45"/>
    </row>
    <row r="330" spans="1:60" x14ac:dyDescent="0.25">
      <c r="A330" s="42"/>
      <c r="B330" s="14"/>
      <c r="C330" s="10"/>
      <c r="D330" s="10"/>
      <c r="E330" s="15"/>
      <c r="F330" s="10"/>
      <c r="G330" s="10"/>
      <c r="H330" s="10"/>
      <c r="I330" s="10"/>
      <c r="J330" s="10"/>
      <c r="K330" s="10"/>
      <c r="L330" s="10"/>
      <c r="M330" s="10"/>
      <c r="N330" s="10"/>
      <c r="O330" s="10"/>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row>
    <row r="331" spans="1:60" x14ac:dyDescent="0.25">
      <c r="A331" s="54" t="s">
        <v>50</v>
      </c>
      <c r="B331" s="14"/>
      <c r="C331" s="10"/>
      <c r="D331" s="10"/>
      <c r="E331" s="15"/>
      <c r="F331" s="10"/>
      <c r="G331" s="10"/>
      <c r="H331" s="10"/>
      <c r="I331" s="10"/>
      <c r="J331" s="10"/>
      <c r="K331" s="10"/>
      <c r="L331" s="10"/>
      <c r="M331" s="10"/>
      <c r="N331" s="10"/>
      <c r="O331" s="10"/>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row>
    <row r="332" spans="1:60" x14ac:dyDescent="0.25">
      <c r="A332" s="4"/>
      <c r="B332" s="9" t="s">
        <v>5</v>
      </c>
      <c r="C332" s="9" t="s">
        <v>3</v>
      </c>
      <c r="D332" s="9"/>
      <c r="E332" s="59" t="s">
        <v>2</v>
      </c>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5"/>
      <c r="BH332" s="47"/>
    </row>
    <row r="333" spans="1:60" x14ac:dyDescent="0.25">
      <c r="A333" s="48" t="s">
        <v>1</v>
      </c>
      <c r="B333" s="24">
        <v>0.36799999999999999</v>
      </c>
      <c r="C333" s="10">
        <f>$B$261 * B333</f>
        <v>121648104</v>
      </c>
      <c r="D333" s="16"/>
      <c r="E333" s="16"/>
      <c r="F333" s="16"/>
      <c r="G333" s="16"/>
      <c r="H333" s="16"/>
      <c r="I333" s="16"/>
      <c r="J333" s="16"/>
      <c r="K333" s="16"/>
      <c r="L333" s="16"/>
      <c r="M333" s="16"/>
      <c r="N333" s="16"/>
      <c r="O333" s="16"/>
      <c r="P333" s="18">
        <f t="shared" ref="P333:BG333" si="156">P$278*$B$333</f>
        <v>11.5</v>
      </c>
      <c r="Q333" s="19">
        <f t="shared" si="156"/>
        <v>23</v>
      </c>
      <c r="R333" s="19">
        <f t="shared" si="156"/>
        <v>46</v>
      </c>
      <c r="S333" s="19">
        <f t="shared" si="156"/>
        <v>92</v>
      </c>
      <c r="T333" s="19">
        <f t="shared" si="156"/>
        <v>184</v>
      </c>
      <c r="U333" s="19">
        <f t="shared" si="156"/>
        <v>368</v>
      </c>
      <c r="V333" s="19">
        <f t="shared" si="156"/>
        <v>736</v>
      </c>
      <c r="W333" s="19">
        <f t="shared" si="156"/>
        <v>1472</v>
      </c>
      <c r="X333" s="19">
        <f t="shared" si="156"/>
        <v>2944</v>
      </c>
      <c r="Y333" s="19">
        <f t="shared" si="156"/>
        <v>5888</v>
      </c>
      <c r="Z333" s="19">
        <f t="shared" si="156"/>
        <v>11776</v>
      </c>
      <c r="AA333" s="19">
        <f t="shared" si="156"/>
        <v>23552</v>
      </c>
      <c r="AB333" s="19">
        <f t="shared" si="156"/>
        <v>47104</v>
      </c>
      <c r="AC333" s="19">
        <f t="shared" si="156"/>
        <v>94208</v>
      </c>
      <c r="AD333" s="19">
        <f t="shared" si="156"/>
        <v>188416</v>
      </c>
      <c r="AE333" s="19">
        <f t="shared" si="156"/>
        <v>235520</v>
      </c>
      <c r="AF333" s="19">
        <f t="shared" si="156"/>
        <v>282624</v>
      </c>
      <c r="AG333" s="19">
        <f t="shared" si="156"/>
        <v>329728</v>
      </c>
      <c r="AH333" s="19">
        <f t="shared" si="156"/>
        <v>376832</v>
      </c>
      <c r="AI333" s="19">
        <f t="shared" si="156"/>
        <v>482344.95999999996</v>
      </c>
      <c r="AJ333" s="19">
        <f t="shared" si="156"/>
        <v>565248</v>
      </c>
      <c r="AK333" s="19">
        <f t="shared" si="156"/>
        <v>659456</v>
      </c>
      <c r="AL333" s="19">
        <f t="shared" si="156"/>
        <v>753664</v>
      </c>
      <c r="AM333" s="19">
        <f t="shared" si="156"/>
        <v>904396.79999999993</v>
      </c>
      <c r="AN333" s="19">
        <f t="shared" si="156"/>
        <v>1055129.6000000001</v>
      </c>
      <c r="AO333" s="19">
        <f t="shared" si="156"/>
        <v>1205862.3999999999</v>
      </c>
      <c r="AP333" s="19">
        <f t="shared" si="156"/>
        <v>1356595.2</v>
      </c>
      <c r="AQ333" s="19">
        <f t="shared" si="156"/>
        <v>1507328</v>
      </c>
      <c r="AR333" s="19">
        <f t="shared" si="156"/>
        <v>1808793.5999999999</v>
      </c>
      <c r="AS333" s="19">
        <f t="shared" si="156"/>
        <v>2110259.2000000002</v>
      </c>
      <c r="AT333" s="19">
        <f t="shared" si="156"/>
        <v>2411724.7999999998</v>
      </c>
      <c r="AU333" s="19">
        <f t="shared" si="156"/>
        <v>2713190.3999999999</v>
      </c>
      <c r="AV333" s="19">
        <f t="shared" si="156"/>
        <v>3014656</v>
      </c>
      <c r="AW333" s="19">
        <f t="shared" si="156"/>
        <v>3617587.1999999997</v>
      </c>
      <c r="AX333" s="19">
        <f t="shared" si="156"/>
        <v>4220518.4000000004</v>
      </c>
      <c r="AY333" s="19">
        <f t="shared" si="156"/>
        <v>4823449.5999999996</v>
      </c>
      <c r="AZ333" s="19">
        <f t="shared" si="156"/>
        <v>5426380.7999999998</v>
      </c>
      <c r="BA333" s="19">
        <f t="shared" si="156"/>
        <v>6029312</v>
      </c>
      <c r="BB333" s="18">
        <f t="shared" si="156"/>
        <v>12058624</v>
      </c>
      <c r="BC333" s="19">
        <f t="shared" si="156"/>
        <v>24117248</v>
      </c>
      <c r="BD333" s="19">
        <f t="shared" si="156"/>
        <v>48234496</v>
      </c>
      <c r="BE333" s="19">
        <f t="shared" si="156"/>
        <v>96468992</v>
      </c>
      <c r="BF333" s="19">
        <f t="shared" si="156"/>
        <v>121648104</v>
      </c>
      <c r="BG333" s="60">
        <f t="shared" si="156"/>
        <v>121648104</v>
      </c>
      <c r="BH333" s="45"/>
    </row>
    <row r="334" spans="1:60" x14ac:dyDescent="0.25">
      <c r="A334" s="48"/>
      <c r="B334" s="16"/>
      <c r="C334" s="16"/>
      <c r="D334" s="25"/>
      <c r="E334" s="46">
        <v>0.105</v>
      </c>
      <c r="F334" s="16"/>
      <c r="G334" s="16"/>
      <c r="H334" s="16"/>
      <c r="I334" s="16"/>
      <c r="J334" s="16"/>
      <c r="K334" s="16"/>
      <c r="L334" s="16"/>
      <c r="M334" s="16"/>
      <c r="N334" s="16"/>
      <c r="O334" s="16"/>
      <c r="P334" s="29">
        <f>P333*$E$334</f>
        <v>1.2075</v>
      </c>
      <c r="Q334" s="30">
        <f t="shared" ref="Q334:AP334" si="157">Q333*$E$334</f>
        <v>2.415</v>
      </c>
      <c r="R334" s="30">
        <f t="shared" si="157"/>
        <v>4.83</v>
      </c>
      <c r="S334" s="30">
        <f t="shared" si="157"/>
        <v>9.66</v>
      </c>
      <c r="T334" s="30">
        <f t="shared" si="157"/>
        <v>19.32</v>
      </c>
      <c r="U334" s="30">
        <f t="shared" si="157"/>
        <v>38.64</v>
      </c>
      <c r="V334" s="30">
        <f t="shared" si="157"/>
        <v>77.28</v>
      </c>
      <c r="W334" s="30">
        <f t="shared" si="157"/>
        <v>154.56</v>
      </c>
      <c r="X334" s="30">
        <f t="shared" si="157"/>
        <v>309.12</v>
      </c>
      <c r="Y334" s="30">
        <f t="shared" si="157"/>
        <v>618.24</v>
      </c>
      <c r="Z334" s="30">
        <f t="shared" si="157"/>
        <v>1236.48</v>
      </c>
      <c r="AA334" s="30">
        <f t="shared" si="157"/>
        <v>2472.96</v>
      </c>
      <c r="AB334" s="30">
        <f t="shared" si="157"/>
        <v>4945.92</v>
      </c>
      <c r="AC334" s="30">
        <f t="shared" si="157"/>
        <v>9891.84</v>
      </c>
      <c r="AD334" s="30">
        <f t="shared" si="157"/>
        <v>19783.68</v>
      </c>
      <c r="AE334" s="30">
        <f t="shared" ref="AE334:AG334" si="158">AE333*$E$334</f>
        <v>24729.599999999999</v>
      </c>
      <c r="AF334" s="30">
        <f t="shared" si="158"/>
        <v>29675.52</v>
      </c>
      <c r="AG334" s="30">
        <f t="shared" si="158"/>
        <v>34621.440000000002</v>
      </c>
      <c r="AH334" s="30">
        <f t="shared" si="157"/>
        <v>39567.360000000001</v>
      </c>
      <c r="AI334" s="30">
        <f t="shared" ref="AI334:AK334" si="159">AI333*$E$334</f>
        <v>50646.220799999996</v>
      </c>
      <c r="AJ334" s="30">
        <f t="shared" si="159"/>
        <v>59351.040000000001</v>
      </c>
      <c r="AK334" s="30">
        <f t="shared" si="159"/>
        <v>69242.880000000005</v>
      </c>
      <c r="AL334" s="30">
        <f t="shared" si="157"/>
        <v>79134.720000000001</v>
      </c>
      <c r="AM334" s="30">
        <f t="shared" si="157"/>
        <v>94961.66399999999</v>
      </c>
      <c r="AN334" s="30">
        <f t="shared" si="157"/>
        <v>110788.60800000001</v>
      </c>
      <c r="AO334" s="30">
        <f t="shared" si="157"/>
        <v>126615.55199999998</v>
      </c>
      <c r="AP334" s="30">
        <f t="shared" si="157"/>
        <v>142442.49599999998</v>
      </c>
      <c r="AQ334" s="30">
        <f>AQ333*$E$334</f>
        <v>158269.44</v>
      </c>
      <c r="AR334" s="30">
        <f t="shared" ref="AR334:AU334" si="160">AR333*$E$334</f>
        <v>189923.32799999998</v>
      </c>
      <c r="AS334" s="30">
        <f t="shared" si="160"/>
        <v>221577.21600000001</v>
      </c>
      <c r="AT334" s="30">
        <f t="shared" si="160"/>
        <v>253231.10399999996</v>
      </c>
      <c r="AU334" s="30">
        <f t="shared" si="160"/>
        <v>284884.99199999997</v>
      </c>
      <c r="AV334" s="30">
        <f>AV333*$E$334</f>
        <v>316538.88</v>
      </c>
      <c r="AW334" s="30">
        <f t="shared" ref="AW334:AZ334" si="161">AW333*$E$334</f>
        <v>379846.65599999996</v>
      </c>
      <c r="AX334" s="30">
        <f t="shared" si="161"/>
        <v>443154.43200000003</v>
      </c>
      <c r="AY334" s="30">
        <f t="shared" si="161"/>
        <v>506462.20799999993</v>
      </c>
      <c r="AZ334" s="30">
        <f t="shared" si="161"/>
        <v>569769.98399999994</v>
      </c>
      <c r="BA334" s="30">
        <f>BA333*$E$334</f>
        <v>633077.76000000001</v>
      </c>
      <c r="BB334" s="29">
        <f t="shared" ref="BB334:BG334" si="162">BB333*$E$334</f>
        <v>1266155.52</v>
      </c>
      <c r="BC334" s="30">
        <f t="shared" si="162"/>
        <v>2532311.04</v>
      </c>
      <c r="BD334" s="30">
        <f t="shared" si="162"/>
        <v>5064622.0800000001</v>
      </c>
      <c r="BE334" s="30">
        <f t="shared" si="162"/>
        <v>10129244.16</v>
      </c>
      <c r="BF334" s="30">
        <f t="shared" si="162"/>
        <v>12773050.92</v>
      </c>
      <c r="BG334" s="71">
        <f t="shared" si="162"/>
        <v>12773050.92</v>
      </c>
      <c r="BH334" s="45"/>
    </row>
    <row r="335" spans="1:60" x14ac:dyDescent="0.25">
      <c r="A335" s="48" t="s">
        <v>4</v>
      </c>
      <c r="B335" s="24">
        <v>9.8000000000000004E-2</v>
      </c>
      <c r="C335" s="10">
        <f>$B$261 * B335</f>
        <v>32395419</v>
      </c>
      <c r="D335" s="47"/>
      <c r="E335" s="16"/>
      <c r="F335" s="16"/>
      <c r="G335" s="16"/>
      <c r="H335" s="16"/>
      <c r="I335" s="16"/>
      <c r="J335" s="16"/>
      <c r="K335" s="16"/>
      <c r="L335" s="16"/>
      <c r="M335" s="16"/>
      <c r="N335" s="16"/>
      <c r="O335" s="16"/>
      <c r="P335" s="20">
        <f t="shared" ref="P335:BG335" si="163">P$278*$B$335</f>
        <v>3.0625</v>
      </c>
      <c r="Q335" s="21">
        <f t="shared" si="163"/>
        <v>6.125</v>
      </c>
      <c r="R335" s="21">
        <f t="shared" si="163"/>
        <v>12.25</v>
      </c>
      <c r="S335" s="21">
        <f t="shared" si="163"/>
        <v>24.5</v>
      </c>
      <c r="T335" s="21">
        <f t="shared" si="163"/>
        <v>49</v>
      </c>
      <c r="U335" s="21">
        <f t="shared" si="163"/>
        <v>98</v>
      </c>
      <c r="V335" s="21">
        <f t="shared" si="163"/>
        <v>196</v>
      </c>
      <c r="W335" s="21">
        <f t="shared" si="163"/>
        <v>392</v>
      </c>
      <c r="X335" s="21">
        <f t="shared" si="163"/>
        <v>784</v>
      </c>
      <c r="Y335" s="21">
        <f t="shared" si="163"/>
        <v>1568</v>
      </c>
      <c r="Z335" s="21">
        <f t="shared" si="163"/>
        <v>3136</v>
      </c>
      <c r="AA335" s="21">
        <f t="shared" si="163"/>
        <v>6272</v>
      </c>
      <c r="AB335" s="21">
        <f t="shared" si="163"/>
        <v>12544</v>
      </c>
      <c r="AC335" s="21">
        <f t="shared" si="163"/>
        <v>25088</v>
      </c>
      <c r="AD335" s="21">
        <f t="shared" si="163"/>
        <v>50176</v>
      </c>
      <c r="AE335" s="21">
        <f t="shared" si="163"/>
        <v>62720</v>
      </c>
      <c r="AF335" s="21">
        <f t="shared" si="163"/>
        <v>75264</v>
      </c>
      <c r="AG335" s="21">
        <f t="shared" si="163"/>
        <v>87808</v>
      </c>
      <c r="AH335" s="21">
        <f t="shared" si="163"/>
        <v>100352</v>
      </c>
      <c r="AI335" s="21">
        <f t="shared" si="163"/>
        <v>128450.56</v>
      </c>
      <c r="AJ335" s="21">
        <f t="shared" si="163"/>
        <v>150528</v>
      </c>
      <c r="AK335" s="21">
        <f t="shared" si="163"/>
        <v>175616</v>
      </c>
      <c r="AL335" s="21">
        <f t="shared" si="163"/>
        <v>200704</v>
      </c>
      <c r="AM335" s="21">
        <f t="shared" si="163"/>
        <v>240844.80000000002</v>
      </c>
      <c r="AN335" s="21">
        <f t="shared" si="163"/>
        <v>280985.60000000003</v>
      </c>
      <c r="AO335" s="21">
        <f t="shared" si="163"/>
        <v>321126.40000000002</v>
      </c>
      <c r="AP335" s="21">
        <f t="shared" si="163"/>
        <v>361267.20000000001</v>
      </c>
      <c r="AQ335" s="21">
        <f t="shared" si="163"/>
        <v>401408</v>
      </c>
      <c r="AR335" s="21">
        <f t="shared" si="163"/>
        <v>481689.60000000003</v>
      </c>
      <c r="AS335" s="21">
        <f t="shared" si="163"/>
        <v>561971.20000000007</v>
      </c>
      <c r="AT335" s="21">
        <f t="shared" si="163"/>
        <v>642252.80000000005</v>
      </c>
      <c r="AU335" s="21">
        <f t="shared" si="163"/>
        <v>722534.40000000002</v>
      </c>
      <c r="AV335" s="21">
        <f t="shared" si="163"/>
        <v>802816</v>
      </c>
      <c r="AW335" s="21">
        <f t="shared" si="163"/>
        <v>963379.20000000007</v>
      </c>
      <c r="AX335" s="21">
        <f t="shared" si="163"/>
        <v>1123942.4000000001</v>
      </c>
      <c r="AY335" s="21">
        <f t="shared" si="163"/>
        <v>1284505.6000000001</v>
      </c>
      <c r="AZ335" s="21">
        <f t="shared" si="163"/>
        <v>1445068.8</v>
      </c>
      <c r="BA335" s="21">
        <f t="shared" si="163"/>
        <v>1605632</v>
      </c>
      <c r="BB335" s="20">
        <f t="shared" si="163"/>
        <v>3211264</v>
      </c>
      <c r="BC335" s="21">
        <f t="shared" si="163"/>
        <v>6422528</v>
      </c>
      <c r="BD335" s="21">
        <f t="shared" si="163"/>
        <v>12845056</v>
      </c>
      <c r="BE335" s="21">
        <f t="shared" si="163"/>
        <v>25690112</v>
      </c>
      <c r="BF335" s="21">
        <f t="shared" si="163"/>
        <v>32395419</v>
      </c>
      <c r="BG335" s="72">
        <f t="shared" si="163"/>
        <v>32395419</v>
      </c>
      <c r="BH335" s="45"/>
    </row>
    <row r="336" spans="1:60" x14ac:dyDescent="0.25">
      <c r="A336" s="48"/>
      <c r="B336" s="16"/>
      <c r="C336" s="16"/>
      <c r="D336" s="25"/>
      <c r="E336" s="46">
        <v>7.2999999999999995E-2</v>
      </c>
      <c r="F336" s="16"/>
      <c r="G336" s="16"/>
      <c r="H336" s="16"/>
      <c r="I336" s="16"/>
      <c r="J336" s="16"/>
      <c r="K336" s="16"/>
      <c r="L336" s="16"/>
      <c r="M336" s="16"/>
      <c r="N336" s="16"/>
      <c r="O336" s="16"/>
      <c r="P336" s="29">
        <f t="shared" ref="P336:AP336" si="164">P335*$E$336</f>
        <v>0.2235625</v>
      </c>
      <c r="Q336" s="30">
        <f t="shared" si="164"/>
        <v>0.44712499999999999</v>
      </c>
      <c r="R336" s="30">
        <f t="shared" si="164"/>
        <v>0.89424999999999999</v>
      </c>
      <c r="S336" s="30">
        <f t="shared" si="164"/>
        <v>1.7885</v>
      </c>
      <c r="T336" s="30">
        <f t="shared" si="164"/>
        <v>3.577</v>
      </c>
      <c r="U336" s="30">
        <f t="shared" si="164"/>
        <v>7.1539999999999999</v>
      </c>
      <c r="V336" s="30">
        <f t="shared" si="164"/>
        <v>14.308</v>
      </c>
      <c r="W336" s="30">
        <f t="shared" si="164"/>
        <v>28.616</v>
      </c>
      <c r="X336" s="30">
        <f t="shared" si="164"/>
        <v>57.231999999999999</v>
      </c>
      <c r="Y336" s="30">
        <f t="shared" si="164"/>
        <v>114.464</v>
      </c>
      <c r="Z336" s="30">
        <f t="shared" si="164"/>
        <v>228.928</v>
      </c>
      <c r="AA336" s="30">
        <f t="shared" si="164"/>
        <v>457.85599999999999</v>
      </c>
      <c r="AB336" s="30">
        <f t="shared" si="164"/>
        <v>915.71199999999999</v>
      </c>
      <c r="AC336" s="30">
        <f t="shared" si="164"/>
        <v>1831.424</v>
      </c>
      <c r="AD336" s="30">
        <f t="shared" si="164"/>
        <v>3662.848</v>
      </c>
      <c r="AE336" s="30">
        <f t="shared" ref="AE336:AG336" si="165">AE335*$E$336</f>
        <v>4578.5599999999995</v>
      </c>
      <c r="AF336" s="30">
        <f t="shared" si="165"/>
        <v>5494.2719999999999</v>
      </c>
      <c r="AG336" s="30">
        <f t="shared" si="165"/>
        <v>6409.9839999999995</v>
      </c>
      <c r="AH336" s="30">
        <f t="shared" si="164"/>
        <v>7325.6959999999999</v>
      </c>
      <c r="AI336" s="30">
        <f t="shared" ref="AI336:AK336" si="166">AI335*$E$336</f>
        <v>9376.890879999999</v>
      </c>
      <c r="AJ336" s="30">
        <f t="shared" si="166"/>
        <v>10988.544</v>
      </c>
      <c r="AK336" s="30">
        <f t="shared" si="166"/>
        <v>12819.967999999999</v>
      </c>
      <c r="AL336" s="30">
        <f t="shared" si="164"/>
        <v>14651.392</v>
      </c>
      <c r="AM336" s="30">
        <f t="shared" si="164"/>
        <v>17581.670399999999</v>
      </c>
      <c r="AN336" s="30">
        <f t="shared" si="164"/>
        <v>20511.948800000002</v>
      </c>
      <c r="AO336" s="30">
        <f t="shared" si="164"/>
        <v>23442.227200000001</v>
      </c>
      <c r="AP336" s="30">
        <f t="shared" si="164"/>
        <v>26372.5056</v>
      </c>
      <c r="AQ336" s="30">
        <f>AQ335*$E$336</f>
        <v>29302.784</v>
      </c>
      <c r="AR336" s="30">
        <f t="shared" ref="AR336:AU336" si="167">AR335*$E$336</f>
        <v>35163.340799999998</v>
      </c>
      <c r="AS336" s="30">
        <f t="shared" si="167"/>
        <v>41023.897600000004</v>
      </c>
      <c r="AT336" s="30">
        <f t="shared" si="167"/>
        <v>46884.454400000002</v>
      </c>
      <c r="AU336" s="30">
        <f t="shared" si="167"/>
        <v>52745.011200000001</v>
      </c>
      <c r="AV336" s="30">
        <f>AV335*$E$336</f>
        <v>58605.567999999999</v>
      </c>
      <c r="AW336" s="30">
        <f t="shared" ref="AW336:AZ336" si="168">AW335*$E$336</f>
        <v>70326.681599999996</v>
      </c>
      <c r="AX336" s="30">
        <f t="shared" si="168"/>
        <v>82047.795200000008</v>
      </c>
      <c r="AY336" s="30">
        <f t="shared" si="168"/>
        <v>93768.908800000005</v>
      </c>
      <c r="AZ336" s="30">
        <f t="shared" si="168"/>
        <v>105490.0224</v>
      </c>
      <c r="BA336" s="30">
        <f>BA335*$E$336</f>
        <v>117211.136</v>
      </c>
      <c r="BB336" s="29">
        <f t="shared" ref="BB336:BG336" si="169">BB335*$E$336</f>
        <v>234422.272</v>
      </c>
      <c r="BC336" s="30">
        <f t="shared" si="169"/>
        <v>468844.54399999999</v>
      </c>
      <c r="BD336" s="30">
        <f t="shared" si="169"/>
        <v>937689.08799999999</v>
      </c>
      <c r="BE336" s="30">
        <f t="shared" si="169"/>
        <v>1875378.176</v>
      </c>
      <c r="BF336" s="30">
        <f t="shared" si="169"/>
        <v>2364865.5869999998</v>
      </c>
      <c r="BG336" s="71">
        <f t="shared" si="169"/>
        <v>2364865.5869999998</v>
      </c>
      <c r="BH336" s="45"/>
    </row>
    <row r="337" spans="1:60" x14ac:dyDescent="0.25">
      <c r="A337" s="48" t="s">
        <v>6</v>
      </c>
      <c r="B337" s="24">
        <v>0.13400000000000001</v>
      </c>
      <c r="C337" s="10">
        <f>$B$261 * B337</f>
        <v>44295777</v>
      </c>
      <c r="D337" s="47"/>
      <c r="E337" s="16"/>
      <c r="F337" s="16"/>
      <c r="G337" s="16"/>
      <c r="H337" s="16"/>
      <c r="I337" s="16"/>
      <c r="J337" s="16"/>
      <c r="K337" s="16"/>
      <c r="L337" s="16"/>
      <c r="M337" s="16"/>
      <c r="N337" s="16"/>
      <c r="O337" s="16"/>
      <c r="P337" s="20">
        <f t="shared" ref="P337:BG337" si="170">P$278*$B$337</f>
        <v>4.1875</v>
      </c>
      <c r="Q337" s="21">
        <f t="shared" si="170"/>
        <v>8.375</v>
      </c>
      <c r="R337" s="21">
        <f t="shared" si="170"/>
        <v>16.75</v>
      </c>
      <c r="S337" s="21">
        <f t="shared" si="170"/>
        <v>33.5</v>
      </c>
      <c r="T337" s="21">
        <f t="shared" si="170"/>
        <v>67</v>
      </c>
      <c r="U337" s="21">
        <f t="shared" si="170"/>
        <v>134</v>
      </c>
      <c r="V337" s="21">
        <f t="shared" si="170"/>
        <v>268</v>
      </c>
      <c r="W337" s="21">
        <f t="shared" si="170"/>
        <v>536</v>
      </c>
      <c r="X337" s="21">
        <f t="shared" si="170"/>
        <v>1072</v>
      </c>
      <c r="Y337" s="21">
        <f t="shared" si="170"/>
        <v>2144</v>
      </c>
      <c r="Z337" s="21">
        <f t="shared" si="170"/>
        <v>4288</v>
      </c>
      <c r="AA337" s="21">
        <f t="shared" si="170"/>
        <v>8576</v>
      </c>
      <c r="AB337" s="21">
        <f t="shared" si="170"/>
        <v>17152</v>
      </c>
      <c r="AC337" s="21">
        <f t="shared" si="170"/>
        <v>34304</v>
      </c>
      <c r="AD337" s="21">
        <f t="shared" si="170"/>
        <v>68608</v>
      </c>
      <c r="AE337" s="21">
        <f t="shared" si="170"/>
        <v>85760</v>
      </c>
      <c r="AF337" s="21">
        <f t="shared" si="170"/>
        <v>102912</v>
      </c>
      <c r="AG337" s="21">
        <f t="shared" si="170"/>
        <v>120064</v>
      </c>
      <c r="AH337" s="21">
        <f t="shared" si="170"/>
        <v>137216</v>
      </c>
      <c r="AI337" s="21">
        <f t="shared" si="170"/>
        <v>175636.48000000001</v>
      </c>
      <c r="AJ337" s="21">
        <f t="shared" si="170"/>
        <v>205824</v>
      </c>
      <c r="AK337" s="21">
        <f t="shared" si="170"/>
        <v>240128</v>
      </c>
      <c r="AL337" s="21">
        <f t="shared" si="170"/>
        <v>274432</v>
      </c>
      <c r="AM337" s="21">
        <f t="shared" si="170"/>
        <v>329318.40000000002</v>
      </c>
      <c r="AN337" s="21">
        <f t="shared" si="170"/>
        <v>384204.80000000005</v>
      </c>
      <c r="AO337" s="21">
        <f t="shared" si="170"/>
        <v>439091.20000000001</v>
      </c>
      <c r="AP337" s="21">
        <f t="shared" si="170"/>
        <v>493977.60000000003</v>
      </c>
      <c r="AQ337" s="21">
        <f t="shared" si="170"/>
        <v>548864</v>
      </c>
      <c r="AR337" s="21">
        <f t="shared" si="170"/>
        <v>658636.80000000005</v>
      </c>
      <c r="AS337" s="21">
        <f t="shared" si="170"/>
        <v>768409.60000000009</v>
      </c>
      <c r="AT337" s="21">
        <f t="shared" si="170"/>
        <v>878182.40000000002</v>
      </c>
      <c r="AU337" s="21">
        <f t="shared" si="170"/>
        <v>987955.20000000007</v>
      </c>
      <c r="AV337" s="21">
        <f t="shared" si="170"/>
        <v>1097728</v>
      </c>
      <c r="AW337" s="21">
        <f t="shared" si="170"/>
        <v>1317273.6000000001</v>
      </c>
      <c r="AX337" s="21">
        <f t="shared" si="170"/>
        <v>1536819.2000000002</v>
      </c>
      <c r="AY337" s="21">
        <f t="shared" si="170"/>
        <v>1756364.8</v>
      </c>
      <c r="AZ337" s="21">
        <f t="shared" si="170"/>
        <v>1975910.4000000001</v>
      </c>
      <c r="BA337" s="21">
        <f t="shared" si="170"/>
        <v>2195456</v>
      </c>
      <c r="BB337" s="20">
        <f t="shared" si="170"/>
        <v>4390912</v>
      </c>
      <c r="BC337" s="21">
        <f t="shared" si="170"/>
        <v>8781824</v>
      </c>
      <c r="BD337" s="21">
        <f t="shared" si="170"/>
        <v>17563648</v>
      </c>
      <c r="BE337" s="21">
        <f t="shared" si="170"/>
        <v>35127296</v>
      </c>
      <c r="BF337" s="21">
        <f t="shared" si="170"/>
        <v>44295777</v>
      </c>
      <c r="BG337" s="72">
        <f t="shared" si="170"/>
        <v>44295777</v>
      </c>
      <c r="BH337" s="45"/>
    </row>
    <row r="338" spans="1:60" x14ac:dyDescent="0.25">
      <c r="A338" s="48"/>
      <c r="B338" s="16"/>
      <c r="C338" s="16"/>
      <c r="D338" s="25"/>
      <c r="E338" s="46">
        <v>6.3E-2</v>
      </c>
      <c r="F338" s="16"/>
      <c r="G338" s="16"/>
      <c r="H338" s="16"/>
      <c r="I338" s="16"/>
      <c r="J338" s="16"/>
      <c r="K338" s="16"/>
      <c r="L338" s="16"/>
      <c r="M338" s="16"/>
      <c r="N338" s="16"/>
      <c r="O338" s="16"/>
      <c r="P338" s="29">
        <f t="shared" ref="P338:AP338" si="171">P337*$E$338</f>
        <v>0.26381250000000001</v>
      </c>
      <c r="Q338" s="30">
        <f t="shared" si="171"/>
        <v>0.52762500000000001</v>
      </c>
      <c r="R338" s="30">
        <f t="shared" si="171"/>
        <v>1.05525</v>
      </c>
      <c r="S338" s="30">
        <f t="shared" si="171"/>
        <v>2.1105</v>
      </c>
      <c r="T338" s="30">
        <f t="shared" si="171"/>
        <v>4.2210000000000001</v>
      </c>
      <c r="U338" s="30">
        <f t="shared" si="171"/>
        <v>8.4420000000000002</v>
      </c>
      <c r="V338" s="30">
        <f t="shared" si="171"/>
        <v>16.884</v>
      </c>
      <c r="W338" s="30">
        <f t="shared" si="171"/>
        <v>33.768000000000001</v>
      </c>
      <c r="X338" s="30">
        <f t="shared" si="171"/>
        <v>67.536000000000001</v>
      </c>
      <c r="Y338" s="30">
        <f t="shared" si="171"/>
        <v>135.072</v>
      </c>
      <c r="Z338" s="30">
        <f t="shared" si="171"/>
        <v>270.14400000000001</v>
      </c>
      <c r="AA338" s="30">
        <f t="shared" si="171"/>
        <v>540.28800000000001</v>
      </c>
      <c r="AB338" s="30">
        <f t="shared" si="171"/>
        <v>1080.576</v>
      </c>
      <c r="AC338" s="30">
        <f t="shared" si="171"/>
        <v>2161.152</v>
      </c>
      <c r="AD338" s="30">
        <f t="shared" si="171"/>
        <v>4322.3040000000001</v>
      </c>
      <c r="AE338" s="30">
        <f t="shared" ref="AE338:AG338" si="172">AE337*$E$338</f>
        <v>5402.88</v>
      </c>
      <c r="AF338" s="30">
        <f t="shared" si="172"/>
        <v>6483.4560000000001</v>
      </c>
      <c r="AG338" s="30">
        <f t="shared" si="172"/>
        <v>7564.0320000000002</v>
      </c>
      <c r="AH338" s="30">
        <f t="shared" si="171"/>
        <v>8644.6080000000002</v>
      </c>
      <c r="AI338" s="30">
        <f t="shared" ref="AI338:AK338" si="173">AI337*$E$338</f>
        <v>11065.098240000001</v>
      </c>
      <c r="AJ338" s="30">
        <f t="shared" si="173"/>
        <v>12966.912</v>
      </c>
      <c r="AK338" s="30">
        <f t="shared" si="173"/>
        <v>15128.064</v>
      </c>
      <c r="AL338" s="30">
        <f t="shared" si="171"/>
        <v>17289.216</v>
      </c>
      <c r="AM338" s="30">
        <f t="shared" si="171"/>
        <v>20747.059200000003</v>
      </c>
      <c r="AN338" s="30">
        <f t="shared" si="171"/>
        <v>24204.902400000003</v>
      </c>
      <c r="AO338" s="30">
        <f t="shared" si="171"/>
        <v>27662.745600000002</v>
      </c>
      <c r="AP338" s="30">
        <f t="shared" si="171"/>
        <v>31120.588800000001</v>
      </c>
      <c r="AQ338" s="30">
        <f>AQ337*$E$338</f>
        <v>34578.432000000001</v>
      </c>
      <c r="AR338" s="30">
        <f t="shared" ref="AR338:AU338" si="174">AR337*$E$338</f>
        <v>41494.118400000007</v>
      </c>
      <c r="AS338" s="30">
        <f t="shared" si="174"/>
        <v>48409.804800000005</v>
      </c>
      <c r="AT338" s="30">
        <f t="shared" si="174"/>
        <v>55325.491200000004</v>
      </c>
      <c r="AU338" s="30">
        <f t="shared" si="174"/>
        <v>62241.177600000003</v>
      </c>
      <c r="AV338" s="30">
        <f>AV337*$E$338</f>
        <v>69156.864000000001</v>
      </c>
      <c r="AW338" s="30">
        <f t="shared" ref="AW338:AZ338" si="175">AW337*$E$338</f>
        <v>82988.236800000013</v>
      </c>
      <c r="AX338" s="30">
        <f t="shared" si="175"/>
        <v>96819.609600000011</v>
      </c>
      <c r="AY338" s="30">
        <f t="shared" si="175"/>
        <v>110650.98240000001</v>
      </c>
      <c r="AZ338" s="30">
        <f t="shared" si="175"/>
        <v>124482.35520000001</v>
      </c>
      <c r="BA338" s="30">
        <f>BA337*$E$338</f>
        <v>138313.728</v>
      </c>
      <c r="BB338" s="29">
        <f t="shared" ref="BB338:BG338" si="176">BB337*$E$338</f>
        <v>276627.45600000001</v>
      </c>
      <c r="BC338" s="30">
        <f t="shared" si="176"/>
        <v>553254.91200000001</v>
      </c>
      <c r="BD338" s="30">
        <f t="shared" si="176"/>
        <v>1106509.824</v>
      </c>
      <c r="BE338" s="30">
        <f t="shared" si="176"/>
        <v>2213019.648</v>
      </c>
      <c r="BF338" s="30">
        <f t="shared" si="176"/>
        <v>2790633.9509999999</v>
      </c>
      <c r="BG338" s="71">
        <f t="shared" si="176"/>
        <v>2790633.9509999999</v>
      </c>
      <c r="BH338" s="45"/>
    </row>
    <row r="339" spans="1:60" x14ac:dyDescent="0.25">
      <c r="A339" s="48" t="s">
        <v>7</v>
      </c>
      <c r="B339" s="24">
        <v>0.46</v>
      </c>
      <c r="C339" s="10">
        <f>$B$261 * B339</f>
        <v>152060130</v>
      </c>
      <c r="D339" s="47"/>
      <c r="E339" s="16"/>
      <c r="F339" s="16"/>
      <c r="G339" s="16"/>
      <c r="H339" s="16"/>
      <c r="I339" s="16"/>
      <c r="J339" s="16"/>
      <c r="K339" s="16"/>
      <c r="L339" s="16"/>
      <c r="M339" s="16"/>
      <c r="N339" s="16"/>
      <c r="O339" s="16"/>
      <c r="P339" s="20">
        <f t="shared" ref="P339:BG339" si="177">P$278*$B$339</f>
        <v>14.375</v>
      </c>
      <c r="Q339" s="21">
        <f t="shared" si="177"/>
        <v>28.75</v>
      </c>
      <c r="R339" s="21">
        <f t="shared" si="177"/>
        <v>57.5</v>
      </c>
      <c r="S339" s="21">
        <f t="shared" si="177"/>
        <v>115</v>
      </c>
      <c r="T339" s="21">
        <f t="shared" si="177"/>
        <v>230</v>
      </c>
      <c r="U339" s="21">
        <f t="shared" si="177"/>
        <v>460</v>
      </c>
      <c r="V339" s="21">
        <f t="shared" si="177"/>
        <v>920</v>
      </c>
      <c r="W339" s="21">
        <f t="shared" si="177"/>
        <v>1840</v>
      </c>
      <c r="X339" s="21">
        <f t="shared" si="177"/>
        <v>3680</v>
      </c>
      <c r="Y339" s="21">
        <f t="shared" si="177"/>
        <v>7360</v>
      </c>
      <c r="Z339" s="21">
        <f t="shared" si="177"/>
        <v>14720</v>
      </c>
      <c r="AA339" s="21">
        <f t="shared" si="177"/>
        <v>29440</v>
      </c>
      <c r="AB339" s="21">
        <f t="shared" si="177"/>
        <v>58880</v>
      </c>
      <c r="AC339" s="21">
        <f t="shared" si="177"/>
        <v>117760</v>
      </c>
      <c r="AD339" s="21">
        <f t="shared" si="177"/>
        <v>235520</v>
      </c>
      <c r="AE339" s="21">
        <f t="shared" si="177"/>
        <v>294400</v>
      </c>
      <c r="AF339" s="21">
        <f t="shared" si="177"/>
        <v>353280</v>
      </c>
      <c r="AG339" s="21">
        <f t="shared" si="177"/>
        <v>412160</v>
      </c>
      <c r="AH339" s="21">
        <f t="shared" si="177"/>
        <v>471040</v>
      </c>
      <c r="AI339" s="21">
        <f t="shared" si="177"/>
        <v>602931.20000000007</v>
      </c>
      <c r="AJ339" s="21">
        <f t="shared" si="177"/>
        <v>706560</v>
      </c>
      <c r="AK339" s="21">
        <f t="shared" si="177"/>
        <v>824320</v>
      </c>
      <c r="AL339" s="21">
        <f t="shared" si="177"/>
        <v>942080</v>
      </c>
      <c r="AM339" s="21">
        <f t="shared" si="177"/>
        <v>1130496</v>
      </c>
      <c r="AN339" s="21">
        <f t="shared" si="177"/>
        <v>1318912</v>
      </c>
      <c r="AO339" s="21">
        <f t="shared" si="177"/>
        <v>1507328</v>
      </c>
      <c r="AP339" s="21">
        <f t="shared" si="177"/>
        <v>1695744</v>
      </c>
      <c r="AQ339" s="21">
        <f t="shared" si="177"/>
        <v>1884160</v>
      </c>
      <c r="AR339" s="21">
        <f t="shared" si="177"/>
        <v>2260992</v>
      </c>
      <c r="AS339" s="21">
        <f t="shared" si="177"/>
        <v>2637824</v>
      </c>
      <c r="AT339" s="21">
        <f t="shared" si="177"/>
        <v>3014656</v>
      </c>
      <c r="AU339" s="21">
        <f t="shared" si="177"/>
        <v>3391488</v>
      </c>
      <c r="AV339" s="21">
        <f t="shared" si="177"/>
        <v>3768320</v>
      </c>
      <c r="AW339" s="21">
        <f t="shared" si="177"/>
        <v>4521984</v>
      </c>
      <c r="AX339" s="21">
        <f t="shared" si="177"/>
        <v>5275648</v>
      </c>
      <c r="AY339" s="21">
        <f t="shared" si="177"/>
        <v>6029312</v>
      </c>
      <c r="AZ339" s="21">
        <f t="shared" si="177"/>
        <v>6782976</v>
      </c>
      <c r="BA339" s="21">
        <f t="shared" si="177"/>
        <v>7536640</v>
      </c>
      <c r="BB339" s="20">
        <f t="shared" si="177"/>
        <v>15073280</v>
      </c>
      <c r="BC339" s="21">
        <f t="shared" si="177"/>
        <v>30146560</v>
      </c>
      <c r="BD339" s="21">
        <f t="shared" si="177"/>
        <v>60293120</v>
      </c>
      <c r="BE339" s="21">
        <f t="shared" si="177"/>
        <v>120586240</v>
      </c>
      <c r="BF339" s="21">
        <f t="shared" si="177"/>
        <v>152060130</v>
      </c>
      <c r="BG339" s="72">
        <f t="shared" si="177"/>
        <v>152060130</v>
      </c>
      <c r="BH339" s="45"/>
    </row>
    <row r="340" spans="1:60" x14ac:dyDescent="0.25">
      <c r="A340" s="48"/>
      <c r="B340" s="16"/>
      <c r="C340" s="16"/>
      <c r="D340" s="25"/>
      <c r="E340" s="46">
        <v>0.06</v>
      </c>
      <c r="F340" s="16"/>
      <c r="G340" s="16"/>
      <c r="H340" s="16"/>
      <c r="I340" s="16"/>
      <c r="J340" s="16"/>
      <c r="K340" s="16"/>
      <c r="L340" s="16"/>
      <c r="M340" s="16"/>
      <c r="N340" s="16"/>
      <c r="O340" s="16"/>
      <c r="P340" s="29">
        <f t="shared" ref="P340:AP340" si="178">P339*$E$340</f>
        <v>0.86249999999999993</v>
      </c>
      <c r="Q340" s="30">
        <f t="shared" si="178"/>
        <v>1.7249999999999999</v>
      </c>
      <c r="R340" s="30">
        <f t="shared" si="178"/>
        <v>3.4499999999999997</v>
      </c>
      <c r="S340" s="30">
        <f t="shared" si="178"/>
        <v>6.8999999999999995</v>
      </c>
      <c r="T340" s="30">
        <f t="shared" si="178"/>
        <v>13.799999999999999</v>
      </c>
      <c r="U340" s="30">
        <f t="shared" si="178"/>
        <v>27.599999999999998</v>
      </c>
      <c r="V340" s="30">
        <f t="shared" si="178"/>
        <v>55.199999999999996</v>
      </c>
      <c r="W340" s="30">
        <f t="shared" si="178"/>
        <v>110.39999999999999</v>
      </c>
      <c r="X340" s="30">
        <f t="shared" si="178"/>
        <v>220.79999999999998</v>
      </c>
      <c r="Y340" s="30">
        <f t="shared" si="178"/>
        <v>441.59999999999997</v>
      </c>
      <c r="Z340" s="30">
        <f t="shared" si="178"/>
        <v>883.19999999999993</v>
      </c>
      <c r="AA340" s="30">
        <f t="shared" si="178"/>
        <v>1766.3999999999999</v>
      </c>
      <c r="AB340" s="30">
        <f t="shared" si="178"/>
        <v>3532.7999999999997</v>
      </c>
      <c r="AC340" s="30">
        <f t="shared" si="178"/>
        <v>7065.5999999999995</v>
      </c>
      <c r="AD340" s="30">
        <f t="shared" si="178"/>
        <v>14131.199999999999</v>
      </c>
      <c r="AE340" s="30">
        <f t="shared" ref="AE340:AG340" si="179">AE339*$E$340</f>
        <v>17664</v>
      </c>
      <c r="AF340" s="30">
        <f t="shared" si="179"/>
        <v>21196.799999999999</v>
      </c>
      <c r="AG340" s="30">
        <f t="shared" si="179"/>
        <v>24729.599999999999</v>
      </c>
      <c r="AH340" s="30">
        <f t="shared" si="178"/>
        <v>28262.399999999998</v>
      </c>
      <c r="AI340" s="30">
        <f t="shared" ref="AI340:AK340" si="180">AI339*$E$340</f>
        <v>36175.872000000003</v>
      </c>
      <c r="AJ340" s="30">
        <f t="shared" si="180"/>
        <v>42393.599999999999</v>
      </c>
      <c r="AK340" s="30">
        <f t="shared" si="180"/>
        <v>49459.199999999997</v>
      </c>
      <c r="AL340" s="30">
        <f t="shared" si="178"/>
        <v>56524.799999999996</v>
      </c>
      <c r="AM340" s="30">
        <f t="shared" si="178"/>
        <v>67829.759999999995</v>
      </c>
      <c r="AN340" s="30">
        <f t="shared" si="178"/>
        <v>79134.720000000001</v>
      </c>
      <c r="AO340" s="30">
        <f t="shared" si="178"/>
        <v>90439.679999999993</v>
      </c>
      <c r="AP340" s="30">
        <f t="shared" si="178"/>
        <v>101744.64</v>
      </c>
      <c r="AQ340" s="30">
        <f>AQ339*$E$340</f>
        <v>113049.59999999999</v>
      </c>
      <c r="AR340" s="30">
        <f t="shared" ref="AR340:AU340" si="181">AR339*$E$340</f>
        <v>135659.51999999999</v>
      </c>
      <c r="AS340" s="30">
        <f t="shared" si="181"/>
        <v>158269.44</v>
      </c>
      <c r="AT340" s="30">
        <f t="shared" si="181"/>
        <v>180879.35999999999</v>
      </c>
      <c r="AU340" s="30">
        <f t="shared" si="181"/>
        <v>203489.28</v>
      </c>
      <c r="AV340" s="30">
        <f>AV339*$E$340</f>
        <v>226099.19999999998</v>
      </c>
      <c r="AW340" s="30">
        <f t="shared" ref="AW340:AZ340" si="182">AW339*$E$340</f>
        <v>271319.03999999998</v>
      </c>
      <c r="AX340" s="30">
        <f t="shared" si="182"/>
        <v>316538.88</v>
      </c>
      <c r="AY340" s="30">
        <f t="shared" si="182"/>
        <v>361758.71999999997</v>
      </c>
      <c r="AZ340" s="30">
        <f t="shared" si="182"/>
        <v>406978.56</v>
      </c>
      <c r="BA340" s="30">
        <f>BA339*$E$340</f>
        <v>452198.39999999997</v>
      </c>
      <c r="BB340" s="29">
        <f t="shared" ref="BB340:BG340" si="183">BB339*$E$340</f>
        <v>904396.79999999993</v>
      </c>
      <c r="BC340" s="30">
        <f t="shared" si="183"/>
        <v>1808793.5999999999</v>
      </c>
      <c r="BD340" s="30">
        <f t="shared" si="183"/>
        <v>3617587.1999999997</v>
      </c>
      <c r="BE340" s="30">
        <f t="shared" si="183"/>
        <v>7235174.3999999994</v>
      </c>
      <c r="BF340" s="30">
        <f t="shared" si="183"/>
        <v>9123607.7999999989</v>
      </c>
      <c r="BG340" s="71">
        <f t="shared" si="183"/>
        <v>9123607.7999999989</v>
      </c>
      <c r="BH340" s="45"/>
    </row>
    <row r="341" spans="1:60" x14ac:dyDescent="0.25">
      <c r="A341" s="48" t="s">
        <v>8</v>
      </c>
      <c r="B341" s="24">
        <v>4.3899999999999998E-3</v>
      </c>
      <c r="C341" s="10">
        <f>$B$261 * B341</f>
        <v>1451182.5449999999</v>
      </c>
      <c r="D341" s="47"/>
      <c r="E341" s="16"/>
      <c r="F341" s="16"/>
      <c r="G341" s="16"/>
      <c r="H341" s="16"/>
      <c r="I341" s="16"/>
      <c r="J341" s="16"/>
      <c r="K341" s="16"/>
      <c r="L341" s="16"/>
      <c r="M341" s="16"/>
      <c r="N341" s="16"/>
      <c r="O341" s="16"/>
      <c r="P341" s="20">
        <f t="shared" ref="P341:BG341" si="184">P$278*$B$341</f>
        <v>0.13718749999999999</v>
      </c>
      <c r="Q341" s="21">
        <f t="shared" si="184"/>
        <v>0.27437499999999998</v>
      </c>
      <c r="R341" s="21">
        <f t="shared" si="184"/>
        <v>0.54874999999999996</v>
      </c>
      <c r="S341" s="21">
        <f t="shared" si="184"/>
        <v>1.0974999999999999</v>
      </c>
      <c r="T341" s="21">
        <f t="shared" si="184"/>
        <v>2.1949999999999998</v>
      </c>
      <c r="U341" s="21">
        <f t="shared" si="184"/>
        <v>4.3899999999999997</v>
      </c>
      <c r="V341" s="21">
        <f t="shared" si="184"/>
        <v>8.7799999999999994</v>
      </c>
      <c r="W341" s="21">
        <f t="shared" si="184"/>
        <v>17.559999999999999</v>
      </c>
      <c r="X341" s="21">
        <f t="shared" si="184"/>
        <v>35.119999999999997</v>
      </c>
      <c r="Y341" s="21">
        <f t="shared" si="184"/>
        <v>70.239999999999995</v>
      </c>
      <c r="Z341" s="21">
        <f t="shared" si="184"/>
        <v>140.47999999999999</v>
      </c>
      <c r="AA341" s="21">
        <f t="shared" si="184"/>
        <v>280.95999999999998</v>
      </c>
      <c r="AB341" s="21">
        <f t="shared" si="184"/>
        <v>561.91999999999996</v>
      </c>
      <c r="AC341" s="21">
        <f t="shared" si="184"/>
        <v>1123.8399999999999</v>
      </c>
      <c r="AD341" s="21">
        <f t="shared" si="184"/>
        <v>2247.6799999999998</v>
      </c>
      <c r="AE341" s="21">
        <f t="shared" si="184"/>
        <v>2809.6</v>
      </c>
      <c r="AF341" s="21">
        <f t="shared" si="184"/>
        <v>3371.52</v>
      </c>
      <c r="AG341" s="21">
        <f t="shared" si="184"/>
        <v>3933.4399999999996</v>
      </c>
      <c r="AH341" s="21">
        <f t="shared" si="184"/>
        <v>4495.3599999999997</v>
      </c>
      <c r="AI341" s="21">
        <f t="shared" si="184"/>
        <v>5754.0607999999993</v>
      </c>
      <c r="AJ341" s="21">
        <f t="shared" si="184"/>
        <v>6743.04</v>
      </c>
      <c r="AK341" s="21">
        <f t="shared" si="184"/>
        <v>7866.8799999999992</v>
      </c>
      <c r="AL341" s="21">
        <f t="shared" si="184"/>
        <v>8990.7199999999993</v>
      </c>
      <c r="AM341" s="21">
        <f t="shared" si="184"/>
        <v>10788.864</v>
      </c>
      <c r="AN341" s="21">
        <f t="shared" si="184"/>
        <v>12587.008</v>
      </c>
      <c r="AO341" s="21">
        <f t="shared" si="184"/>
        <v>14385.152</v>
      </c>
      <c r="AP341" s="21">
        <f t="shared" si="184"/>
        <v>16183.295999999998</v>
      </c>
      <c r="AQ341" s="21">
        <f t="shared" si="184"/>
        <v>17981.439999999999</v>
      </c>
      <c r="AR341" s="21">
        <f t="shared" si="184"/>
        <v>21577.727999999999</v>
      </c>
      <c r="AS341" s="21">
        <f t="shared" si="184"/>
        <v>25174.016</v>
      </c>
      <c r="AT341" s="21">
        <f t="shared" si="184"/>
        <v>28770.304</v>
      </c>
      <c r="AU341" s="21">
        <f t="shared" si="184"/>
        <v>32366.591999999997</v>
      </c>
      <c r="AV341" s="21">
        <f t="shared" si="184"/>
        <v>35962.879999999997</v>
      </c>
      <c r="AW341" s="21">
        <f t="shared" si="184"/>
        <v>43155.455999999998</v>
      </c>
      <c r="AX341" s="21">
        <f t="shared" si="184"/>
        <v>50348.031999999999</v>
      </c>
      <c r="AY341" s="21">
        <f t="shared" si="184"/>
        <v>57540.608</v>
      </c>
      <c r="AZ341" s="21">
        <f t="shared" si="184"/>
        <v>64733.183999999994</v>
      </c>
      <c r="BA341" s="21">
        <f t="shared" si="184"/>
        <v>71925.759999999995</v>
      </c>
      <c r="BB341" s="20">
        <f t="shared" si="184"/>
        <v>143851.51999999999</v>
      </c>
      <c r="BC341" s="21">
        <f t="shared" si="184"/>
        <v>287703.03999999998</v>
      </c>
      <c r="BD341" s="21">
        <f t="shared" si="184"/>
        <v>575406.07999999996</v>
      </c>
      <c r="BE341" s="21">
        <f t="shared" si="184"/>
        <v>1150812.1599999999</v>
      </c>
      <c r="BF341" s="21">
        <f t="shared" si="184"/>
        <v>1451182.5449999999</v>
      </c>
      <c r="BG341" s="72">
        <f t="shared" si="184"/>
        <v>1451182.5449999999</v>
      </c>
      <c r="BH341" s="45"/>
    </row>
    <row r="342" spans="1:60" x14ac:dyDescent="0.25">
      <c r="A342" s="48"/>
      <c r="B342" s="16"/>
      <c r="C342" s="16"/>
      <c r="D342" s="25"/>
      <c r="E342" s="46">
        <v>5.6000000000000001E-2</v>
      </c>
      <c r="F342" s="16"/>
      <c r="G342" s="16"/>
      <c r="H342" s="16"/>
      <c r="I342" s="16"/>
      <c r="J342" s="16"/>
      <c r="K342" s="16"/>
      <c r="L342" s="16"/>
      <c r="M342" s="16"/>
      <c r="N342" s="16"/>
      <c r="O342" s="16"/>
      <c r="P342" s="29">
        <f t="shared" ref="P342:AP342" si="185">P341*$E$342</f>
        <v>7.6824999999999992E-3</v>
      </c>
      <c r="Q342" s="30">
        <f t="shared" si="185"/>
        <v>1.5364999999999998E-2</v>
      </c>
      <c r="R342" s="30">
        <f t="shared" si="185"/>
        <v>3.0729999999999997E-2</v>
      </c>
      <c r="S342" s="30">
        <f t="shared" si="185"/>
        <v>6.1459999999999994E-2</v>
      </c>
      <c r="T342" s="30">
        <f t="shared" si="185"/>
        <v>0.12291999999999999</v>
      </c>
      <c r="U342" s="30">
        <f t="shared" si="185"/>
        <v>0.24583999999999998</v>
      </c>
      <c r="V342" s="30">
        <f t="shared" si="185"/>
        <v>0.49167999999999995</v>
      </c>
      <c r="W342" s="30">
        <f t="shared" si="185"/>
        <v>0.9833599999999999</v>
      </c>
      <c r="X342" s="30">
        <f t="shared" si="185"/>
        <v>1.9667199999999998</v>
      </c>
      <c r="Y342" s="30">
        <f t="shared" si="185"/>
        <v>3.9334399999999996</v>
      </c>
      <c r="Z342" s="30">
        <f t="shared" si="185"/>
        <v>7.8668799999999992</v>
      </c>
      <c r="AA342" s="30">
        <f t="shared" si="185"/>
        <v>15.733759999999998</v>
      </c>
      <c r="AB342" s="30">
        <f t="shared" si="185"/>
        <v>31.467519999999997</v>
      </c>
      <c r="AC342" s="30">
        <f t="shared" si="185"/>
        <v>62.935039999999994</v>
      </c>
      <c r="AD342" s="30">
        <f t="shared" si="185"/>
        <v>125.87007999999999</v>
      </c>
      <c r="AE342" s="30">
        <f t="shared" ref="AE342:AG342" si="186">AE341*$E$342</f>
        <v>157.33760000000001</v>
      </c>
      <c r="AF342" s="30">
        <f t="shared" si="186"/>
        <v>188.80512000000002</v>
      </c>
      <c r="AG342" s="30">
        <f t="shared" si="186"/>
        <v>220.27264</v>
      </c>
      <c r="AH342" s="30">
        <f t="shared" si="185"/>
        <v>251.74015999999997</v>
      </c>
      <c r="AI342" s="30">
        <f t="shared" ref="AI342:AK342" si="187">AI341*$E$342</f>
        <v>322.22740479999999</v>
      </c>
      <c r="AJ342" s="30">
        <f t="shared" si="187"/>
        <v>377.61024000000003</v>
      </c>
      <c r="AK342" s="30">
        <f t="shared" si="187"/>
        <v>440.54527999999999</v>
      </c>
      <c r="AL342" s="30">
        <f t="shared" si="185"/>
        <v>503.48031999999995</v>
      </c>
      <c r="AM342" s="30">
        <f t="shared" si="185"/>
        <v>604.17638399999998</v>
      </c>
      <c r="AN342" s="30">
        <f t="shared" si="185"/>
        <v>704.87244799999996</v>
      </c>
      <c r="AO342" s="30">
        <f t="shared" si="185"/>
        <v>805.56851200000006</v>
      </c>
      <c r="AP342" s="30">
        <f t="shared" si="185"/>
        <v>906.26457599999992</v>
      </c>
      <c r="AQ342" s="30">
        <f>AQ341*$E$342</f>
        <v>1006.9606399999999</v>
      </c>
      <c r="AR342" s="30">
        <f t="shared" ref="AR342:AU342" si="188">AR341*$E$342</f>
        <v>1208.352768</v>
      </c>
      <c r="AS342" s="30">
        <f t="shared" si="188"/>
        <v>1409.7448959999999</v>
      </c>
      <c r="AT342" s="30">
        <f t="shared" si="188"/>
        <v>1611.1370240000001</v>
      </c>
      <c r="AU342" s="30">
        <f t="shared" si="188"/>
        <v>1812.5291519999998</v>
      </c>
      <c r="AV342" s="30">
        <f>AV341*$E$342</f>
        <v>2013.9212799999998</v>
      </c>
      <c r="AW342" s="30">
        <f t="shared" ref="AW342:AZ342" si="189">AW341*$E$342</f>
        <v>2416.7055359999999</v>
      </c>
      <c r="AX342" s="30">
        <f t="shared" si="189"/>
        <v>2819.4897919999999</v>
      </c>
      <c r="AY342" s="30">
        <f t="shared" si="189"/>
        <v>3222.2740480000002</v>
      </c>
      <c r="AZ342" s="30">
        <f t="shared" si="189"/>
        <v>3625.0583039999997</v>
      </c>
      <c r="BA342" s="30">
        <f>BA341*$E$342</f>
        <v>4027.8425599999996</v>
      </c>
      <c r="BB342" s="29">
        <f t="shared" ref="BB342:BG342" si="190">BB341*$E$342</f>
        <v>8055.6851199999992</v>
      </c>
      <c r="BC342" s="30">
        <f t="shared" si="190"/>
        <v>16111.370239999998</v>
      </c>
      <c r="BD342" s="30">
        <f t="shared" si="190"/>
        <v>32222.740479999997</v>
      </c>
      <c r="BE342" s="30">
        <f t="shared" si="190"/>
        <v>64445.480959999994</v>
      </c>
      <c r="BF342" s="30">
        <f t="shared" si="190"/>
        <v>81266.222519999996</v>
      </c>
      <c r="BG342" s="71">
        <f t="shared" si="190"/>
        <v>81266.222519999996</v>
      </c>
      <c r="BH342" s="45"/>
    </row>
    <row r="343" spans="1:60" x14ac:dyDescent="0.25">
      <c r="A343" s="48" t="s">
        <v>9</v>
      </c>
      <c r="B343" s="24">
        <v>0.155</v>
      </c>
      <c r="C343" s="10">
        <f>$B$261 * B343</f>
        <v>51237652.5</v>
      </c>
      <c r="D343" s="47"/>
      <c r="E343" s="16"/>
      <c r="F343" s="16"/>
      <c r="G343" s="16"/>
      <c r="H343" s="16"/>
      <c r="I343" s="16"/>
      <c r="J343" s="16"/>
      <c r="K343" s="16"/>
      <c r="L343" s="16"/>
      <c r="M343" s="16"/>
      <c r="N343" s="16"/>
      <c r="O343" s="16"/>
      <c r="P343" s="20">
        <f t="shared" ref="P343:BG343" si="191">P$278*$B$343</f>
        <v>4.84375</v>
      </c>
      <c r="Q343" s="21">
        <f t="shared" si="191"/>
        <v>9.6875</v>
      </c>
      <c r="R343" s="21">
        <f t="shared" si="191"/>
        <v>19.375</v>
      </c>
      <c r="S343" s="21">
        <f t="shared" si="191"/>
        <v>38.75</v>
      </c>
      <c r="T343" s="21">
        <f t="shared" si="191"/>
        <v>77.5</v>
      </c>
      <c r="U343" s="21">
        <f t="shared" si="191"/>
        <v>155</v>
      </c>
      <c r="V343" s="21">
        <f t="shared" si="191"/>
        <v>310</v>
      </c>
      <c r="W343" s="21">
        <f t="shared" si="191"/>
        <v>620</v>
      </c>
      <c r="X343" s="21">
        <f t="shared" si="191"/>
        <v>1240</v>
      </c>
      <c r="Y343" s="21">
        <f t="shared" si="191"/>
        <v>2480</v>
      </c>
      <c r="Z343" s="21">
        <f t="shared" si="191"/>
        <v>4960</v>
      </c>
      <c r="AA343" s="21">
        <f t="shared" si="191"/>
        <v>9920</v>
      </c>
      <c r="AB343" s="21">
        <f t="shared" si="191"/>
        <v>19840</v>
      </c>
      <c r="AC343" s="21">
        <f t="shared" si="191"/>
        <v>39680</v>
      </c>
      <c r="AD343" s="21">
        <f t="shared" si="191"/>
        <v>79360</v>
      </c>
      <c r="AE343" s="21">
        <f t="shared" si="191"/>
        <v>99200</v>
      </c>
      <c r="AF343" s="21">
        <f t="shared" si="191"/>
        <v>119040</v>
      </c>
      <c r="AG343" s="21">
        <f t="shared" si="191"/>
        <v>138880</v>
      </c>
      <c r="AH343" s="21">
        <f t="shared" si="191"/>
        <v>158720</v>
      </c>
      <c r="AI343" s="21">
        <f t="shared" si="191"/>
        <v>203161.60000000001</v>
      </c>
      <c r="AJ343" s="21">
        <f t="shared" si="191"/>
        <v>238080</v>
      </c>
      <c r="AK343" s="21">
        <f t="shared" si="191"/>
        <v>277760</v>
      </c>
      <c r="AL343" s="21">
        <f t="shared" si="191"/>
        <v>317440</v>
      </c>
      <c r="AM343" s="21">
        <f t="shared" si="191"/>
        <v>380928</v>
      </c>
      <c r="AN343" s="21">
        <f t="shared" si="191"/>
        <v>444416</v>
      </c>
      <c r="AO343" s="21">
        <f t="shared" si="191"/>
        <v>507904</v>
      </c>
      <c r="AP343" s="21">
        <f t="shared" si="191"/>
        <v>571392</v>
      </c>
      <c r="AQ343" s="21">
        <f t="shared" si="191"/>
        <v>634880</v>
      </c>
      <c r="AR343" s="21">
        <f t="shared" si="191"/>
        <v>761856</v>
      </c>
      <c r="AS343" s="21">
        <f t="shared" si="191"/>
        <v>888832</v>
      </c>
      <c r="AT343" s="21">
        <f t="shared" si="191"/>
        <v>1015808</v>
      </c>
      <c r="AU343" s="21">
        <f t="shared" si="191"/>
        <v>1142784</v>
      </c>
      <c r="AV343" s="21">
        <f t="shared" si="191"/>
        <v>1269760</v>
      </c>
      <c r="AW343" s="21">
        <f t="shared" si="191"/>
        <v>1523712</v>
      </c>
      <c r="AX343" s="21">
        <f t="shared" si="191"/>
        <v>1777664</v>
      </c>
      <c r="AY343" s="21">
        <f t="shared" si="191"/>
        <v>2031616</v>
      </c>
      <c r="AZ343" s="21">
        <f t="shared" si="191"/>
        <v>2285568</v>
      </c>
      <c r="BA343" s="21">
        <f t="shared" si="191"/>
        <v>2539520</v>
      </c>
      <c r="BB343" s="20">
        <f t="shared" si="191"/>
        <v>5079040</v>
      </c>
      <c r="BC343" s="21">
        <f t="shared" si="191"/>
        <v>10158080</v>
      </c>
      <c r="BD343" s="21">
        <f t="shared" si="191"/>
        <v>20316160</v>
      </c>
      <c r="BE343" s="21">
        <f t="shared" si="191"/>
        <v>40632320</v>
      </c>
      <c r="BF343" s="21">
        <f t="shared" si="191"/>
        <v>51237652.5</v>
      </c>
      <c r="BG343" s="72">
        <f t="shared" si="191"/>
        <v>51237652.5</v>
      </c>
      <c r="BH343" s="45"/>
    </row>
    <row r="344" spans="1:60" x14ac:dyDescent="0.25">
      <c r="A344" s="37"/>
      <c r="B344" s="39"/>
      <c r="C344" s="39"/>
      <c r="D344" s="55"/>
      <c r="E344" s="56" t="s">
        <v>10</v>
      </c>
      <c r="F344" s="39"/>
      <c r="G344" s="39"/>
      <c r="H344" s="39"/>
      <c r="I344" s="39"/>
      <c r="J344" s="39"/>
      <c r="K344" s="39"/>
      <c r="L344" s="39"/>
      <c r="M344" s="39"/>
      <c r="N344" s="39"/>
      <c r="O344" s="39"/>
      <c r="P344" s="31" t="s">
        <v>10</v>
      </c>
      <c r="Q344" s="32" t="s">
        <v>10</v>
      </c>
      <c r="R344" s="32" t="s">
        <v>10</v>
      </c>
      <c r="S344" s="32" t="s">
        <v>10</v>
      </c>
      <c r="T344" s="32" t="s">
        <v>10</v>
      </c>
      <c r="U344" s="32" t="s">
        <v>10</v>
      </c>
      <c r="V344" s="32" t="s">
        <v>10</v>
      </c>
      <c r="W344" s="32" t="s">
        <v>10</v>
      </c>
      <c r="X344" s="32" t="s">
        <v>10</v>
      </c>
      <c r="Y344" s="32" t="s">
        <v>10</v>
      </c>
      <c r="Z344" s="32" t="s">
        <v>10</v>
      </c>
      <c r="AA344" s="32" t="s">
        <v>10</v>
      </c>
      <c r="AB344" s="32" t="s">
        <v>10</v>
      </c>
      <c r="AC344" s="32" t="s">
        <v>10</v>
      </c>
      <c r="AD344" s="32" t="s">
        <v>10</v>
      </c>
      <c r="AE344" s="32" t="s">
        <v>10</v>
      </c>
      <c r="AF344" s="32" t="s">
        <v>10</v>
      </c>
      <c r="AG344" s="32" t="s">
        <v>10</v>
      </c>
      <c r="AH344" s="32" t="s">
        <v>10</v>
      </c>
      <c r="AI344" s="32" t="s">
        <v>10</v>
      </c>
      <c r="AJ344" s="32" t="s">
        <v>10</v>
      </c>
      <c r="AK344" s="32" t="s">
        <v>10</v>
      </c>
      <c r="AL344" s="32" t="s">
        <v>10</v>
      </c>
      <c r="AM344" s="32" t="s">
        <v>10</v>
      </c>
      <c r="AN344" s="32" t="s">
        <v>10</v>
      </c>
      <c r="AO344" s="32" t="s">
        <v>10</v>
      </c>
      <c r="AP344" s="32" t="s">
        <v>10</v>
      </c>
      <c r="AQ344" s="32" t="s">
        <v>10</v>
      </c>
      <c r="AR344" s="32" t="s">
        <v>10</v>
      </c>
      <c r="AS344" s="32" t="s">
        <v>10</v>
      </c>
      <c r="AT344" s="32" t="s">
        <v>10</v>
      </c>
      <c r="AU344" s="32" t="s">
        <v>10</v>
      </c>
      <c r="AV344" s="32" t="s">
        <v>10</v>
      </c>
      <c r="AW344" s="32" t="s">
        <v>10</v>
      </c>
      <c r="AX344" s="32" t="s">
        <v>10</v>
      </c>
      <c r="AY344" s="32" t="s">
        <v>10</v>
      </c>
      <c r="AZ344" s="32" t="s">
        <v>10</v>
      </c>
      <c r="BA344" s="32" t="s">
        <v>10</v>
      </c>
      <c r="BB344" s="29" t="s">
        <v>10</v>
      </c>
      <c r="BC344" s="30" t="s">
        <v>10</v>
      </c>
      <c r="BD344" s="30" t="s">
        <v>10</v>
      </c>
      <c r="BE344" s="30" t="s">
        <v>10</v>
      </c>
      <c r="BF344" s="30" t="s">
        <v>10</v>
      </c>
      <c r="BG344" s="71" t="s">
        <v>10</v>
      </c>
      <c r="BH344" s="45"/>
    </row>
    <row r="345" spans="1:60" x14ac:dyDescent="0.25">
      <c r="A345" s="41"/>
      <c r="B345" s="16"/>
      <c r="C345" s="16"/>
      <c r="D345" s="47"/>
      <c r="E345" s="16"/>
      <c r="F345" s="16"/>
      <c r="G345" s="16"/>
      <c r="H345" s="16"/>
      <c r="I345" s="16"/>
      <c r="J345" s="16"/>
      <c r="K345" s="16"/>
      <c r="L345" s="16"/>
      <c r="M345" s="16"/>
      <c r="N345" s="16"/>
      <c r="O345" s="16"/>
      <c r="P345" s="20">
        <f>SUM(P333,P335,P337,P339,P341,P343)</f>
        <v>38.105937500000003</v>
      </c>
      <c r="Q345" s="21">
        <f t="shared" ref="Q345:AP345" si="192">SUM(Q333,Q335,Q337,Q339,Q341,Q343)</f>
        <v>76.211875000000006</v>
      </c>
      <c r="R345" s="21">
        <f t="shared" si="192"/>
        <v>152.42375000000001</v>
      </c>
      <c r="S345" s="21">
        <f t="shared" si="192"/>
        <v>304.84750000000003</v>
      </c>
      <c r="T345" s="21">
        <f t="shared" si="192"/>
        <v>609.69500000000005</v>
      </c>
      <c r="U345" s="21">
        <f t="shared" si="192"/>
        <v>1219.3900000000001</v>
      </c>
      <c r="V345" s="21">
        <f>SUM(V333,V335,V337,V339,V341,V343)</f>
        <v>2438.7800000000002</v>
      </c>
      <c r="W345" s="21">
        <f t="shared" si="192"/>
        <v>4877.5600000000004</v>
      </c>
      <c r="X345" s="21">
        <f t="shared" si="192"/>
        <v>9755.1200000000008</v>
      </c>
      <c r="Y345" s="21">
        <f t="shared" si="192"/>
        <v>19510.240000000002</v>
      </c>
      <c r="Z345" s="21">
        <f t="shared" si="192"/>
        <v>39020.480000000003</v>
      </c>
      <c r="AA345" s="21">
        <f t="shared" si="192"/>
        <v>78040.960000000006</v>
      </c>
      <c r="AB345" s="21">
        <f t="shared" si="192"/>
        <v>156081.92000000001</v>
      </c>
      <c r="AC345" s="21">
        <f t="shared" si="192"/>
        <v>312163.84000000003</v>
      </c>
      <c r="AD345" s="21">
        <f t="shared" si="192"/>
        <v>624327.68000000005</v>
      </c>
      <c r="AE345" s="21">
        <f t="shared" ref="AE345:AG345" si="193">SUM(AE333,AE335,AE337,AE339,AE341,AE343)</f>
        <v>780409.6</v>
      </c>
      <c r="AF345" s="21">
        <f t="shared" si="193"/>
        <v>936491.52000000002</v>
      </c>
      <c r="AG345" s="21">
        <f t="shared" si="193"/>
        <v>1092573.44</v>
      </c>
      <c r="AH345" s="21">
        <f t="shared" si="192"/>
        <v>1248655.3600000001</v>
      </c>
      <c r="AI345" s="21">
        <f t="shared" ref="AI345:AK345" si="194">SUM(AI333,AI335,AI337,AI339,AI341,AI343)</f>
        <v>1598278.8608000004</v>
      </c>
      <c r="AJ345" s="21">
        <f t="shared" si="194"/>
        <v>1872983.04</v>
      </c>
      <c r="AK345" s="21">
        <f t="shared" si="194"/>
        <v>2185146.88</v>
      </c>
      <c r="AL345" s="21">
        <f t="shared" si="192"/>
        <v>2497310.7200000002</v>
      </c>
      <c r="AM345" s="21">
        <f t="shared" si="192"/>
        <v>2996772.8640000001</v>
      </c>
      <c r="AN345" s="21">
        <f t="shared" si="192"/>
        <v>3496235.0079999999</v>
      </c>
      <c r="AO345" s="21">
        <f t="shared" si="192"/>
        <v>3995697.1519999998</v>
      </c>
      <c r="AP345" s="21">
        <f t="shared" si="192"/>
        <v>4495159.2960000001</v>
      </c>
      <c r="AQ345" s="21">
        <f t="shared" ref="AQ345:BA346" si="195">SUM(AQ333,AQ335,AQ337,AQ339,AQ341,AQ343)</f>
        <v>4994621.4400000004</v>
      </c>
      <c r="AR345" s="21">
        <f t="shared" ref="AR345:AU345" si="196">SUM(AR333,AR335,AR337,AR339,AR341,AR343)</f>
        <v>5993545.7280000001</v>
      </c>
      <c r="AS345" s="21">
        <f t="shared" si="196"/>
        <v>6992470.0159999998</v>
      </c>
      <c r="AT345" s="21">
        <f t="shared" si="196"/>
        <v>7991394.3039999995</v>
      </c>
      <c r="AU345" s="21">
        <f t="shared" si="196"/>
        <v>8990318.5920000002</v>
      </c>
      <c r="AV345" s="21">
        <f t="shared" si="195"/>
        <v>9989242.8800000008</v>
      </c>
      <c r="AW345" s="21">
        <f t="shared" ref="AW345:AZ345" si="197">SUM(AW333,AW335,AW337,AW339,AW341,AW343)</f>
        <v>11987091.456</v>
      </c>
      <c r="AX345" s="21">
        <f t="shared" si="197"/>
        <v>13984940.032</v>
      </c>
      <c r="AY345" s="21">
        <f t="shared" si="197"/>
        <v>15982788.607999999</v>
      </c>
      <c r="AZ345" s="21">
        <f t="shared" si="197"/>
        <v>17980637.184</v>
      </c>
      <c r="BA345" s="21">
        <f t="shared" si="195"/>
        <v>19978485.760000002</v>
      </c>
      <c r="BB345" s="18">
        <f t="shared" ref="BB345:BG345" si="198">SUM(BB333,BB335,BB337,BB339,BB341,BB343)</f>
        <v>39956971.520000003</v>
      </c>
      <c r="BC345" s="19">
        <f t="shared" si="198"/>
        <v>79913943.040000007</v>
      </c>
      <c r="BD345" s="19">
        <f t="shared" si="198"/>
        <v>159827886.08000001</v>
      </c>
      <c r="BE345" s="19">
        <f t="shared" si="198"/>
        <v>319655772.16000003</v>
      </c>
      <c r="BF345" s="19">
        <f t="shared" si="198"/>
        <v>403088265.04500002</v>
      </c>
      <c r="BG345" s="60">
        <f t="shared" si="198"/>
        <v>403088265.04500002</v>
      </c>
      <c r="BH345" s="45"/>
    </row>
    <row r="346" spans="1:60" x14ac:dyDescent="0.25">
      <c r="A346" s="37" t="s">
        <v>40</v>
      </c>
      <c r="B346" s="39"/>
      <c r="C346" s="39"/>
      <c r="D346" s="39"/>
      <c r="E346" s="39"/>
      <c r="F346" s="39"/>
      <c r="G346" s="39"/>
      <c r="H346" s="39"/>
      <c r="I346" s="39"/>
      <c r="J346" s="39"/>
      <c r="K346" s="39"/>
      <c r="L346" s="39"/>
      <c r="M346" s="39"/>
      <c r="N346" s="39"/>
      <c r="O346" s="39"/>
      <c r="P346" s="31">
        <f>SUM(P334,P336,P338,P340,P342,P344)</f>
        <v>2.5650575</v>
      </c>
      <c r="Q346" s="32">
        <f t="shared" ref="Q346:AP346" si="199">SUM(Q334,Q336,Q338,Q340,Q342,Q344)</f>
        <v>5.130115</v>
      </c>
      <c r="R346" s="32">
        <f t="shared" si="199"/>
        <v>10.26023</v>
      </c>
      <c r="S346" s="32">
        <f t="shared" si="199"/>
        <v>20.52046</v>
      </c>
      <c r="T346" s="32">
        <f t="shared" si="199"/>
        <v>41.04092</v>
      </c>
      <c r="U346" s="32">
        <f t="shared" si="199"/>
        <v>82.08184</v>
      </c>
      <c r="V346" s="32">
        <f t="shared" si="199"/>
        <v>164.16368</v>
      </c>
      <c r="W346" s="32">
        <f t="shared" si="199"/>
        <v>328.32736</v>
      </c>
      <c r="X346" s="32">
        <f t="shared" si="199"/>
        <v>656.65472</v>
      </c>
      <c r="Y346" s="32">
        <f t="shared" si="199"/>
        <v>1313.30944</v>
      </c>
      <c r="Z346" s="32">
        <f t="shared" si="199"/>
        <v>2626.61888</v>
      </c>
      <c r="AA346" s="32">
        <f t="shared" si="199"/>
        <v>5253.23776</v>
      </c>
      <c r="AB346" s="32">
        <f t="shared" si="199"/>
        <v>10506.47552</v>
      </c>
      <c r="AC346" s="32">
        <f t="shared" si="199"/>
        <v>21012.95104</v>
      </c>
      <c r="AD346" s="32">
        <f t="shared" si="199"/>
        <v>42025.90208</v>
      </c>
      <c r="AE346" s="32">
        <f t="shared" ref="AE346:AG346" si="200">SUM(AE334,AE336,AE338,AE340,AE342,AE344)</f>
        <v>52532.377599999993</v>
      </c>
      <c r="AF346" s="32">
        <f t="shared" si="200"/>
        <v>63038.853119999992</v>
      </c>
      <c r="AG346" s="32">
        <f t="shared" si="200"/>
        <v>73545.328639999992</v>
      </c>
      <c r="AH346" s="32">
        <f t="shared" si="199"/>
        <v>84051.80416</v>
      </c>
      <c r="AI346" s="32">
        <f t="shared" ref="AI346:AK346" si="201">SUM(AI334,AI336,AI338,AI340,AI342,AI344)</f>
        <v>107586.30932479999</v>
      </c>
      <c r="AJ346" s="32">
        <f t="shared" si="201"/>
        <v>126077.70623999998</v>
      </c>
      <c r="AK346" s="32">
        <f t="shared" si="201"/>
        <v>147090.65727999998</v>
      </c>
      <c r="AL346" s="32">
        <f t="shared" si="199"/>
        <v>168103.60832</v>
      </c>
      <c r="AM346" s="32">
        <f t="shared" si="199"/>
        <v>201724.32998400001</v>
      </c>
      <c r="AN346" s="32">
        <f t="shared" si="199"/>
        <v>235345.05164800002</v>
      </c>
      <c r="AO346" s="32">
        <f t="shared" si="199"/>
        <v>268965.77331199998</v>
      </c>
      <c r="AP346" s="32">
        <f t="shared" si="199"/>
        <v>302586.49497599999</v>
      </c>
      <c r="AQ346" s="32">
        <f t="shared" si="195"/>
        <v>336207.21664</v>
      </c>
      <c r="AR346" s="32">
        <f t="shared" ref="AR346:AU346" si="202">SUM(AR334,AR336,AR338,AR340,AR342,AR344)</f>
        <v>403448.65996800002</v>
      </c>
      <c r="AS346" s="32">
        <f t="shared" si="202"/>
        <v>470690.10329600004</v>
      </c>
      <c r="AT346" s="32">
        <f t="shared" si="202"/>
        <v>537931.54662399995</v>
      </c>
      <c r="AU346" s="32">
        <f t="shared" si="202"/>
        <v>605172.98995199997</v>
      </c>
      <c r="AV346" s="32">
        <f t="shared" si="195"/>
        <v>672414.43328</v>
      </c>
      <c r="AW346" s="32">
        <f t="shared" ref="AW346:AZ346" si="203">SUM(AW334,AW336,AW338,AW340,AW342,AW344)</f>
        <v>806897.31993600004</v>
      </c>
      <c r="AX346" s="32">
        <f t="shared" si="203"/>
        <v>941380.20659200009</v>
      </c>
      <c r="AY346" s="32">
        <f t="shared" si="203"/>
        <v>1075863.0932479999</v>
      </c>
      <c r="AZ346" s="32">
        <f t="shared" si="203"/>
        <v>1210345.9799039999</v>
      </c>
      <c r="BA346" s="32">
        <f t="shared" si="195"/>
        <v>1344828.86656</v>
      </c>
      <c r="BB346" s="31">
        <f t="shared" ref="BB346:BG346" si="204">SUM(BB334,BB336,BB338,BB340,BB342,BB344)</f>
        <v>2689657.73312</v>
      </c>
      <c r="BC346" s="32">
        <f t="shared" si="204"/>
        <v>5379315.46624</v>
      </c>
      <c r="BD346" s="32">
        <f t="shared" si="204"/>
        <v>10758630.93248</v>
      </c>
      <c r="BE346" s="32">
        <f t="shared" si="204"/>
        <v>21517261.86496</v>
      </c>
      <c r="BF346" s="32">
        <f t="shared" si="204"/>
        <v>27133424.480520003</v>
      </c>
      <c r="BG346" s="73">
        <f t="shared" si="204"/>
        <v>27133424.480520003</v>
      </c>
      <c r="BH346" s="45"/>
    </row>
  </sheetData>
  <conditionalFormatting sqref="BH289 P289:BF289">
    <cfRule type="cellIs" dxfId="21" priority="31" operator="greaterThan">
      <formula>$C$267</formula>
    </cfRule>
  </conditionalFormatting>
  <conditionalFormatting sqref="P291:BF291">
    <cfRule type="cellIs" dxfId="20" priority="30" operator="greaterThan">
      <formula>$C$268</formula>
    </cfRule>
  </conditionalFormatting>
  <conditionalFormatting sqref="P310:BG310">
    <cfRule type="cellIs" dxfId="19" priority="29" operator="greaterThan">
      <formula>$C$310</formula>
    </cfRule>
  </conditionalFormatting>
  <conditionalFormatting sqref="P312:BG312">
    <cfRule type="cellIs" dxfId="18" priority="28" operator="greaterThan">
      <formula>$C$312</formula>
    </cfRule>
  </conditionalFormatting>
  <conditionalFormatting sqref="P314:BG314">
    <cfRule type="cellIs" dxfId="17" priority="27" operator="greaterThan">
      <formula>$C$314</formula>
    </cfRule>
  </conditionalFormatting>
  <conditionalFormatting sqref="P316:BG316">
    <cfRule type="cellIs" dxfId="16" priority="19" operator="greaterThan">
      <formula>$C$316</formula>
    </cfRule>
  </conditionalFormatting>
  <conditionalFormatting sqref="P318:BG318">
    <cfRule type="cellIs" dxfId="15" priority="18" operator="greaterThan">
      <formula>$C$318</formula>
    </cfRule>
  </conditionalFormatting>
  <conditionalFormatting sqref="P320:BG320">
    <cfRule type="cellIs" dxfId="14" priority="17" operator="greaterThan">
      <formula>$C$320</formula>
    </cfRule>
  </conditionalFormatting>
  <conditionalFormatting sqref="P322:BG322">
    <cfRule type="cellIs" dxfId="13" priority="16" operator="greaterThan">
      <formula>$C$322</formula>
    </cfRule>
  </conditionalFormatting>
  <conditionalFormatting sqref="P324:BG324">
    <cfRule type="cellIs" dxfId="12" priority="15" operator="greaterThan">
      <formula>$C$324</formula>
    </cfRule>
  </conditionalFormatting>
  <conditionalFormatting sqref="P326:BG326">
    <cfRule type="cellIs" dxfId="11" priority="14" operator="greaterThan">
      <formula>$C$326</formula>
    </cfRule>
  </conditionalFormatting>
  <conditionalFormatting sqref="P280:BG280">
    <cfRule type="cellIs" dxfId="10" priority="13" operator="equal">
      <formula>0</formula>
    </cfRule>
  </conditionalFormatting>
  <conditionalFormatting sqref="P287:BF287 P289:BF289 Q291:BF291">
    <cfRule type="cellIs" dxfId="9" priority="12" operator="equal">
      <formula>0</formula>
    </cfRule>
  </conditionalFormatting>
  <conditionalFormatting sqref="D310">
    <cfRule type="cellIs" dxfId="8" priority="9" operator="greaterThan">
      <formula>$B$310</formula>
    </cfRule>
  </conditionalFormatting>
  <conditionalFormatting sqref="D312">
    <cfRule type="cellIs" dxfId="7" priority="8" operator="greaterThan">
      <formula>$B$312</formula>
    </cfRule>
  </conditionalFormatting>
  <conditionalFormatting sqref="D314">
    <cfRule type="cellIs" dxfId="6" priority="7" operator="greaterThan">
      <formula>$B$314</formula>
    </cfRule>
  </conditionalFormatting>
  <conditionalFormatting sqref="D316">
    <cfRule type="cellIs" dxfId="5" priority="6" operator="greaterThan">
      <formula>$B$316</formula>
    </cfRule>
  </conditionalFormatting>
  <conditionalFormatting sqref="D318">
    <cfRule type="cellIs" dxfId="4" priority="5" operator="greaterThan">
      <formula>$B$318</formula>
    </cfRule>
  </conditionalFormatting>
  <conditionalFormatting sqref="D320">
    <cfRule type="cellIs" dxfId="3" priority="4" operator="greaterThan">
      <formula>$B$320</formula>
    </cfRule>
  </conditionalFormatting>
  <conditionalFormatting sqref="D322">
    <cfRule type="cellIs" dxfId="2" priority="3" operator="greaterThan">
      <formula>$B$322</formula>
    </cfRule>
  </conditionalFormatting>
  <conditionalFormatting sqref="D324">
    <cfRule type="cellIs" dxfId="1" priority="2" operator="greaterThan">
      <formula>$B$324</formula>
    </cfRule>
  </conditionalFormatting>
  <conditionalFormatting sqref="D326">
    <cfRule type="cellIs" dxfId="0" priority="1" operator="greaterThan">
      <formula>$B$326</formula>
    </cfRule>
  </conditionalFormatting>
  <hyperlinks>
    <hyperlink ref="E309" r:id="rId1" location="case-fatality-rate-of-covid-19-by-age" xr:uid="{0058192C-B05A-45D2-8597-C1F9B3D9241E}"/>
    <hyperlink ref="E332" r:id="rId2" location="case-fatality-rate-of-covid-19-by-preexisting-health-conditions" xr:uid="{110A2613-24A6-4768-B90C-571B307D13E2}"/>
    <hyperlink ref="B265" r:id="rId3" display="https://cmmid.github.io/topics/covid19/severity/global_cfr_estimates.html" xr:uid="{478D393B-144B-447C-BE80-8DB4A6AAAE87}"/>
    <hyperlink ref="A263"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3" sqref="M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116</v>
      </c>
      <c r="C3" s="163">
        <f>Projections!B261</f>
        <v>330565500</v>
      </c>
      <c r="J3" s="2"/>
    </row>
    <row r="4" spans="2:10" x14ac:dyDescent="0.25">
      <c r="B4" s="180" t="s">
        <v>133</v>
      </c>
      <c r="C4" s="163">
        <f>Projections!P278</f>
        <v>31.25</v>
      </c>
      <c r="J4" s="2"/>
    </row>
    <row r="5" spans="2:10" x14ac:dyDescent="0.25">
      <c r="B5" s="180" t="s">
        <v>134</v>
      </c>
      <c r="C5" s="161">
        <f>Projections!P277</f>
        <v>43882</v>
      </c>
      <c r="J5" s="2"/>
    </row>
    <row r="6" spans="2:10" x14ac:dyDescent="0.25">
      <c r="B6" s="180" t="s">
        <v>117</v>
      </c>
      <c r="C6" s="163">
        <v>1793530</v>
      </c>
    </row>
    <row r="7" spans="2:10" x14ac:dyDescent="0.25">
      <c r="B7" s="180" t="s">
        <v>119</v>
      </c>
      <c r="C7" s="161">
        <f ca="1">NOW()</f>
        <v>43981.796145486114</v>
      </c>
    </row>
    <row r="8" spans="2:10" x14ac:dyDescent="0.25">
      <c r="B8" s="180" t="s">
        <v>135</v>
      </c>
      <c r="C8" s="162">
        <f ca="1">C7-C5</f>
        <v>99.796145486114256</v>
      </c>
    </row>
    <row r="9" spans="2:10" x14ac:dyDescent="0.25">
      <c r="B9" s="180" t="s">
        <v>118</v>
      </c>
      <c r="C9" s="164">
        <f ca="1">C8/(LOG(C6/C4)/LOG(2))</f>
        <v>6.3127811977998203</v>
      </c>
      <c r="D9" t="s">
        <v>98</v>
      </c>
      <c r="F9" t="s">
        <v>136</v>
      </c>
    </row>
    <row r="10" spans="2:10" x14ac:dyDescent="0.25">
      <c r="B10" s="180" t="s">
        <v>123</v>
      </c>
      <c r="C10" s="163">
        <f>Projections!C267</f>
        <v>793357.2</v>
      </c>
    </row>
    <row r="11" spans="2:10" x14ac:dyDescent="0.25">
      <c r="B11" s="181" t="s">
        <v>124</v>
      </c>
      <c r="C11" s="168">
        <f>Projections!C268</f>
        <v>114706.22850000001</v>
      </c>
    </row>
    <row r="12" spans="2:10" s="69" customFormat="1" x14ac:dyDescent="0.25">
      <c r="B12" s="62" t="s">
        <v>164</v>
      </c>
      <c r="C12" s="169">
        <f>C6/Projections!B265</f>
        <v>7558447.8571428573</v>
      </c>
    </row>
    <row r="13" spans="2:10" s="69" customFormat="1" x14ac:dyDescent="0.25">
      <c r="B13" s="48" t="s">
        <v>165</v>
      </c>
      <c r="C13" s="170">
        <f ca="1">(C4/Projections!B265)*(2^(((C7-21)-C5)/C9))</f>
        <v>753409.18034253898</v>
      </c>
    </row>
    <row r="14" spans="2:10" s="69" customFormat="1" x14ac:dyDescent="0.25">
      <c r="B14" s="49" t="s">
        <v>166</v>
      </c>
      <c r="C14" s="151">
        <f ca="1">C12-C13</f>
        <v>6805038.6768003181</v>
      </c>
      <c r="E14" s="166"/>
      <c r="F14" s="167" t="s">
        <v>140</v>
      </c>
      <c r="G14" s="165"/>
    </row>
    <row r="15" spans="2:10" x14ac:dyDescent="0.25">
      <c r="B15" s="4" t="s">
        <v>137</v>
      </c>
      <c r="C15" s="64">
        <f>C6*Projections!B270</f>
        <v>1452759.3</v>
      </c>
      <c r="I15" s="160"/>
    </row>
    <row r="16" spans="2:10" x14ac:dyDescent="0.25">
      <c r="B16" s="41" t="s">
        <v>147</v>
      </c>
      <c r="C16" s="83">
        <f ca="1">(C4*Projections!B270)*(2^(((C7-21)-C5)/C9))</f>
        <v>144807.79839126091</v>
      </c>
      <c r="I16" s="160"/>
    </row>
    <row r="17" spans="2:9" x14ac:dyDescent="0.25">
      <c r="B17" s="41" t="s">
        <v>138</v>
      </c>
      <c r="C17" s="83">
        <f ca="1">C15-C16</f>
        <v>1307951.5016087391</v>
      </c>
      <c r="F17" t="s">
        <v>141</v>
      </c>
      <c r="I17" s="160"/>
    </row>
    <row r="18" spans="2:9" x14ac:dyDescent="0.25">
      <c r="B18" s="4" t="s">
        <v>143</v>
      </c>
      <c r="C18" s="64">
        <f>C6*Projections!B271</f>
        <v>251094.2</v>
      </c>
    </row>
    <row r="19" spans="2:9" x14ac:dyDescent="0.25">
      <c r="B19" s="41" t="s">
        <v>148</v>
      </c>
      <c r="C19" s="83">
        <f ca="1">(C4*Projections!B271)*(2^(((C7-49)-C5)/C9))</f>
        <v>1156.7318205168351</v>
      </c>
    </row>
    <row r="20" spans="2:9" x14ac:dyDescent="0.25">
      <c r="B20" s="41" t="s">
        <v>142</v>
      </c>
      <c r="C20" s="83">
        <f ca="1">C18-C19</f>
        <v>249937.46817948317</v>
      </c>
      <c r="F20" t="s">
        <v>146</v>
      </c>
    </row>
    <row r="21" spans="2:9" x14ac:dyDescent="0.25">
      <c r="B21" s="4" t="s">
        <v>144</v>
      </c>
      <c r="C21" s="64">
        <f>C6*Projections!B272</f>
        <v>89676.5</v>
      </c>
      <c r="I21" s="160"/>
    </row>
    <row r="22" spans="2:9" x14ac:dyDescent="0.25">
      <c r="B22" s="41" t="s">
        <v>149</v>
      </c>
      <c r="C22" s="83">
        <f ca="1">(C4*Projections!B272)*(2^(((C7-49)-C5)/C9))</f>
        <v>413.11850732744108</v>
      </c>
      <c r="I22" s="160"/>
    </row>
    <row r="23" spans="2:9" x14ac:dyDescent="0.25">
      <c r="B23" s="41" t="s">
        <v>145</v>
      </c>
      <c r="C23" s="83">
        <f ca="1">C21-C22</f>
        <v>89263.381492672561</v>
      </c>
      <c r="I23" s="160"/>
    </row>
    <row r="24" spans="2:9" x14ac:dyDescent="0.25">
      <c r="B24" s="4" t="s">
        <v>150</v>
      </c>
      <c r="C24" s="64">
        <f>C6*Projections!B273</f>
        <v>105818.26999999999</v>
      </c>
    </row>
    <row r="25" spans="2:9" x14ac:dyDescent="0.25">
      <c r="B25" s="37" t="s">
        <v>151</v>
      </c>
      <c r="C25" s="61">
        <f ca="1">(C4*Projections!B273)*(2^(((C7-42)-C5)/C9))</f>
        <v>1051.3739927215363</v>
      </c>
      <c r="F25" t="s">
        <v>152</v>
      </c>
    </row>
    <row r="26" spans="2:9" x14ac:dyDescent="0.25">
      <c r="B26" s="41" t="s">
        <v>128</v>
      </c>
      <c r="C26" s="173">
        <f ca="1">C9*(LOG(C10/C21)/LOG(2))</f>
        <v>19.854761782628483</v>
      </c>
      <c r="D26" t="s">
        <v>98</v>
      </c>
      <c r="F26" s="69" t="s">
        <v>153</v>
      </c>
    </row>
    <row r="27" spans="2:9" x14ac:dyDescent="0.25">
      <c r="B27" s="37" t="s">
        <v>125</v>
      </c>
      <c r="C27" s="172">
        <f ca="1">C7+C26</f>
        <v>44001.65090726874</v>
      </c>
      <c r="F27" t="s">
        <v>154</v>
      </c>
    </row>
    <row r="28" spans="2:9" x14ac:dyDescent="0.25">
      <c r="B28" s="4" t="s">
        <v>129</v>
      </c>
      <c r="C28" s="171">
        <f ca="1">C9*(LOG(C11/C21)/LOG(2))</f>
        <v>2.241932818865243</v>
      </c>
      <c r="D28" t="s">
        <v>98</v>
      </c>
    </row>
    <row r="29" spans="2:9" x14ac:dyDescent="0.25">
      <c r="B29" s="37" t="s">
        <v>126</v>
      </c>
      <c r="C29" s="172">
        <f ca="1">C7+C28</f>
        <v>43984.038078304977</v>
      </c>
      <c r="F29" t="s">
        <v>154</v>
      </c>
    </row>
    <row r="30" spans="2:9" x14ac:dyDescent="0.25">
      <c r="B30" s="4" t="s">
        <v>130</v>
      </c>
      <c r="C30" s="171">
        <f ca="1">C9*(LOG((C3*0.6)/C12)/LOG(2))</f>
        <v>29.756788754861471</v>
      </c>
      <c r="D30" t="s">
        <v>98</v>
      </c>
    </row>
    <row r="31" spans="2:9" x14ac:dyDescent="0.25">
      <c r="B31" s="37" t="s">
        <v>127</v>
      </c>
      <c r="C31" s="172">
        <f ca="1">C7+C30</f>
        <v>44011.552934240979</v>
      </c>
    </row>
    <row r="34" spans="2:6" x14ac:dyDescent="0.25">
      <c r="B34" s="4" t="s">
        <v>131</v>
      </c>
      <c r="C34" s="161">
        <f ca="1">C7+30</f>
        <v>44011.796145486114</v>
      </c>
      <c r="F34" t="s">
        <v>167</v>
      </c>
    </row>
    <row r="35" spans="2:6" x14ac:dyDescent="0.25">
      <c r="B35" s="41" t="s">
        <v>132</v>
      </c>
      <c r="C35" s="83">
        <f ca="1">C6*(2^((C34-C7)/C9))</f>
        <v>48337314.894170932</v>
      </c>
      <c r="F35" t="s">
        <v>139</v>
      </c>
    </row>
    <row r="36" spans="2:6" x14ac:dyDescent="0.25">
      <c r="B36" s="41" t="s">
        <v>186</v>
      </c>
      <c r="C36" s="83">
        <f ca="1">C35/Projections!B265</f>
        <v>203707255.62543464</v>
      </c>
    </row>
    <row r="37" spans="2:6" x14ac:dyDescent="0.25">
      <c r="B37" s="41" t="s">
        <v>74</v>
      </c>
      <c r="C37" s="83">
        <f ca="1">C35*Projections!B270</f>
        <v>39153225.064278461</v>
      </c>
    </row>
    <row r="38" spans="2:6" x14ac:dyDescent="0.25">
      <c r="B38" s="41" t="s">
        <v>120</v>
      </c>
      <c r="C38" s="83">
        <f ca="1">C35*Projections!B271</f>
        <v>6767224.0851839315</v>
      </c>
    </row>
    <row r="39" spans="2:6" x14ac:dyDescent="0.25">
      <c r="B39" s="41" t="s">
        <v>121</v>
      </c>
      <c r="C39" s="83">
        <f ca="1">C35*Projections!B272</f>
        <v>2416865.7447085469</v>
      </c>
    </row>
    <row r="40" spans="2:6" x14ac:dyDescent="0.25">
      <c r="B40" s="37" t="s">
        <v>122</v>
      </c>
      <c r="C40" s="61">
        <f ca="1">C35*Projections!B273</f>
        <v>2851901.5787560847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07" t="s">
        <v>181</v>
      </c>
      <c r="B2" s="229"/>
      <c r="C2" s="76"/>
    </row>
    <row r="3" spans="1:4" x14ac:dyDescent="0.25">
      <c r="A3" s="307"/>
      <c r="B3" s="229" t="s">
        <v>182</v>
      </c>
      <c r="C3" s="76"/>
    </row>
    <row r="4" spans="1:4" x14ac:dyDescent="0.25">
      <c r="A4" s="306" t="s">
        <v>47</v>
      </c>
      <c r="B4" s="232">
        <v>308745538</v>
      </c>
      <c r="C4" s="76"/>
    </row>
    <row r="5" spans="1:4" x14ac:dyDescent="0.25">
      <c r="A5" s="306"/>
      <c r="B5" s="230">
        <v>1</v>
      </c>
      <c r="C5" s="76"/>
    </row>
    <row r="6" spans="1:4" x14ac:dyDescent="0.25">
      <c r="A6" s="306" t="s">
        <v>21</v>
      </c>
      <c r="B6" s="232">
        <v>20201362</v>
      </c>
      <c r="C6" s="76"/>
    </row>
    <row r="7" spans="1:4" x14ac:dyDescent="0.25">
      <c r="A7" s="306"/>
      <c r="B7" s="231">
        <f>B6/$B$4</f>
        <v>6.5430458139932701E-2</v>
      </c>
      <c r="C7" s="77"/>
    </row>
    <row r="8" spans="1:4" x14ac:dyDescent="0.25">
      <c r="A8" s="306" t="s">
        <v>22</v>
      </c>
      <c r="B8" s="232">
        <v>20348657</v>
      </c>
      <c r="C8" s="76"/>
    </row>
    <row r="9" spans="1:4" x14ac:dyDescent="0.25">
      <c r="A9" s="306"/>
      <c r="B9" s="231">
        <f>B8/$B$4</f>
        <v>6.590753386045696E-2</v>
      </c>
      <c r="C9" s="232">
        <f>B6+B8</f>
        <v>40550019</v>
      </c>
      <c r="D9" s="1">
        <f>C9/$B$4</f>
        <v>0.13133799200038965</v>
      </c>
    </row>
    <row r="10" spans="1:4" x14ac:dyDescent="0.25">
      <c r="A10" s="306" t="s">
        <v>23</v>
      </c>
      <c r="B10" s="232">
        <v>20677194</v>
      </c>
      <c r="C10" s="76"/>
    </row>
    <row r="11" spans="1:4" x14ac:dyDescent="0.25">
      <c r="A11" s="306"/>
      <c r="B11" s="231">
        <f>B10/$B$4</f>
        <v>6.6971636688074182E-2</v>
      </c>
      <c r="C11" s="76"/>
    </row>
    <row r="12" spans="1:4" x14ac:dyDescent="0.25">
      <c r="A12" s="306" t="s">
        <v>24</v>
      </c>
      <c r="B12" s="232">
        <v>22040343</v>
      </c>
      <c r="C12" s="76"/>
    </row>
    <row r="13" spans="1:4" x14ac:dyDescent="0.25">
      <c r="A13" s="306"/>
      <c r="B13" s="231">
        <f>B12/$B$4</f>
        <v>7.13867579844992E-2</v>
      </c>
      <c r="C13" s="232">
        <f>B10+B12</f>
        <v>42717537</v>
      </c>
      <c r="D13" s="1">
        <f>C13/$B$4</f>
        <v>0.13835839467257338</v>
      </c>
    </row>
    <row r="14" spans="1:4" x14ac:dyDescent="0.25">
      <c r="A14" s="306" t="s">
        <v>25</v>
      </c>
      <c r="B14" s="232">
        <v>21585999</v>
      </c>
      <c r="C14" s="76"/>
    </row>
    <row r="15" spans="1:4" x14ac:dyDescent="0.25">
      <c r="A15" s="306"/>
      <c r="B15" s="231">
        <f>B14/$B$4</f>
        <v>6.9915177203305853E-2</v>
      </c>
      <c r="C15" s="76"/>
    </row>
    <row r="16" spans="1:4" x14ac:dyDescent="0.25">
      <c r="A16" s="306" t="s">
        <v>26</v>
      </c>
      <c r="B16" s="232">
        <v>21101849</v>
      </c>
      <c r="C16" s="76"/>
    </row>
    <row r="17" spans="1:4" x14ac:dyDescent="0.25">
      <c r="A17" s="306"/>
      <c r="B17" s="231">
        <f>B16/$B$4</f>
        <v>6.8347057375125531E-2</v>
      </c>
      <c r="C17" s="232">
        <f>B14+B16</f>
        <v>42687848</v>
      </c>
      <c r="D17" s="1">
        <f>C17/$B$4</f>
        <v>0.13826223457843137</v>
      </c>
    </row>
    <row r="18" spans="1:4" x14ac:dyDescent="0.25">
      <c r="A18" s="306" t="s">
        <v>27</v>
      </c>
      <c r="B18" s="232">
        <v>19962099</v>
      </c>
      <c r="C18" s="76"/>
    </row>
    <row r="19" spans="1:4" x14ac:dyDescent="0.25">
      <c r="A19" s="306"/>
      <c r="B19" s="231">
        <f>B18/$B$4</f>
        <v>6.465550604977488E-2</v>
      </c>
      <c r="C19" s="77"/>
    </row>
    <row r="20" spans="1:4" x14ac:dyDescent="0.25">
      <c r="A20" s="306" t="s">
        <v>28</v>
      </c>
      <c r="B20" s="232">
        <v>20179642</v>
      </c>
      <c r="C20" s="76"/>
    </row>
    <row r="21" spans="1:4" x14ac:dyDescent="0.25">
      <c r="A21" s="306"/>
      <c r="B21" s="231">
        <f>B20/$B$4</f>
        <v>6.5360108945121009E-2</v>
      </c>
      <c r="C21" s="232">
        <f>B18+B20</f>
        <v>40141741</v>
      </c>
      <c r="D21" s="1">
        <f>C21/$B$4</f>
        <v>0.13001561499489589</v>
      </c>
    </row>
    <row r="22" spans="1:4" x14ac:dyDescent="0.25">
      <c r="A22" s="306" t="s">
        <v>29</v>
      </c>
      <c r="B22" s="232">
        <v>20890964</v>
      </c>
      <c r="C22" s="76"/>
    </row>
    <row r="23" spans="1:4" x14ac:dyDescent="0.25">
      <c r="A23" s="306"/>
      <c r="B23" s="231">
        <f>B22/$B$4</f>
        <v>6.7664019163898012E-2</v>
      </c>
      <c r="C23" s="76"/>
    </row>
    <row r="24" spans="1:4" x14ac:dyDescent="0.25">
      <c r="A24" s="306" t="s">
        <v>30</v>
      </c>
      <c r="B24" s="232">
        <v>22708591</v>
      </c>
      <c r="C24" s="76"/>
    </row>
    <row r="25" spans="1:4" x14ac:dyDescent="0.25">
      <c r="A25" s="306"/>
      <c r="B25" s="231">
        <f>B24/$B$4</f>
        <v>7.3551155255885833E-2</v>
      </c>
      <c r="C25" s="232">
        <f>B22+B24</f>
        <v>43599555</v>
      </c>
      <c r="D25" s="1">
        <f>C25/$B$4</f>
        <v>0.14121517441978385</v>
      </c>
    </row>
    <row r="26" spans="1:4" x14ac:dyDescent="0.25">
      <c r="A26" s="306" t="s">
        <v>31</v>
      </c>
      <c r="B26" s="232">
        <v>22298125</v>
      </c>
      <c r="C26" s="76"/>
    </row>
    <row r="27" spans="1:4" x14ac:dyDescent="0.25">
      <c r="A27" s="306"/>
      <c r="B27" s="231">
        <f>B26/$B$4</f>
        <v>7.2221691508299629E-2</v>
      </c>
      <c r="C27" s="76"/>
    </row>
    <row r="28" spans="1:4" x14ac:dyDescent="0.25">
      <c r="A28" s="306" t="s">
        <v>32</v>
      </c>
      <c r="B28" s="232">
        <v>19664805</v>
      </c>
      <c r="C28" s="76"/>
    </row>
    <row r="29" spans="1:4" x14ac:dyDescent="0.25">
      <c r="A29" s="306"/>
      <c r="B29" s="231">
        <f>B28/$B$4</f>
        <v>6.3692596587420158E-2</v>
      </c>
      <c r="C29" s="232">
        <f>B26+B28</f>
        <v>41962930</v>
      </c>
      <c r="D29" s="1">
        <f>C29/$B$4</f>
        <v>0.13591428809571979</v>
      </c>
    </row>
    <row r="30" spans="1:4" x14ac:dyDescent="0.25">
      <c r="A30" s="306" t="s">
        <v>33</v>
      </c>
      <c r="B30" s="232">
        <v>16817924</v>
      </c>
      <c r="C30" s="76"/>
    </row>
    <row r="31" spans="1:4" x14ac:dyDescent="0.25">
      <c r="A31" s="306"/>
      <c r="B31" s="231">
        <f>B30/$B$4</f>
        <v>5.4471796123576693E-2</v>
      </c>
      <c r="C31" s="77"/>
    </row>
    <row r="32" spans="1:4" x14ac:dyDescent="0.25">
      <c r="A32" s="306" t="s">
        <v>34</v>
      </c>
      <c r="B32" s="232">
        <v>12435263</v>
      </c>
      <c r="C32" s="76"/>
    </row>
    <row r="33" spans="1:4" x14ac:dyDescent="0.25">
      <c r="A33" s="306"/>
      <c r="B33" s="231">
        <f>B32/$B$4</f>
        <v>4.027673753782314E-2</v>
      </c>
      <c r="C33" s="232">
        <f>B30+B32</f>
        <v>29253187</v>
      </c>
      <c r="D33" s="1">
        <f>C33/$B$4</f>
        <v>9.4748533661399834E-2</v>
      </c>
    </row>
    <row r="34" spans="1:4" x14ac:dyDescent="0.25">
      <c r="A34" s="306" t="s">
        <v>35</v>
      </c>
      <c r="B34" s="232">
        <v>9278166</v>
      </c>
      <c r="C34" s="76"/>
    </row>
    <row r="35" spans="1:4" x14ac:dyDescent="0.25">
      <c r="A35" s="306"/>
      <c r="B35" s="231">
        <f>B34/$B$4</f>
        <v>3.0051174375190486E-2</v>
      </c>
      <c r="C35" s="76"/>
    </row>
    <row r="36" spans="1:4" x14ac:dyDescent="0.25">
      <c r="A36" s="306" t="s">
        <v>36</v>
      </c>
      <c r="B36" s="232">
        <v>7317795</v>
      </c>
      <c r="C36" s="76"/>
    </row>
    <row r="37" spans="1:4" x14ac:dyDescent="0.25">
      <c r="A37" s="306"/>
      <c r="B37" s="231">
        <f>B36/$B$4</f>
        <v>2.370170285667416E-2</v>
      </c>
      <c r="C37" s="232">
        <f>B34+B36</f>
        <v>16595961</v>
      </c>
      <c r="D37" s="1">
        <f>C37/$B$4</f>
        <v>5.3752877231864643E-2</v>
      </c>
    </row>
    <row r="38" spans="1:4" x14ac:dyDescent="0.25">
      <c r="A38" s="306" t="s">
        <v>37</v>
      </c>
      <c r="B38" s="232">
        <v>5743327</v>
      </c>
      <c r="C38" s="76"/>
    </row>
    <row r="39" spans="1:4" x14ac:dyDescent="0.25">
      <c r="A39" s="306"/>
      <c r="B39" s="231">
        <f>B38/$B$4</f>
        <v>1.8602137660690663E-2</v>
      </c>
      <c r="C39" s="76"/>
    </row>
    <row r="40" spans="1:4" x14ac:dyDescent="0.25">
      <c r="A40" s="306" t="s">
        <v>180</v>
      </c>
      <c r="B40" s="232">
        <v>5493433</v>
      </c>
      <c r="C40" s="76"/>
    </row>
    <row r="41" spans="1:4" x14ac:dyDescent="0.25">
      <c r="A41" s="306"/>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183</v>
      </c>
    </row>
    <row r="2" spans="1:3" x14ac:dyDescent="0.25">
      <c r="A2" t="s">
        <v>184</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3"/>
  <sheetViews>
    <sheetView topLeftCell="A4" workbookViewId="0">
      <selection activeCell="O28" sqref="O28"/>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4" max="14" width="19.42578125" bestFit="1" customWidth="1"/>
    <col min="15" max="15" width="10.7109375" bestFit="1" customWidth="1"/>
    <col min="16" max="16" width="5.140625" bestFit="1" customWidth="1"/>
    <col min="17" max="17" width="14.42578125" bestFit="1" customWidth="1"/>
    <col min="18" max="18" width="16" bestFit="1" customWidth="1"/>
    <col min="19" max="19" width="19" bestFit="1" customWidth="1"/>
  </cols>
  <sheetData>
    <row r="1" spans="1:19" x14ac:dyDescent="0.25">
      <c r="A1" s="312" t="s">
        <v>447</v>
      </c>
      <c r="N1" s="313" t="s">
        <v>444</v>
      </c>
    </row>
    <row r="2" spans="1:19" s="343" customFormat="1" ht="45" x14ac:dyDescent="0.25">
      <c r="A2" s="342" t="s">
        <v>433</v>
      </c>
      <c r="B2" s="342" t="s">
        <v>434</v>
      </c>
      <c r="C2" s="342" t="s">
        <v>504</v>
      </c>
      <c r="D2" s="342" t="s">
        <v>457</v>
      </c>
      <c r="E2" s="342" t="s">
        <v>445</v>
      </c>
      <c r="F2" s="342" t="s">
        <v>490</v>
      </c>
      <c r="G2" s="342" t="s">
        <v>501</v>
      </c>
      <c r="H2" s="342" t="s">
        <v>503</v>
      </c>
      <c r="N2" s="345" t="s">
        <v>491</v>
      </c>
      <c r="O2" s="346" t="s">
        <v>492</v>
      </c>
      <c r="P2" s="346" t="s">
        <v>98</v>
      </c>
      <c r="Q2" s="346" t="s">
        <v>493</v>
      </c>
      <c r="R2" s="346" t="s">
        <v>494</v>
      </c>
      <c r="S2" s="347" t="s">
        <v>495</v>
      </c>
    </row>
    <row r="3" spans="1:19" x14ac:dyDescent="0.25">
      <c r="A3" t="s">
        <v>442</v>
      </c>
      <c r="B3" s="331">
        <v>755000</v>
      </c>
      <c r="C3" s="1">
        <v>2.385E-2</v>
      </c>
      <c r="D3" s="276">
        <v>520</v>
      </c>
      <c r="F3" s="2"/>
      <c r="G3" s="270">
        <v>43918</v>
      </c>
      <c r="H3" s="276">
        <v>644</v>
      </c>
      <c r="N3" s="348">
        <v>43890</v>
      </c>
      <c r="O3" s="259">
        <f ca="1">NOW()</f>
        <v>43981.796145486114</v>
      </c>
      <c r="P3" s="136">
        <f ca="1">O3-N3</f>
        <v>91.796145486114256</v>
      </c>
      <c r="Q3" s="338">
        <v>103330</v>
      </c>
      <c r="R3" s="10">
        <f ca="1">Q3/P3</f>
        <v>1125.6463923709132</v>
      </c>
      <c r="S3" s="83">
        <f ca="1">("31/12/2020"-N3)*R3</f>
        <v>344447.79606549942</v>
      </c>
    </row>
    <row r="4" spans="1:19" x14ac:dyDescent="0.25">
      <c r="A4" t="s">
        <v>428</v>
      </c>
      <c r="B4" s="331">
        <v>405399</v>
      </c>
      <c r="C4" s="1">
        <v>3.7000000000000002E-3</v>
      </c>
      <c r="D4" s="276">
        <v>297</v>
      </c>
      <c r="F4" s="2"/>
      <c r="G4" s="270">
        <v>43915</v>
      </c>
      <c r="H4" s="276">
        <v>303</v>
      </c>
      <c r="N4" s="41"/>
      <c r="O4" s="16"/>
      <c r="P4" s="16"/>
      <c r="Q4" s="16"/>
      <c r="R4" s="16"/>
      <c r="S4" s="17"/>
    </row>
    <row r="5" spans="1:19" x14ac:dyDescent="0.25">
      <c r="A5" s="39" t="s">
        <v>429</v>
      </c>
      <c r="B5" s="332">
        <v>116516</v>
      </c>
      <c r="C5" s="44">
        <v>1.1000000000000001E-3</v>
      </c>
      <c r="D5" s="315">
        <v>279</v>
      </c>
      <c r="E5" s="39"/>
      <c r="F5" s="11"/>
      <c r="G5" s="316">
        <v>43915</v>
      </c>
      <c r="H5" s="315">
        <v>303</v>
      </c>
      <c r="N5" s="41"/>
      <c r="O5" s="349" t="s">
        <v>97</v>
      </c>
      <c r="P5" s="349"/>
      <c r="Q5" s="349" t="s">
        <v>496</v>
      </c>
      <c r="R5" s="16"/>
      <c r="S5" s="17"/>
    </row>
    <row r="6" spans="1:19" x14ac:dyDescent="0.25">
      <c r="A6" s="92" t="s">
        <v>431</v>
      </c>
      <c r="B6" s="327">
        <v>58209</v>
      </c>
      <c r="C6" s="320">
        <v>3.2000000000000003E-4</v>
      </c>
      <c r="D6" s="276">
        <v>11</v>
      </c>
      <c r="E6" s="318">
        <v>43949</v>
      </c>
      <c r="F6" s="317">
        <v>59265</v>
      </c>
      <c r="G6" s="270">
        <v>43905</v>
      </c>
      <c r="H6" s="276">
        <v>15</v>
      </c>
      <c r="N6" s="350" t="s">
        <v>484</v>
      </c>
      <c r="O6" s="259">
        <v>43942</v>
      </c>
      <c r="P6" s="16"/>
      <c r="Q6" s="338">
        <v>2683</v>
      </c>
      <c r="R6" s="16"/>
      <c r="S6" s="17"/>
    </row>
    <row r="7" spans="1:19" x14ac:dyDescent="0.25">
      <c r="A7" s="92" t="s">
        <v>430</v>
      </c>
      <c r="B7" s="327">
        <v>36516</v>
      </c>
      <c r="C7" s="320">
        <v>2.4000000000000001E-4</v>
      </c>
      <c r="D7" s="276">
        <v>30</v>
      </c>
      <c r="E7" s="318">
        <v>43938</v>
      </c>
      <c r="F7" s="317">
        <v>37448</v>
      </c>
      <c r="G7" s="270">
        <v>43908</v>
      </c>
      <c r="H7" s="276">
        <v>50</v>
      </c>
      <c r="N7" s="37"/>
      <c r="O7" s="39"/>
      <c r="P7" s="39"/>
      <c r="Q7" s="39"/>
      <c r="R7" s="39"/>
      <c r="S7" s="63"/>
    </row>
    <row r="8" spans="1:19" x14ac:dyDescent="0.25">
      <c r="A8" s="92" t="s">
        <v>440</v>
      </c>
      <c r="B8" s="327">
        <v>25000</v>
      </c>
      <c r="C8" s="320">
        <v>0.01</v>
      </c>
      <c r="D8" s="276">
        <v>11</v>
      </c>
      <c r="E8" s="318">
        <v>43933</v>
      </c>
      <c r="F8" s="317">
        <v>25789</v>
      </c>
      <c r="G8" s="270">
        <v>43905</v>
      </c>
      <c r="H8" s="276">
        <v>15</v>
      </c>
    </row>
    <row r="9" spans="1:19" x14ac:dyDescent="0.25">
      <c r="A9" s="92" t="s">
        <v>441</v>
      </c>
      <c r="B9" s="327">
        <v>15000</v>
      </c>
      <c r="C9" s="320">
        <v>2.0699999999999998E-3</v>
      </c>
      <c r="D9" s="276">
        <v>15</v>
      </c>
      <c r="E9" s="318">
        <v>375933</v>
      </c>
      <c r="F9" s="317">
        <v>15526</v>
      </c>
      <c r="G9" s="270">
        <v>43905</v>
      </c>
      <c r="H9" s="276">
        <v>15</v>
      </c>
    </row>
    <row r="10" spans="1:19" x14ac:dyDescent="0.25">
      <c r="A10" s="92" t="s">
        <v>443</v>
      </c>
      <c r="B10" s="327">
        <v>13282</v>
      </c>
      <c r="C10" s="320">
        <v>5.6999999999999998E-4</v>
      </c>
      <c r="D10" s="276">
        <v>29</v>
      </c>
      <c r="E10" s="318">
        <v>43927</v>
      </c>
      <c r="F10" s="317">
        <v>13298</v>
      </c>
      <c r="G10" s="270">
        <v>43908</v>
      </c>
      <c r="H10" s="276">
        <v>50</v>
      </c>
    </row>
    <row r="11" spans="1:19" x14ac:dyDescent="0.25">
      <c r="A11" s="92" t="s">
        <v>439</v>
      </c>
      <c r="B11" s="327">
        <v>4576</v>
      </c>
      <c r="C11" s="320">
        <v>2.0000000000000002E-5</v>
      </c>
      <c r="D11" s="276">
        <v>2</v>
      </c>
      <c r="E11" s="318">
        <v>43921</v>
      </c>
      <c r="F11" s="317">
        <v>5151</v>
      </c>
      <c r="G11" s="270">
        <v>43892</v>
      </c>
      <c r="H11" s="276">
        <v>5</v>
      </c>
    </row>
    <row r="12" spans="1:19" x14ac:dyDescent="0.25">
      <c r="A12" s="92" t="s">
        <v>437</v>
      </c>
      <c r="B12" s="327">
        <v>4196</v>
      </c>
      <c r="C12" s="320">
        <v>6.0000000000000002E-5</v>
      </c>
      <c r="D12" s="276">
        <v>3.8</v>
      </c>
      <c r="E12" s="318">
        <v>43921</v>
      </c>
      <c r="F12" s="317">
        <v>5151</v>
      </c>
      <c r="G12" s="270">
        <v>43892</v>
      </c>
      <c r="H12" s="276">
        <v>5</v>
      </c>
    </row>
    <row r="13" spans="1:19" x14ac:dyDescent="0.25">
      <c r="A13" s="92" t="s">
        <v>436</v>
      </c>
      <c r="B13" s="327">
        <v>2446</v>
      </c>
      <c r="C13" s="320">
        <v>4.0000000000000003E-5</v>
      </c>
      <c r="D13" s="276">
        <v>8.9</v>
      </c>
      <c r="E13" s="318">
        <v>43918</v>
      </c>
      <c r="F13" s="317">
        <v>2754</v>
      </c>
      <c r="G13" s="270">
        <v>43904</v>
      </c>
      <c r="H13" s="276">
        <v>10</v>
      </c>
    </row>
    <row r="14" spans="1:19" x14ac:dyDescent="0.25">
      <c r="A14" s="92" t="s">
        <v>438</v>
      </c>
      <c r="B14" s="327">
        <v>2216</v>
      </c>
      <c r="C14" s="320">
        <v>4.0000000000000003E-5</v>
      </c>
      <c r="D14" s="276">
        <v>0.36</v>
      </c>
      <c r="E14" s="318">
        <v>43918</v>
      </c>
      <c r="F14" s="317">
        <v>2754</v>
      </c>
      <c r="G14" s="270">
        <v>43890</v>
      </c>
      <c r="H14" s="276">
        <v>1</v>
      </c>
    </row>
    <row r="15" spans="1:19" x14ac:dyDescent="0.25">
      <c r="A15" s="92" t="s">
        <v>432</v>
      </c>
      <c r="B15" s="327">
        <v>294</v>
      </c>
      <c r="C15" s="320"/>
      <c r="D15" s="276"/>
      <c r="E15" s="318">
        <v>43910</v>
      </c>
      <c r="F15" s="317">
        <v>309</v>
      </c>
      <c r="G15" s="276"/>
      <c r="H15" s="276"/>
    </row>
    <row r="16" spans="1:19" x14ac:dyDescent="0.25">
      <c r="B16" s="2"/>
    </row>
    <row r="17" spans="1:8" x14ac:dyDescent="0.25">
      <c r="A17" s="312" t="s">
        <v>446</v>
      </c>
      <c r="B17" s="2"/>
    </row>
    <row r="18" spans="1:8" s="343" customFormat="1" ht="45" x14ac:dyDescent="0.25">
      <c r="A18" s="342" t="s">
        <v>455</v>
      </c>
      <c r="B18" s="342" t="s">
        <v>434</v>
      </c>
      <c r="C18" s="342" t="s">
        <v>435</v>
      </c>
      <c r="D18" s="342" t="s">
        <v>457</v>
      </c>
      <c r="E18" s="342" t="s">
        <v>445</v>
      </c>
      <c r="F18" s="342" t="s">
        <v>490</v>
      </c>
      <c r="G18" s="342" t="s">
        <v>501</v>
      </c>
      <c r="H18" s="342" t="s">
        <v>503</v>
      </c>
    </row>
    <row r="19" spans="1:8" x14ac:dyDescent="0.25">
      <c r="A19" t="s">
        <v>448</v>
      </c>
      <c r="B19" s="331">
        <v>647457</v>
      </c>
      <c r="C19" s="1">
        <f>B19/Projections!$B$261</f>
        <v>1.9586345217513625E-3</v>
      </c>
      <c r="D19" s="314">
        <f>B19/365.25</f>
        <v>1772.6406570841889</v>
      </c>
      <c r="E19" s="69"/>
      <c r="F19" s="69"/>
      <c r="G19" s="270">
        <v>43928</v>
      </c>
      <c r="H19" s="314">
        <v>2228</v>
      </c>
    </row>
    <row r="20" spans="1:8" x14ac:dyDescent="0.25">
      <c r="A20" t="s">
        <v>8</v>
      </c>
      <c r="B20" s="331">
        <v>599108</v>
      </c>
      <c r="C20" s="1">
        <f>B20/Projections!$B$261</f>
        <v>1.8123730395337686E-3</v>
      </c>
      <c r="D20" s="314">
        <f>B20/365.25</f>
        <v>1640.2683093771388</v>
      </c>
      <c r="E20" s="69"/>
      <c r="F20" s="35"/>
      <c r="G20" s="270">
        <v>43928</v>
      </c>
      <c r="H20" s="314">
        <v>2228</v>
      </c>
    </row>
    <row r="21" spans="1:8" x14ac:dyDescent="0.25">
      <c r="A21" t="s">
        <v>449</v>
      </c>
      <c r="B21" s="331">
        <v>169936</v>
      </c>
      <c r="C21" s="1">
        <f>B21/Projections!$B$261</f>
        <v>5.1407663534155858E-4</v>
      </c>
      <c r="D21" s="314">
        <f>B21/365.25</f>
        <v>465.25941136208075</v>
      </c>
      <c r="E21" s="69"/>
      <c r="F21" s="35"/>
      <c r="G21" s="270">
        <v>412811</v>
      </c>
      <c r="H21" s="314">
        <v>496</v>
      </c>
    </row>
    <row r="22" spans="1:8" x14ac:dyDescent="0.25">
      <c r="A22" s="330" t="s">
        <v>514</v>
      </c>
      <c r="B22" s="331">
        <v>38000</v>
      </c>
      <c r="C22" s="1">
        <f>B22/Projections!$B$261</f>
        <v>1.1495452489748627E-4</v>
      </c>
      <c r="D22" s="314">
        <f>B22/365.25</f>
        <v>104.03832991101984</v>
      </c>
      <c r="E22" s="318">
        <v>43939</v>
      </c>
      <c r="F22" s="317">
        <v>39331</v>
      </c>
      <c r="G22" s="270">
        <v>43912</v>
      </c>
      <c r="H22" s="314">
        <v>135</v>
      </c>
    </row>
    <row r="23" spans="1:8" x14ac:dyDescent="0.25">
      <c r="A23" t="s">
        <v>450</v>
      </c>
      <c r="B23" s="331">
        <v>160201</v>
      </c>
      <c r="C23" s="1">
        <f>B23/Projections!$B$261</f>
        <v>4.8462710113426839E-4</v>
      </c>
      <c r="D23" s="314">
        <f>B23/365.25</f>
        <v>438.60643394934976</v>
      </c>
      <c r="E23" s="69"/>
      <c r="F23" s="35"/>
      <c r="G23" s="270">
        <v>43917</v>
      </c>
      <c r="H23" s="314">
        <v>496</v>
      </c>
    </row>
    <row r="24" spans="1:8" x14ac:dyDescent="0.25">
      <c r="A24" t="s">
        <v>451</v>
      </c>
      <c r="B24" s="331">
        <v>146383</v>
      </c>
      <c r="C24" s="1">
        <f>B24/Projections!$B$261</f>
        <v>4.4282600573865088E-4</v>
      </c>
      <c r="D24" s="314">
        <f>B24/365.25</f>
        <v>400.77481177275837</v>
      </c>
      <c r="E24" s="69"/>
      <c r="F24" s="35"/>
      <c r="G24" s="270">
        <v>43917</v>
      </c>
      <c r="H24" s="314">
        <v>496</v>
      </c>
    </row>
    <row r="25" spans="1:8" x14ac:dyDescent="0.25">
      <c r="A25" s="39" t="s">
        <v>452</v>
      </c>
      <c r="B25" s="332">
        <v>121404</v>
      </c>
      <c r="C25" s="44">
        <f>B25/Projections!$B$261</f>
        <v>3.6726155633301115E-4</v>
      </c>
      <c r="D25" s="32">
        <f>B25/365.25</f>
        <v>332.38603696098562</v>
      </c>
      <c r="E25" s="325"/>
      <c r="F25" s="324"/>
      <c r="G25" s="316">
        <v>43916</v>
      </c>
      <c r="H25" s="32">
        <v>354</v>
      </c>
    </row>
    <row r="26" spans="1:8" x14ac:dyDescent="0.25">
      <c r="A26" s="92" t="s">
        <v>4</v>
      </c>
      <c r="B26" s="327">
        <v>83564</v>
      </c>
      <c r="C26" s="320">
        <f>B26/Projections!$B$261</f>
        <v>2.5279105048772483E-4</v>
      </c>
      <c r="D26" s="314">
        <f>B26/365.25</f>
        <v>228.78576317590691</v>
      </c>
      <c r="E26" s="318">
        <v>43963</v>
      </c>
      <c r="F26" s="317">
        <v>83718</v>
      </c>
      <c r="G26" s="270">
        <v>43914</v>
      </c>
      <c r="H26" s="314">
        <v>268</v>
      </c>
    </row>
    <row r="27" spans="1:8" x14ac:dyDescent="0.25">
      <c r="A27" s="92" t="s">
        <v>453</v>
      </c>
      <c r="B27" s="327">
        <v>55672</v>
      </c>
      <c r="C27" s="320">
        <f>B27/Projections!$B$261</f>
        <v>1.6841442921296988E-4</v>
      </c>
      <c r="D27" s="314">
        <f>B27/365.25</f>
        <v>152.42162902121834</v>
      </c>
      <c r="E27" s="318">
        <v>43948</v>
      </c>
      <c r="F27" s="317">
        <v>56795</v>
      </c>
      <c r="G27" s="270">
        <v>43913</v>
      </c>
      <c r="H27" s="314">
        <v>180</v>
      </c>
    </row>
    <row r="28" spans="1:8" x14ac:dyDescent="0.25">
      <c r="A28" s="92" t="s">
        <v>456</v>
      </c>
      <c r="B28" s="327">
        <v>50633</v>
      </c>
      <c r="C28" s="320">
        <f>B28/Projections!$B$261</f>
        <v>1.5317085418774796E-4</v>
      </c>
      <c r="D28" s="314">
        <f>B28/365.25</f>
        <v>138.62559890485969</v>
      </c>
      <c r="E28" s="318">
        <v>43945</v>
      </c>
      <c r="F28" s="317">
        <v>52191</v>
      </c>
      <c r="G28" s="270">
        <v>43913</v>
      </c>
      <c r="H28" s="314">
        <v>180</v>
      </c>
    </row>
    <row r="29" spans="1:8" x14ac:dyDescent="0.25">
      <c r="A29" s="92" t="s">
        <v>454</v>
      </c>
      <c r="B29" s="327">
        <v>47173</v>
      </c>
      <c r="C29" s="320">
        <f>B29/Projections!$B$261</f>
        <v>1.4270394218392421E-4</v>
      </c>
      <c r="D29" s="314">
        <f>B29/365.25</f>
        <v>129.15263518138261</v>
      </c>
      <c r="E29" s="318">
        <v>43943</v>
      </c>
      <c r="F29" s="317">
        <v>47894</v>
      </c>
      <c r="G29" s="270">
        <v>43912</v>
      </c>
      <c r="H29" s="314">
        <v>135</v>
      </c>
    </row>
    <row r="30" spans="1:8" x14ac:dyDescent="0.25">
      <c r="B30" s="2"/>
    </row>
    <row r="31" spans="1:8" x14ac:dyDescent="0.25">
      <c r="A31" s="312" t="s">
        <v>458</v>
      </c>
      <c r="B31" s="2"/>
    </row>
    <row r="32" spans="1:8" s="343" customFormat="1" ht="45" x14ac:dyDescent="0.25">
      <c r="A32" s="342" t="s">
        <v>464</v>
      </c>
      <c r="B32" s="342" t="s">
        <v>434</v>
      </c>
      <c r="C32" s="344"/>
      <c r="D32" s="342" t="s">
        <v>457</v>
      </c>
      <c r="E32" s="342" t="s">
        <v>445</v>
      </c>
      <c r="F32" s="342" t="s">
        <v>490</v>
      </c>
      <c r="G32" s="342" t="s">
        <v>501</v>
      </c>
      <c r="H32" s="342" t="s">
        <v>503</v>
      </c>
    </row>
    <row r="33" spans="1:31" x14ac:dyDescent="0.25">
      <c r="A33" s="16" t="s">
        <v>497</v>
      </c>
      <c r="B33" s="333">
        <v>675000</v>
      </c>
      <c r="C33" s="16"/>
      <c r="D33" s="30">
        <f t="shared" ref="D33:D42" si="0">B33/365</f>
        <v>1849.3150684931506</v>
      </c>
      <c r="E33" s="16"/>
      <c r="F33" s="16"/>
      <c r="G33" s="339">
        <v>43928</v>
      </c>
      <c r="H33" s="30">
        <v>2228</v>
      </c>
      <c r="I33" t="s">
        <v>498</v>
      </c>
    </row>
    <row r="34" spans="1:31" s="323" customFormat="1" x14ac:dyDescent="0.25">
      <c r="A34" s="334" t="s">
        <v>485</v>
      </c>
      <c r="B34" s="335">
        <v>116000</v>
      </c>
      <c r="C34" s="334"/>
      <c r="D34" s="32">
        <f t="shared" si="0"/>
        <v>317.8082191780822</v>
      </c>
      <c r="E34" s="334"/>
      <c r="F34" s="334"/>
      <c r="G34" s="340">
        <v>43916</v>
      </c>
      <c r="H34" s="341">
        <v>354</v>
      </c>
      <c r="I34" s="323" t="s">
        <v>507</v>
      </c>
    </row>
    <row r="35" spans="1:31" x14ac:dyDescent="0.25">
      <c r="A35" s="336" t="s">
        <v>500</v>
      </c>
      <c r="B35" s="337">
        <v>100000</v>
      </c>
      <c r="C35" s="92"/>
      <c r="D35" s="314">
        <f t="shared" si="0"/>
        <v>273.97260273972603</v>
      </c>
      <c r="E35" s="318">
        <v>43916</v>
      </c>
      <c r="F35" s="317">
        <v>100572</v>
      </c>
      <c r="G35" s="270">
        <v>43915</v>
      </c>
      <c r="H35" s="314">
        <v>303</v>
      </c>
      <c r="I35" t="s">
        <v>505</v>
      </c>
    </row>
    <row r="36" spans="1:31" x14ac:dyDescent="0.25">
      <c r="A36" s="336" t="s">
        <v>488</v>
      </c>
      <c r="B36" s="337">
        <v>61000</v>
      </c>
      <c r="C36" s="92"/>
      <c r="D36" s="314">
        <f t="shared" si="0"/>
        <v>167.12328767123287</v>
      </c>
      <c r="E36" s="318">
        <v>43950</v>
      </c>
      <c r="F36" s="317">
        <v>61655</v>
      </c>
      <c r="G36" s="270">
        <v>43913</v>
      </c>
      <c r="H36" s="314">
        <v>180</v>
      </c>
      <c r="Q36" s="296"/>
      <c r="V36" s="69"/>
      <c r="W36" s="69"/>
      <c r="AE36" s="69"/>
    </row>
    <row r="37" spans="1:31" x14ac:dyDescent="0.25">
      <c r="A37" s="336" t="s">
        <v>487</v>
      </c>
      <c r="B37" s="337" t="s">
        <v>486</v>
      </c>
      <c r="C37" s="92"/>
      <c r="D37" s="314">
        <f>50000/365</f>
        <v>136.98630136986301</v>
      </c>
      <c r="E37" s="318">
        <v>43944</v>
      </c>
      <c r="F37" s="317">
        <v>50234</v>
      </c>
      <c r="G37" s="270">
        <v>43913</v>
      </c>
      <c r="H37" s="314">
        <v>180</v>
      </c>
    </row>
    <row r="38" spans="1:31" x14ac:dyDescent="0.25">
      <c r="A38" s="92" t="s">
        <v>461</v>
      </c>
      <c r="B38" s="327">
        <v>15520</v>
      </c>
      <c r="C38" s="92"/>
      <c r="D38" s="314">
        <f>B38/(365*4)</f>
        <v>10.63013698630137</v>
      </c>
      <c r="E38" s="318">
        <v>43928</v>
      </c>
      <c r="F38" s="317">
        <v>15526</v>
      </c>
      <c r="G38" s="270">
        <v>43905</v>
      </c>
      <c r="H38" s="314">
        <v>15</v>
      </c>
    </row>
    <row r="39" spans="1:31" x14ac:dyDescent="0.25">
      <c r="A39" s="92" t="s">
        <v>499</v>
      </c>
      <c r="B39" s="327">
        <v>12469</v>
      </c>
      <c r="C39" s="92"/>
      <c r="D39" s="314">
        <f t="shared" si="0"/>
        <v>34.161643835616438</v>
      </c>
      <c r="E39" s="318">
        <v>43927</v>
      </c>
      <c r="F39" s="317">
        <v>13298</v>
      </c>
      <c r="G39" s="270">
        <v>43908</v>
      </c>
      <c r="H39" s="314">
        <v>50</v>
      </c>
      <c r="I39" t="s">
        <v>506</v>
      </c>
    </row>
    <row r="40" spans="1:31" x14ac:dyDescent="0.25">
      <c r="A40" s="92" t="s">
        <v>459</v>
      </c>
      <c r="B40" s="327">
        <v>10771</v>
      </c>
      <c r="C40" s="92"/>
      <c r="D40" s="314">
        <f t="shared" si="0"/>
        <v>29.509589041095889</v>
      </c>
      <c r="E40" s="318">
        <v>43926</v>
      </c>
      <c r="F40" s="317">
        <v>11793</v>
      </c>
      <c r="G40" s="270">
        <v>43908</v>
      </c>
      <c r="H40" s="314">
        <v>50</v>
      </c>
    </row>
    <row r="41" spans="1:31" x14ac:dyDescent="0.25">
      <c r="A41" s="92" t="s">
        <v>462</v>
      </c>
      <c r="B41" s="328" t="s">
        <v>463</v>
      </c>
      <c r="C41" s="92"/>
      <c r="D41" s="314">
        <f>10000/(365*10)</f>
        <v>2.7397260273972601</v>
      </c>
      <c r="E41" s="318">
        <v>43925</v>
      </c>
      <c r="F41" s="317">
        <v>10384</v>
      </c>
      <c r="G41" s="270">
        <v>43892</v>
      </c>
      <c r="H41" s="314">
        <v>5</v>
      </c>
    </row>
    <row r="42" spans="1:31" x14ac:dyDescent="0.25">
      <c r="A42" s="92" t="s">
        <v>460</v>
      </c>
      <c r="B42" s="327">
        <v>5000</v>
      </c>
      <c r="C42" s="92"/>
      <c r="D42" s="314">
        <f t="shared" si="0"/>
        <v>13.698630136986301</v>
      </c>
      <c r="E42" s="318">
        <v>43921</v>
      </c>
      <c r="F42" s="317">
        <v>5151</v>
      </c>
      <c r="G42" s="270">
        <v>43905</v>
      </c>
      <c r="H42" s="314">
        <v>15</v>
      </c>
    </row>
    <row r="43" spans="1:31" x14ac:dyDescent="0.25">
      <c r="A43" s="92" t="s">
        <v>489</v>
      </c>
      <c r="B43" s="327">
        <v>3145</v>
      </c>
      <c r="C43" s="92"/>
      <c r="D43" s="314">
        <f>B43/365</f>
        <v>8.6164383561643838</v>
      </c>
      <c r="E43" s="318">
        <v>43919</v>
      </c>
      <c r="F43" s="317">
        <v>3251</v>
      </c>
      <c r="G43" s="270">
        <v>43904</v>
      </c>
      <c r="H43" s="314">
        <v>10</v>
      </c>
    </row>
    <row r="45" spans="1:31" x14ac:dyDescent="0.25">
      <c r="A45" s="312" t="s">
        <v>465</v>
      </c>
    </row>
    <row r="46" spans="1:31" s="343" customFormat="1" ht="45" x14ac:dyDescent="0.25">
      <c r="A46" s="342" t="s">
        <v>465</v>
      </c>
      <c r="B46" s="342" t="s">
        <v>434</v>
      </c>
      <c r="C46" s="344"/>
      <c r="D46" s="344"/>
      <c r="E46" s="342" t="s">
        <v>445</v>
      </c>
      <c r="F46" s="342" t="s">
        <v>490</v>
      </c>
      <c r="G46" s="342" t="s">
        <v>502</v>
      </c>
      <c r="H46" s="342" t="s">
        <v>503</v>
      </c>
    </row>
    <row r="47" spans="1:31" x14ac:dyDescent="0.25">
      <c r="A47" s="92" t="s">
        <v>466</v>
      </c>
      <c r="B47" s="327">
        <v>12000</v>
      </c>
      <c r="C47" s="92"/>
      <c r="D47" s="92"/>
      <c r="E47" s="318">
        <v>43927</v>
      </c>
      <c r="F47" s="317">
        <v>13298</v>
      </c>
      <c r="G47" s="217"/>
    </row>
    <row r="48" spans="1:31" x14ac:dyDescent="0.25">
      <c r="A48" s="92" t="s">
        <v>467</v>
      </c>
      <c r="B48" s="327">
        <v>3389</v>
      </c>
      <c r="C48" s="92"/>
      <c r="D48" s="92"/>
      <c r="E48" s="318">
        <v>43920</v>
      </c>
      <c r="F48" s="317">
        <v>4066</v>
      </c>
    </row>
    <row r="49" spans="1:8" x14ac:dyDescent="0.25">
      <c r="A49" s="92" t="s">
        <v>468</v>
      </c>
      <c r="B49" s="328" t="s">
        <v>469</v>
      </c>
      <c r="C49" s="92"/>
      <c r="D49" s="92"/>
      <c r="E49" s="318">
        <v>43919</v>
      </c>
      <c r="F49" s="317">
        <v>3251</v>
      </c>
    </row>
    <row r="50" spans="1:8" x14ac:dyDescent="0.25">
      <c r="A50" s="92" t="s">
        <v>470</v>
      </c>
      <c r="B50" s="327">
        <v>2996</v>
      </c>
      <c r="C50" s="92"/>
      <c r="D50" s="92"/>
      <c r="E50" s="318">
        <v>43919</v>
      </c>
      <c r="F50" s="317">
        <v>2996</v>
      </c>
    </row>
    <row r="51" spans="1:8" x14ac:dyDescent="0.25">
      <c r="A51" s="92" t="s">
        <v>471</v>
      </c>
      <c r="B51" s="327">
        <v>2982</v>
      </c>
      <c r="C51" s="92"/>
      <c r="D51" s="92"/>
      <c r="E51" s="318">
        <v>43919</v>
      </c>
      <c r="F51" s="317">
        <v>2996</v>
      </c>
    </row>
    <row r="52" spans="1:8" x14ac:dyDescent="0.25">
      <c r="A52" s="322" t="s">
        <v>472</v>
      </c>
      <c r="B52" s="329">
        <v>2823</v>
      </c>
      <c r="C52" s="322"/>
      <c r="D52" s="322"/>
      <c r="E52" s="321">
        <v>43919</v>
      </c>
      <c r="F52" s="326">
        <v>2996</v>
      </c>
      <c r="G52" s="39"/>
      <c r="H52" s="39"/>
    </row>
    <row r="53" spans="1:8" x14ac:dyDescent="0.25">
      <c r="A53" s="92" t="s">
        <v>477</v>
      </c>
      <c r="B53" s="327">
        <v>2500</v>
      </c>
      <c r="C53" s="92"/>
      <c r="D53" s="92"/>
      <c r="E53" s="318">
        <v>43918</v>
      </c>
      <c r="F53" s="319">
        <v>2754</v>
      </c>
      <c r="G53" s="270">
        <v>43935</v>
      </c>
      <c r="H53" s="314">
        <v>2566</v>
      </c>
    </row>
    <row r="54" spans="1:8" x14ac:dyDescent="0.25">
      <c r="A54" s="92" t="s">
        <v>473</v>
      </c>
      <c r="B54" s="327">
        <v>2467</v>
      </c>
      <c r="C54" s="92"/>
      <c r="D54" s="92"/>
      <c r="E54" s="318">
        <v>43918</v>
      </c>
      <c r="F54" s="319">
        <v>2754</v>
      </c>
      <c r="G54" s="270">
        <v>43935</v>
      </c>
      <c r="H54" s="314">
        <v>2566</v>
      </c>
    </row>
    <row r="55" spans="1:8" x14ac:dyDescent="0.25">
      <c r="A55" s="92" t="s">
        <v>474</v>
      </c>
      <c r="B55" s="327">
        <v>2209</v>
      </c>
      <c r="C55" s="92"/>
      <c r="D55" s="92"/>
      <c r="E55" s="318">
        <v>43918</v>
      </c>
      <c r="F55" s="319">
        <v>2754</v>
      </c>
      <c r="G55" s="270">
        <v>43928</v>
      </c>
      <c r="H55" s="314">
        <v>2228</v>
      </c>
    </row>
    <row r="56" spans="1:8" x14ac:dyDescent="0.25">
      <c r="A56" s="92" t="s">
        <v>475</v>
      </c>
      <c r="B56" s="327">
        <v>2000</v>
      </c>
      <c r="C56" s="92"/>
      <c r="D56" s="92"/>
      <c r="E56" s="318">
        <v>43917</v>
      </c>
      <c r="F56" s="319">
        <v>2110</v>
      </c>
      <c r="G56" s="270">
        <v>43928</v>
      </c>
      <c r="H56" s="314">
        <v>2228</v>
      </c>
    </row>
    <row r="57" spans="1:8" x14ac:dyDescent="0.25">
      <c r="A57" s="92" t="s">
        <v>481</v>
      </c>
      <c r="B57" s="327">
        <v>2000</v>
      </c>
      <c r="C57" s="92"/>
      <c r="D57" s="92"/>
      <c r="E57" s="318">
        <v>43917</v>
      </c>
      <c r="F57" s="319">
        <v>2110</v>
      </c>
      <c r="G57" s="270">
        <v>43928</v>
      </c>
      <c r="H57" s="314">
        <v>2228</v>
      </c>
    </row>
    <row r="58" spans="1:8" x14ac:dyDescent="0.25">
      <c r="A58" s="92" t="s">
        <v>478</v>
      </c>
      <c r="B58" s="327">
        <v>1836</v>
      </c>
      <c r="C58" s="92"/>
      <c r="D58" s="92"/>
      <c r="E58" s="318">
        <v>43917</v>
      </c>
      <c r="F58" s="319">
        <v>2110</v>
      </c>
      <c r="G58" s="270">
        <v>43928</v>
      </c>
      <c r="H58" s="314">
        <v>2228</v>
      </c>
    </row>
    <row r="59" spans="1:8" x14ac:dyDescent="0.25">
      <c r="A59" s="92" t="s">
        <v>476</v>
      </c>
      <c r="B59" s="327">
        <v>1700</v>
      </c>
      <c r="C59" s="92"/>
      <c r="D59" s="92"/>
      <c r="E59" s="318">
        <v>43917</v>
      </c>
      <c r="F59" s="319">
        <v>2110</v>
      </c>
      <c r="G59" s="270">
        <v>43928</v>
      </c>
      <c r="H59" s="314">
        <v>2228</v>
      </c>
    </row>
    <row r="60" spans="1:8" x14ac:dyDescent="0.25">
      <c r="A60" s="92" t="s">
        <v>480</v>
      </c>
      <c r="B60" s="327">
        <v>1173</v>
      </c>
      <c r="C60" s="92"/>
      <c r="D60" s="92"/>
      <c r="E60" s="318">
        <v>43915</v>
      </c>
      <c r="F60" s="319">
        <v>1260</v>
      </c>
      <c r="G60" s="270">
        <v>43922</v>
      </c>
      <c r="H60" s="314">
        <v>1243</v>
      </c>
    </row>
    <row r="61" spans="1:8" x14ac:dyDescent="0.25">
      <c r="A61" s="92" t="s">
        <v>479</v>
      </c>
      <c r="B61" s="327">
        <v>1021</v>
      </c>
      <c r="C61" s="92"/>
      <c r="D61" s="92"/>
      <c r="E61" s="318">
        <v>43915</v>
      </c>
      <c r="F61" s="319">
        <v>1260</v>
      </c>
      <c r="G61" s="270">
        <v>43921</v>
      </c>
      <c r="H61" s="314">
        <v>1085</v>
      </c>
    </row>
    <row r="62" spans="1:8" x14ac:dyDescent="0.25">
      <c r="A62" s="92" t="s">
        <v>482</v>
      </c>
      <c r="B62" s="327">
        <v>1000</v>
      </c>
      <c r="C62" s="92"/>
      <c r="D62" s="92"/>
      <c r="E62" s="318">
        <v>43915</v>
      </c>
      <c r="F62" s="319">
        <v>1260</v>
      </c>
      <c r="G62" s="270">
        <v>43921</v>
      </c>
      <c r="H62" s="314">
        <v>1085</v>
      </c>
    </row>
    <row r="63" spans="1:8" x14ac:dyDescent="0.25">
      <c r="A63" s="92" t="s">
        <v>483</v>
      </c>
      <c r="B63" s="327">
        <v>918</v>
      </c>
      <c r="C63" s="92"/>
      <c r="D63" s="92"/>
      <c r="E63" s="318">
        <v>43914</v>
      </c>
      <c r="F63" s="317">
        <v>957</v>
      </c>
      <c r="G63" s="270">
        <v>43921</v>
      </c>
      <c r="H63" s="314">
        <v>1085</v>
      </c>
    </row>
  </sheetData>
  <sortState xmlns:xlrd2="http://schemas.microsoft.com/office/spreadsheetml/2017/richdata2" ref="A3:C15">
    <sortCondition descending="1" ref="B3:B15"/>
  </sortState>
  <hyperlinks>
    <hyperlink ref="A1" r:id="rId1" display="Major Conflicts" xr:uid="{83A0AE55-AFF8-446B-883E-C6E61E1C5C13}"/>
    <hyperlink ref="A17" r:id="rId2" xr:uid="{891243FE-E7B2-4F24-8F65-AD6D6ABE7E97}"/>
    <hyperlink ref="A31" r:id="rId3" xr:uid="{D75C70CF-9224-4A14-BFD5-EA9846096D44}"/>
    <hyperlink ref="A45"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Projections</vt:lpstr>
      <vt:lpstr>What if</vt:lpstr>
      <vt:lpstr>Population by Age - Wikipedia</vt:lpstr>
      <vt:lpstr>AU Infection Rate by Age</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2020-05-30T09:06:27Z</dcterms:modified>
</cp:coreProperties>
</file>