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CC57F894-ECA2-4CE8-A9E9-9B998DC557FF}"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4" i="1" l="1"/>
  <c r="Y56" i="1"/>
  <c r="X56" i="1" l="1"/>
  <c r="B17" i="1" l="1"/>
  <c r="W56" i="1" l="1"/>
  <c r="V56" i="1" l="1"/>
  <c r="Z53" i="1"/>
  <c r="AA53" i="1"/>
  <c r="AB53" i="1"/>
  <c r="AC53" i="1"/>
  <c r="AD53" i="1"/>
  <c r="AE53" i="1"/>
  <c r="AF53" i="1"/>
  <c r="AG53" i="1"/>
  <c r="U56" i="1" l="1"/>
  <c r="M56" i="1" l="1"/>
  <c r="N56" i="1"/>
  <c r="O56" i="1"/>
  <c r="P56" i="1"/>
  <c r="Q56" i="1"/>
  <c r="R56" i="1"/>
  <c r="S56" i="1"/>
  <c r="T56" i="1"/>
  <c r="L56" i="1"/>
  <c r="E34" i="4" l="1"/>
  <c r="C45" i="4"/>
  <c r="C21" i="5" l="1"/>
  <c r="D20" i="1"/>
  <c r="C20" i="1"/>
  <c r="C19" i="1"/>
  <c r="B14" i="3"/>
  <c r="AJ33" i="1"/>
  <c r="AJ35" i="1" s="1"/>
  <c r="L52" i="1"/>
  <c r="B77" i="1"/>
  <c r="B75" i="1"/>
  <c r="B73" i="1"/>
  <c r="B71" i="1"/>
  <c r="B69" i="1"/>
  <c r="B67" i="1"/>
  <c r="B65" i="1"/>
  <c r="B63" i="1"/>
  <c r="B61" i="1"/>
  <c r="C23" i="2"/>
  <c r="D23" i="2" s="1"/>
  <c r="D24" i="2"/>
  <c r="D18" i="2"/>
  <c r="D16" i="2"/>
  <c r="D14" i="2"/>
  <c r="D12" i="2"/>
  <c r="D10" i="2"/>
  <c r="D8" i="2"/>
  <c r="D6" i="2"/>
  <c r="D4" i="2"/>
  <c r="C18" i="2"/>
  <c r="C16" i="2"/>
  <c r="C14" i="2"/>
  <c r="C12" i="2"/>
  <c r="C10" i="2"/>
  <c r="C8" i="2"/>
  <c r="C6" i="2"/>
  <c r="C4" i="2"/>
  <c r="B25" i="2"/>
  <c r="AJ34" i="1" l="1"/>
  <c r="AM33" i="1"/>
  <c r="AM29" i="1"/>
  <c r="AM37" i="1" s="1"/>
  <c r="AM30" i="1"/>
  <c r="AI33" i="1"/>
  <c r="AK33" i="1"/>
  <c r="AM35" i="1" l="1"/>
  <c r="AM34" i="1"/>
  <c r="C5" i="5"/>
  <c r="C4" i="5"/>
  <c r="M28" i="1"/>
  <c r="N28" i="1" l="1"/>
  <c r="O28" i="1" s="1"/>
  <c r="M54" i="1"/>
  <c r="P28" i="1" l="1"/>
  <c r="M52" i="1"/>
  <c r="L54" i="1"/>
  <c r="L51" i="1"/>
  <c r="Q28" i="1" l="1"/>
  <c r="N52" i="1"/>
  <c r="L39" i="1"/>
  <c r="L40" i="1" s="1"/>
  <c r="L41" i="1"/>
  <c r="L42" i="1" s="1"/>
  <c r="AH53" i="1"/>
  <c r="AI53" i="1" s="1"/>
  <c r="AK53" i="1" l="1"/>
  <c r="AJ53" i="1"/>
  <c r="R28" i="1"/>
  <c r="O52" i="1"/>
  <c r="L37" i="1"/>
  <c r="L38" i="1" s="1"/>
  <c r="L33" i="1"/>
  <c r="L35" i="1" s="1"/>
  <c r="L36" i="1" s="1"/>
  <c r="C12" i="5"/>
  <c r="C7" i="5"/>
  <c r="C8" i="5" s="1"/>
  <c r="C9" i="5" s="1"/>
  <c r="C18" i="5"/>
  <c r="C15" i="5"/>
  <c r="C24" i="5"/>
  <c r="C3" i="5"/>
  <c r="S28" i="1" l="1"/>
  <c r="C30" i="5"/>
  <c r="L34" i="1"/>
  <c r="P52" i="1"/>
  <c r="L31" i="1"/>
  <c r="L32" i="1" s="1"/>
  <c r="C34" i="5"/>
  <c r="T28" i="1" l="1"/>
  <c r="T54" i="1" s="1"/>
  <c r="Q52" i="1"/>
  <c r="C13" i="5"/>
  <c r="C14" i="5" s="1"/>
  <c r="AL29" i="1"/>
  <c r="L47" i="1"/>
  <c r="L45" i="1"/>
  <c r="L48" i="1"/>
  <c r="L46" i="1"/>
  <c r="U28" i="1" l="1"/>
  <c r="AL86" i="1"/>
  <c r="AL87" i="1" s="1"/>
  <c r="AL84" i="1"/>
  <c r="AL90" i="1"/>
  <c r="AL91" i="1" s="1"/>
  <c r="AL94" i="1"/>
  <c r="AL88" i="1"/>
  <c r="AL89" i="1" s="1"/>
  <c r="AL92" i="1"/>
  <c r="AL93" i="1" s="1"/>
  <c r="R52" i="1"/>
  <c r="AL30" i="1"/>
  <c r="AM43" i="1"/>
  <c r="AM41" i="1"/>
  <c r="AM39" i="1"/>
  <c r="AL53" i="1"/>
  <c r="AM53" i="1" s="1"/>
  <c r="AL37" i="1"/>
  <c r="AL33" i="1"/>
  <c r="AL35" i="1" s="1"/>
  <c r="C22" i="5"/>
  <c r="C23" i="5" s="1"/>
  <c r="C35" i="5"/>
  <c r="C40" i="5" s="1"/>
  <c r="C25" i="5"/>
  <c r="C19" i="5"/>
  <c r="C20" i="5" s="1"/>
  <c r="C16" i="5"/>
  <c r="C17" i="5" s="1"/>
  <c r="C31" i="5"/>
  <c r="AP25" i="4"/>
  <c r="E31" i="4"/>
  <c r="B17" i="4" s="1"/>
  <c r="K20" i="4" l="1"/>
  <c r="B18" i="4"/>
  <c r="B19" i="4" s="1"/>
  <c r="V28" i="1"/>
  <c r="AL85" i="1"/>
  <c r="AL97" i="1" s="1"/>
  <c r="AL9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8" i="1"/>
  <c r="E18" i="4"/>
  <c r="K21" i="4" s="1"/>
  <c r="N20" i="4"/>
  <c r="H17" i="4"/>
  <c r="L84" i="1"/>
  <c r="L85" i="1" s="1"/>
  <c r="X28" i="1" l="1"/>
  <c r="E19" i="4"/>
  <c r="Q20" i="4"/>
  <c r="H18" i="4"/>
  <c r="N22" i="4" s="1"/>
  <c r="K17" i="4"/>
  <c r="Y24" i="4"/>
  <c r="Y28" i="1" l="1"/>
  <c r="H19" i="4"/>
  <c r="T20" i="4"/>
  <c r="K18" i="4"/>
  <c r="K19" i="4" s="1"/>
  <c r="N21" i="4"/>
  <c r="AB24" i="4" s="1"/>
  <c r="N17" i="4"/>
  <c r="Z28" i="1" l="1"/>
  <c r="Q17" i="4"/>
  <c r="T17" i="4" s="1"/>
  <c r="W20" i="4"/>
  <c r="N18" i="4"/>
  <c r="N19" i="4" s="1"/>
  <c r="Q21" i="4"/>
  <c r="AE24" i="4" s="1"/>
  <c r="Q22" i="4"/>
  <c r="AA28" i="1" l="1"/>
  <c r="AB28" i="1" s="1"/>
  <c r="AC28" i="1" s="1"/>
  <c r="AD28" i="1" s="1"/>
  <c r="AE28" i="1" s="1"/>
  <c r="AF28" i="1" s="1"/>
  <c r="AG28" i="1" s="1"/>
  <c r="D25" i="1" s="1"/>
  <c r="T18" i="4"/>
  <c r="T19" i="4" s="1"/>
  <c r="AC20" i="4"/>
  <c r="Z20" i="4"/>
  <c r="Q18" i="4"/>
  <c r="Q19" i="4" s="1"/>
  <c r="T21" i="4"/>
  <c r="AH24" i="4" s="1"/>
  <c r="T22" i="4"/>
  <c r="T23" i="4"/>
  <c r="W21" i="4"/>
  <c r="AK24" i="4" s="1"/>
  <c r="W17" i="4"/>
  <c r="W23" i="4" l="1"/>
  <c r="AF51" i="1"/>
  <c r="AF52" i="1"/>
  <c r="AF54" i="1"/>
  <c r="W18" i="4"/>
  <c r="W19" i="4" s="1"/>
  <c r="AF20" i="4"/>
  <c r="W22" i="4"/>
  <c r="Z21" i="4"/>
  <c r="AN24" i="4" s="1"/>
  <c r="Z23" i="4"/>
  <c r="Z22" i="4"/>
  <c r="Z17" i="4"/>
  <c r="C94" i="1"/>
  <c r="C92" i="1"/>
  <c r="C90" i="1"/>
  <c r="C88" i="1"/>
  <c r="C86" i="1"/>
  <c r="C84" i="1"/>
  <c r="L43" i="1"/>
  <c r="D63" i="1"/>
  <c r="AH28" i="1" l="1"/>
  <c r="AG51" i="1"/>
  <c r="AG52" i="1"/>
  <c r="AG54" i="1"/>
  <c r="Z18" i="4"/>
  <c r="Z19" i="4" s="1"/>
  <c r="AI20" i="4"/>
  <c r="AL63" i="1"/>
  <c r="AL64" i="1"/>
  <c r="AC21" i="4"/>
  <c r="AC22" i="4"/>
  <c r="AC23" i="4"/>
  <c r="AC17" i="4"/>
  <c r="AL43" i="1"/>
  <c r="D67" i="1"/>
  <c r="D61" i="1"/>
  <c r="D77" i="1"/>
  <c r="D75" i="1"/>
  <c r="D73" i="1"/>
  <c r="D71" i="1"/>
  <c r="D69" i="1"/>
  <c r="D65" i="1"/>
  <c r="C10" i="5"/>
  <c r="C26" i="5" s="1"/>
  <c r="C27" i="5" s="1"/>
  <c r="C11" i="5"/>
  <c r="L64" i="1"/>
  <c r="L94" i="1"/>
  <c r="L92" i="1"/>
  <c r="L90" i="1"/>
  <c r="L91" i="1" s="1"/>
  <c r="L88" i="1"/>
  <c r="L89" i="1" s="1"/>
  <c r="L86" i="1"/>
  <c r="L87" i="1" s="1"/>
  <c r="C63" i="1"/>
  <c r="C65" i="1"/>
  <c r="C67" i="1"/>
  <c r="C69" i="1"/>
  <c r="C71" i="1"/>
  <c r="C73" i="1"/>
  <c r="C75" i="1"/>
  <c r="C77" i="1"/>
  <c r="C61" i="1"/>
  <c r="L30" i="1"/>
  <c r="M29" i="1"/>
  <c r="C28" i="5" l="1"/>
  <c r="C29" i="5" s="1"/>
  <c r="AI28" i="1"/>
  <c r="AJ28" i="1" s="1"/>
  <c r="AH51" i="1"/>
  <c r="AH52" i="1"/>
  <c r="AH54" i="1"/>
  <c r="AL61" i="1"/>
  <c r="AL62" i="1"/>
  <c r="AL20" i="4"/>
  <c r="AC18" i="4"/>
  <c r="AC19" i="4" s="1"/>
  <c r="AL73" i="1"/>
  <c r="AL74" i="1"/>
  <c r="AL66" i="1"/>
  <c r="AL65" i="1"/>
  <c r="AL69" i="1"/>
  <c r="AL70" i="1"/>
  <c r="AL76" i="1"/>
  <c r="AL75" i="1"/>
  <c r="AL68" i="1"/>
  <c r="AL67" i="1"/>
  <c r="AL72" i="1"/>
  <c r="AL71" i="1"/>
  <c r="L78" i="1"/>
  <c r="AL78" i="1"/>
  <c r="AL77" i="1"/>
  <c r="M39" i="1"/>
  <c r="M41" i="1"/>
  <c r="M42" i="1" s="1"/>
  <c r="M37" i="1"/>
  <c r="M38" i="1" s="1"/>
  <c r="M45" i="1"/>
  <c r="M48" i="1"/>
  <c r="M51" i="1"/>
  <c r="M46" i="1"/>
  <c r="M47" i="1"/>
  <c r="M33" i="1"/>
  <c r="AF22" i="4"/>
  <c r="AF23" i="4"/>
  <c r="AF21" i="4"/>
  <c r="AF17" i="4"/>
  <c r="L62" i="1"/>
  <c r="L61" i="1"/>
  <c r="L70" i="1"/>
  <c r="L69" i="1"/>
  <c r="L73" i="1"/>
  <c r="L72" i="1"/>
  <c r="L75" i="1"/>
  <c r="L65" i="1"/>
  <c r="N29" i="1"/>
  <c r="N37" i="1" s="1"/>
  <c r="N38" i="1" s="1"/>
  <c r="M88" i="1"/>
  <c r="M89" i="1" s="1"/>
  <c r="L66" i="1"/>
  <c r="M77" i="1"/>
  <c r="M86" i="1"/>
  <c r="M87" i="1" s="1"/>
  <c r="L74" i="1"/>
  <c r="M75" i="1"/>
  <c r="M94" i="1"/>
  <c r="L63" i="1"/>
  <c r="L71" i="1"/>
  <c r="M92" i="1"/>
  <c r="M93" i="1" s="1"/>
  <c r="M90" i="1"/>
  <c r="M91" i="1" s="1"/>
  <c r="M73" i="1"/>
  <c r="M66" i="1"/>
  <c r="M70" i="1"/>
  <c r="M74" i="1"/>
  <c r="M78" i="1"/>
  <c r="L96" i="1"/>
  <c r="M84" i="1"/>
  <c r="M85" i="1" s="1"/>
  <c r="L67" i="1"/>
  <c r="M63" i="1"/>
  <c r="L68" i="1"/>
  <c r="L76" i="1"/>
  <c r="M67" i="1"/>
  <c r="M64" i="1"/>
  <c r="M71" i="1"/>
  <c r="L77" i="1"/>
  <c r="M61" i="1"/>
  <c r="M68" i="1"/>
  <c r="M72" i="1"/>
  <c r="M76" i="1"/>
  <c r="M65" i="1"/>
  <c r="M62" i="1"/>
  <c r="M69" i="1"/>
  <c r="L93" i="1"/>
  <c r="L97" i="1" s="1"/>
  <c r="M30" i="1"/>
  <c r="M43" i="1"/>
  <c r="AJ51" i="1" l="1"/>
  <c r="AJ54" i="1"/>
  <c r="AJ52" i="1"/>
  <c r="AK28" i="1"/>
  <c r="AI51" i="1"/>
  <c r="AI52" i="1"/>
  <c r="AI54" i="1"/>
  <c r="AO20" i="4"/>
  <c r="AF18" i="4"/>
  <c r="AF19" i="4" s="1"/>
  <c r="AL80" i="1"/>
  <c r="AL79" i="1"/>
  <c r="M40" i="1"/>
  <c r="M31" i="1" s="1"/>
  <c r="M32" i="1" s="1"/>
  <c r="N86" i="1"/>
  <c r="N87" i="1" s="1"/>
  <c r="N67" i="1"/>
  <c r="N41" i="1"/>
  <c r="N42" i="1" s="1"/>
  <c r="N92" i="1"/>
  <c r="N93" i="1" s="1"/>
  <c r="N63" i="1"/>
  <c r="N62" i="1"/>
  <c r="N84" i="1"/>
  <c r="N85" i="1" s="1"/>
  <c r="N64" i="1"/>
  <c r="N30" i="1"/>
  <c r="M34" i="1"/>
  <c r="M35" i="1"/>
  <c r="M36" i="1" s="1"/>
  <c r="N54" i="1"/>
  <c r="O29" i="1"/>
  <c r="O37" i="1" s="1"/>
  <c r="N33" i="1"/>
  <c r="N43" i="1"/>
  <c r="N77" i="1"/>
  <c r="N76" i="1"/>
  <c r="N88" i="1"/>
  <c r="N89" i="1" s="1"/>
  <c r="N72" i="1"/>
  <c r="N71" i="1"/>
  <c r="N47" i="1"/>
  <c r="N45" i="1"/>
  <c r="N48" i="1"/>
  <c r="N51" i="1"/>
  <c r="N46" i="1"/>
  <c r="AI23" i="4"/>
  <c r="AI21" i="4"/>
  <c r="AI22" i="4"/>
  <c r="AI17" i="4"/>
  <c r="AI18" i="4" s="1"/>
  <c r="L80" i="1"/>
  <c r="M80" i="1"/>
  <c r="N74" i="1"/>
  <c r="N73" i="1"/>
  <c r="N69" i="1"/>
  <c r="N66" i="1"/>
  <c r="N68" i="1"/>
  <c r="N61" i="1"/>
  <c r="N70" i="1"/>
  <c r="N75" i="1"/>
  <c r="N94" i="1"/>
  <c r="N65" i="1"/>
  <c r="N90" i="1"/>
  <c r="N91" i="1" s="1"/>
  <c r="N78" i="1"/>
  <c r="M96" i="1"/>
  <c r="L79" i="1"/>
  <c r="M79" i="1"/>
  <c r="M97" i="1"/>
  <c r="AL28" i="1" l="1"/>
  <c r="AL51" i="1" s="1"/>
  <c r="AK54" i="1"/>
  <c r="AK51" i="1"/>
  <c r="AK52" i="1"/>
  <c r="O68" i="1"/>
  <c r="O66" i="1"/>
  <c r="O64" i="1"/>
  <c r="O78" i="1"/>
  <c r="O86" i="1"/>
  <c r="O87" i="1" s="1"/>
  <c r="O74" i="1"/>
  <c r="O73" i="1"/>
  <c r="O65" i="1"/>
  <c r="O76" i="1"/>
  <c r="O71" i="1"/>
  <c r="O94" i="1"/>
  <c r="O61" i="1"/>
  <c r="O72" i="1"/>
  <c r="O70" i="1"/>
  <c r="O63" i="1"/>
  <c r="O84" i="1"/>
  <c r="O85" i="1" s="1"/>
  <c r="O67" i="1"/>
  <c r="P29" i="1"/>
  <c r="P73" i="1" s="1"/>
  <c r="O77" i="1"/>
  <c r="O75" i="1"/>
  <c r="O43" i="1"/>
  <c r="O88" i="1"/>
  <c r="O89" i="1" s="1"/>
  <c r="N97" i="1"/>
  <c r="O62" i="1"/>
  <c r="O90" i="1"/>
  <c r="O91" i="1" s="1"/>
  <c r="O92" i="1"/>
  <c r="O93" i="1" s="1"/>
  <c r="O30" i="1"/>
  <c r="O69" i="1"/>
  <c r="O54" i="1"/>
  <c r="N34" i="1"/>
  <c r="N35" i="1"/>
  <c r="N36" i="1" s="1"/>
  <c r="O46" i="1"/>
  <c r="O47" i="1"/>
  <c r="O48" i="1"/>
  <c r="O51" i="1"/>
  <c r="O45" i="1"/>
  <c r="N96" i="1"/>
  <c r="O33" i="1"/>
  <c r="AL22" i="4"/>
  <c r="AL21" i="4"/>
  <c r="AL23" i="4"/>
  <c r="AL17" i="4"/>
  <c r="AL18" i="4" s="1"/>
  <c r="AI19" i="4"/>
  <c r="N79" i="1"/>
  <c r="N80" i="1"/>
  <c r="P77" i="1" l="1"/>
  <c r="P74" i="1"/>
  <c r="P86" i="1"/>
  <c r="P87" i="1" s="1"/>
  <c r="P71" i="1"/>
  <c r="P72" i="1"/>
  <c r="P63" i="1"/>
  <c r="P69" i="1"/>
  <c r="P84" i="1"/>
  <c r="P85" i="1" s="1"/>
  <c r="O80" i="1"/>
  <c r="P70" i="1"/>
  <c r="P62" i="1"/>
  <c r="P92" i="1"/>
  <c r="P93" i="1" s="1"/>
  <c r="P76" i="1"/>
  <c r="P68" i="1"/>
  <c r="P75" i="1"/>
  <c r="P90" i="1"/>
  <c r="P91" i="1" s="1"/>
  <c r="O97" i="1"/>
  <c r="P37" i="1"/>
  <c r="P30" i="1"/>
  <c r="P64" i="1"/>
  <c r="P65" i="1"/>
  <c r="P88" i="1"/>
  <c r="P89" i="1" s="1"/>
  <c r="P33" i="1"/>
  <c r="P35" i="1" s="1"/>
  <c r="P43" i="1"/>
  <c r="P67" i="1"/>
  <c r="Q29" i="1"/>
  <c r="Q74" i="1" s="1"/>
  <c r="P78" i="1"/>
  <c r="O79" i="1"/>
  <c r="P66" i="1"/>
  <c r="P94" i="1"/>
  <c r="O96" i="1"/>
  <c r="P61" i="1"/>
  <c r="P54" i="1"/>
  <c r="O34" i="1"/>
  <c r="O35" i="1"/>
  <c r="P46" i="1"/>
  <c r="P51" i="1"/>
  <c r="P47" i="1"/>
  <c r="P48" i="1"/>
  <c r="P45" i="1"/>
  <c r="AO21" i="4"/>
  <c r="AO22" i="4"/>
  <c r="AO23" i="4"/>
  <c r="AO17" i="4"/>
  <c r="AO18" i="4" s="1"/>
  <c r="AO19" i="4" s="1"/>
  <c r="AL19" i="4"/>
  <c r="Q71" i="1"/>
  <c r="Q61" i="1"/>
  <c r="Q64" i="1" l="1"/>
  <c r="P79" i="1"/>
  <c r="P97" i="1"/>
  <c r="Q77" i="1"/>
  <c r="Q43" i="1"/>
  <c r="R29" i="1"/>
  <c r="R75" i="1" s="1"/>
  <c r="Q66" i="1"/>
  <c r="Q92" i="1"/>
  <c r="Q93" i="1" s="1"/>
  <c r="Q72" i="1"/>
  <c r="Q73" i="1"/>
  <c r="P96" i="1"/>
  <c r="Q69" i="1"/>
  <c r="P80" i="1"/>
  <c r="Q30" i="1"/>
  <c r="Q67" i="1"/>
  <c r="Q90" i="1"/>
  <c r="Q91" i="1" s="1"/>
  <c r="Q37" i="1"/>
  <c r="Q86" i="1"/>
  <c r="Q87" i="1" s="1"/>
  <c r="Q68" i="1"/>
  <c r="Q33" i="1"/>
  <c r="Q34" i="1" s="1"/>
  <c r="Q76" i="1"/>
  <c r="Q75" i="1"/>
  <c r="Q70" i="1"/>
  <c r="Q88" i="1"/>
  <c r="Q89" i="1" s="1"/>
  <c r="Q63" i="1"/>
  <c r="Q84" i="1"/>
  <c r="Q85" i="1" s="1"/>
  <c r="Q94" i="1"/>
  <c r="Q65" i="1"/>
  <c r="P34" i="1"/>
  <c r="Q62" i="1"/>
  <c r="Q78" i="1"/>
  <c r="R33" i="1"/>
  <c r="R37" i="1"/>
  <c r="Q54" i="1"/>
  <c r="Q46" i="1"/>
  <c r="Q47" i="1"/>
  <c r="Q45" i="1"/>
  <c r="Q48" i="1"/>
  <c r="Q51" i="1"/>
  <c r="R43" i="1" l="1"/>
  <c r="R72" i="1"/>
  <c r="R84" i="1"/>
  <c r="R85" i="1" s="1"/>
  <c r="R94" i="1"/>
  <c r="R69" i="1"/>
  <c r="R70" i="1"/>
  <c r="R62" i="1"/>
  <c r="R76" i="1"/>
  <c r="R63" i="1"/>
  <c r="R61" i="1"/>
  <c r="R66" i="1"/>
  <c r="R73" i="1"/>
  <c r="R74" i="1"/>
  <c r="R30" i="1"/>
  <c r="R86" i="1"/>
  <c r="R87" i="1" s="1"/>
  <c r="R71" i="1"/>
  <c r="R64" i="1"/>
  <c r="R90" i="1"/>
  <c r="R91" i="1" s="1"/>
  <c r="R88" i="1"/>
  <c r="R89" i="1" s="1"/>
  <c r="R68" i="1"/>
  <c r="R67" i="1"/>
  <c r="S29" i="1"/>
  <c r="S71" i="1" s="1"/>
  <c r="R78" i="1"/>
  <c r="R77" i="1"/>
  <c r="R92" i="1"/>
  <c r="R93" i="1" s="1"/>
  <c r="R65" i="1"/>
  <c r="Q97" i="1"/>
  <c r="Q80" i="1"/>
  <c r="Q96" i="1"/>
  <c r="Q79" i="1"/>
  <c r="Q35" i="1"/>
  <c r="R54" i="1"/>
  <c r="R34" i="1"/>
  <c r="R35" i="1"/>
  <c r="R46" i="1"/>
  <c r="R47" i="1"/>
  <c r="R48" i="1"/>
  <c r="R45" i="1"/>
  <c r="R51" i="1"/>
  <c r="S74" i="1" l="1"/>
  <c r="S86" i="1"/>
  <c r="S87" i="1" s="1"/>
  <c r="S61" i="1"/>
  <c r="S84" i="1"/>
  <c r="S85" i="1" s="1"/>
  <c r="S43" i="1"/>
  <c r="S72" i="1"/>
  <c r="S77" i="1"/>
  <c r="S94" i="1"/>
  <c r="S66" i="1"/>
  <c r="T29" i="1"/>
  <c r="T37" i="1" s="1"/>
  <c r="S73" i="1"/>
  <c r="S78" i="1"/>
  <c r="S62" i="1"/>
  <c r="R79" i="1"/>
  <c r="S68" i="1"/>
  <c r="R80" i="1"/>
  <c r="R96" i="1"/>
  <c r="S64" i="1"/>
  <c r="S75" i="1"/>
  <c r="S70" i="1"/>
  <c r="S69" i="1"/>
  <c r="S88" i="1"/>
  <c r="S89" i="1" s="1"/>
  <c r="R97" i="1"/>
  <c r="S33" i="1"/>
  <c r="S34" i="1" s="1"/>
  <c r="S90" i="1"/>
  <c r="S91" i="1" s="1"/>
  <c r="S37" i="1"/>
  <c r="S30" i="1"/>
  <c r="S63" i="1"/>
  <c r="S65" i="1"/>
  <c r="S76" i="1"/>
  <c r="S92" i="1"/>
  <c r="S93" i="1" s="1"/>
  <c r="S67" i="1"/>
  <c r="S54" i="1"/>
  <c r="S52" i="1"/>
  <c r="S51" i="1"/>
  <c r="S46" i="1"/>
  <c r="S48" i="1"/>
  <c r="S47" i="1"/>
  <c r="S45" i="1"/>
  <c r="T74" i="1" l="1"/>
  <c r="T77" i="1"/>
  <c r="T78" i="1"/>
  <c r="T30" i="1"/>
  <c r="T92" i="1"/>
  <c r="T93" i="1" s="1"/>
  <c r="T90" i="1"/>
  <c r="T91" i="1" s="1"/>
  <c r="T88" i="1"/>
  <c r="T89" i="1" s="1"/>
  <c r="T69" i="1"/>
  <c r="T86" i="1"/>
  <c r="T87" i="1" s="1"/>
  <c r="T72" i="1"/>
  <c r="T64" i="1"/>
  <c r="T62" i="1"/>
  <c r="T61" i="1"/>
  <c r="T70" i="1"/>
  <c r="T76" i="1"/>
  <c r="T43" i="1"/>
  <c r="T63" i="1"/>
  <c r="T71" i="1"/>
  <c r="T75" i="1"/>
  <c r="T84" i="1"/>
  <c r="T85" i="1" s="1"/>
  <c r="T68" i="1"/>
  <c r="T73" i="1"/>
  <c r="T67" i="1"/>
  <c r="T66" i="1"/>
  <c r="U29" i="1"/>
  <c r="U43" i="1" s="1"/>
  <c r="T65" i="1"/>
  <c r="T94" i="1"/>
  <c r="T33" i="1"/>
  <c r="T34" i="1" s="1"/>
  <c r="S80" i="1"/>
  <c r="S35" i="1"/>
  <c r="S79" i="1"/>
  <c r="S96" i="1"/>
  <c r="S97" i="1"/>
  <c r="T51" i="1"/>
  <c r="T52" i="1"/>
  <c r="T46" i="1"/>
  <c r="T48" i="1"/>
  <c r="T45" i="1"/>
  <c r="T47" i="1"/>
  <c r="U33" i="1" l="1"/>
  <c r="U30" i="1"/>
  <c r="U67" i="1"/>
  <c r="U90" i="1"/>
  <c r="U91" i="1" s="1"/>
  <c r="U94" i="1"/>
  <c r="T97" i="1"/>
  <c r="T96" i="1"/>
  <c r="T80" i="1"/>
  <c r="T79" i="1"/>
  <c r="U64" i="1"/>
  <c r="U66" i="1"/>
  <c r="U74" i="1"/>
  <c r="U61" i="1"/>
  <c r="V29" i="1"/>
  <c r="V37" i="1" s="1"/>
  <c r="U75" i="1"/>
  <c r="U88" i="1"/>
  <c r="U89" i="1" s="1"/>
  <c r="U84" i="1"/>
  <c r="U85" i="1" s="1"/>
  <c r="U77" i="1"/>
  <c r="U86" i="1"/>
  <c r="U87" i="1" s="1"/>
  <c r="U72" i="1"/>
  <c r="U68" i="1"/>
  <c r="U73" i="1"/>
  <c r="U63" i="1"/>
  <c r="U37" i="1"/>
  <c r="U71" i="1"/>
  <c r="U69" i="1"/>
  <c r="U62" i="1"/>
  <c r="U78" i="1"/>
  <c r="U70" i="1"/>
  <c r="U92" i="1"/>
  <c r="U93" i="1" s="1"/>
  <c r="U76" i="1"/>
  <c r="U65" i="1"/>
  <c r="T35" i="1"/>
  <c r="U34" i="1"/>
  <c r="U35" i="1"/>
  <c r="U54" i="1"/>
  <c r="U52" i="1"/>
  <c r="U51" i="1"/>
  <c r="U47" i="1"/>
  <c r="U48" i="1"/>
  <c r="U45" i="1"/>
  <c r="U46" i="1"/>
  <c r="V66" i="1" l="1"/>
  <c r="V71" i="1"/>
  <c r="V69" i="1"/>
  <c r="V86" i="1"/>
  <c r="V87" i="1" s="1"/>
  <c r="V73" i="1"/>
  <c r="U79" i="1"/>
  <c r="V77" i="1"/>
  <c r="V84" i="1"/>
  <c r="V85" i="1" s="1"/>
  <c r="V63" i="1"/>
  <c r="V70" i="1"/>
  <c r="V43" i="1"/>
  <c r="V88" i="1"/>
  <c r="V89" i="1" s="1"/>
  <c r="V75" i="1"/>
  <c r="V72" i="1"/>
  <c r="V78" i="1"/>
  <c r="V64" i="1"/>
  <c r="V68" i="1"/>
  <c r="V90" i="1"/>
  <c r="V91" i="1" s="1"/>
  <c r="V76" i="1"/>
  <c r="W29" i="1"/>
  <c r="W30" i="1" s="1"/>
  <c r="V61" i="1"/>
  <c r="V33" i="1"/>
  <c r="V35" i="1" s="1"/>
  <c r="U80" i="1"/>
  <c r="V74" i="1"/>
  <c r="V67" i="1"/>
  <c r="V92" i="1"/>
  <c r="V93" i="1" s="1"/>
  <c r="V62" i="1"/>
  <c r="V65" i="1"/>
  <c r="V94" i="1"/>
  <c r="V30" i="1"/>
  <c r="U96" i="1"/>
  <c r="U97" i="1"/>
  <c r="V54" i="1"/>
  <c r="V52" i="1"/>
  <c r="V51" i="1"/>
  <c r="V48" i="1"/>
  <c r="V45" i="1"/>
  <c r="V47" i="1"/>
  <c r="V46" i="1"/>
  <c r="V34" i="1" l="1"/>
  <c r="W75" i="1"/>
  <c r="W88" i="1"/>
  <c r="W89" i="1" s="1"/>
  <c r="W73" i="1"/>
  <c r="W66" i="1"/>
  <c r="W92" i="1"/>
  <c r="W93" i="1" s="1"/>
  <c r="W94" i="1"/>
  <c r="W78" i="1"/>
  <c r="W68" i="1"/>
  <c r="W69" i="1"/>
  <c r="W67" i="1"/>
  <c r="W64" i="1"/>
  <c r="W77" i="1"/>
  <c r="W61" i="1"/>
  <c r="V96" i="1"/>
  <c r="V79" i="1"/>
  <c r="W71" i="1"/>
  <c r="W76" i="1"/>
  <c r="W43" i="1"/>
  <c r="W74" i="1"/>
  <c r="W37" i="1"/>
  <c r="W65" i="1"/>
  <c r="W63" i="1"/>
  <c r="X29" i="1"/>
  <c r="X37" i="1" s="1"/>
  <c r="W62" i="1"/>
  <c r="W33" i="1"/>
  <c r="W35" i="1" s="1"/>
  <c r="W72" i="1"/>
  <c r="W90" i="1"/>
  <c r="W91" i="1" s="1"/>
  <c r="W70" i="1"/>
  <c r="V80" i="1"/>
  <c r="V97" i="1"/>
  <c r="W86" i="1"/>
  <c r="W87" i="1" s="1"/>
  <c r="W84" i="1"/>
  <c r="W85" i="1" s="1"/>
  <c r="W52" i="1"/>
  <c r="W54" i="1"/>
  <c r="W45" i="1"/>
  <c r="W47" i="1"/>
  <c r="W51" i="1"/>
  <c r="W46" i="1"/>
  <c r="W48" i="1"/>
  <c r="X86" i="1" l="1"/>
  <c r="X87" i="1" s="1"/>
  <c r="X75" i="1"/>
  <c r="X68" i="1"/>
  <c r="X65" i="1"/>
  <c r="X71" i="1"/>
  <c r="X94" i="1"/>
  <c r="X30" i="1"/>
  <c r="X88" i="1"/>
  <c r="X89" i="1" s="1"/>
  <c r="X64" i="1"/>
  <c r="X33" i="1"/>
  <c r="X34" i="1" s="1"/>
  <c r="W80" i="1"/>
  <c r="X72" i="1"/>
  <c r="X69" i="1"/>
  <c r="W79" i="1"/>
  <c r="X61" i="1"/>
  <c r="X62" i="1"/>
  <c r="X70" i="1"/>
  <c r="X66" i="1"/>
  <c r="X63" i="1"/>
  <c r="X73" i="1"/>
  <c r="X90" i="1"/>
  <c r="X91" i="1" s="1"/>
  <c r="X76" i="1"/>
  <c r="X67" i="1"/>
  <c r="W34" i="1"/>
  <c r="X77" i="1"/>
  <c r="Y29" i="1"/>
  <c r="Y37" i="1" s="1"/>
  <c r="X92" i="1"/>
  <c r="X93" i="1" s="1"/>
  <c r="W96" i="1"/>
  <c r="X84" i="1"/>
  <c r="X85" i="1" s="1"/>
  <c r="X74" i="1"/>
  <c r="X78" i="1"/>
  <c r="X43" i="1"/>
  <c r="W97" i="1"/>
  <c r="X52" i="1"/>
  <c r="X54" i="1"/>
  <c r="X45" i="1"/>
  <c r="X47" i="1"/>
  <c r="X48" i="1"/>
  <c r="X51" i="1"/>
  <c r="X46" i="1"/>
  <c r="X79" i="1" l="1"/>
  <c r="X35" i="1"/>
  <c r="Y67" i="1"/>
  <c r="X97" i="1"/>
  <c r="Y65" i="1"/>
  <c r="Y71" i="1"/>
  <c r="Y66" i="1"/>
  <c r="Z29" i="1"/>
  <c r="Z78" i="1" s="1"/>
  <c r="Y33" i="1"/>
  <c r="Y35" i="1" s="1"/>
  <c r="Y88" i="1"/>
  <c r="Y89" i="1" s="1"/>
  <c r="Y73" i="1"/>
  <c r="Y43" i="1"/>
  <c r="Y74" i="1"/>
  <c r="Y68" i="1"/>
  <c r="Y77" i="1"/>
  <c r="Y63" i="1"/>
  <c r="Y75" i="1"/>
  <c r="X80" i="1"/>
  <c r="Y64" i="1"/>
  <c r="Y86" i="1"/>
  <c r="Y87" i="1" s="1"/>
  <c r="Y30" i="1"/>
  <c r="Y78" i="1"/>
  <c r="Y61" i="1"/>
  <c r="Y72" i="1"/>
  <c r="Y94" i="1"/>
  <c r="Y62" i="1"/>
  <c r="Y70" i="1"/>
  <c r="X96" i="1"/>
  <c r="Y84" i="1"/>
  <c r="Y69" i="1"/>
  <c r="Y76" i="1"/>
  <c r="Y92" i="1"/>
  <c r="Y93" i="1" s="1"/>
  <c r="Y90" i="1"/>
  <c r="Y91" i="1" s="1"/>
  <c r="Y52" i="1"/>
  <c r="Y54" i="1"/>
  <c r="Z33" i="1"/>
  <c r="Z37" i="1"/>
  <c r="Y48" i="1"/>
  <c r="Y47" i="1"/>
  <c r="Y45" i="1"/>
  <c r="Y51" i="1"/>
  <c r="Y46" i="1"/>
  <c r="AA29" i="1"/>
  <c r="Z64" i="1"/>
  <c r="Z67" i="1"/>
  <c r="Z69" i="1"/>
  <c r="Z68" i="1"/>
  <c r="Z65" i="1"/>
  <c r="Z86" i="1"/>
  <c r="Z87" i="1" s="1"/>
  <c r="Z74" i="1"/>
  <c r="Z94" i="1"/>
  <c r="Z62" i="1"/>
  <c r="Z72" i="1"/>
  <c r="Z63" i="1"/>
  <c r="Z61" i="1"/>
  <c r="Z77" i="1"/>
  <c r="Z76" i="1"/>
  <c r="Z73" i="1"/>
  <c r="AJ39" i="1" l="1"/>
  <c r="AJ41" i="1"/>
  <c r="AJ36" i="1"/>
  <c r="Z88" i="1"/>
  <c r="Z89" i="1" s="1"/>
  <c r="Z70" i="1"/>
  <c r="Y34" i="1"/>
  <c r="Y80" i="1"/>
  <c r="N39" i="1"/>
  <c r="N40" i="1" s="1"/>
  <c r="O41" i="1"/>
  <c r="O42" i="1" s="1"/>
  <c r="O36" i="1"/>
  <c r="O39" i="1"/>
  <c r="O40" i="1" s="1"/>
  <c r="P36" i="1"/>
  <c r="P41" i="1"/>
  <c r="P42" i="1" s="1"/>
  <c r="Q36" i="1"/>
  <c r="Q41" i="1"/>
  <c r="Q42" i="1" s="1"/>
  <c r="R41" i="1"/>
  <c r="R42" i="1" s="1"/>
  <c r="R36" i="1"/>
  <c r="S36" i="1"/>
  <c r="S41" i="1"/>
  <c r="S42" i="1" s="1"/>
  <c r="U44" i="1"/>
  <c r="V44" i="1"/>
  <c r="W44" i="1"/>
  <c r="X44" i="1"/>
  <c r="Y44" i="1"/>
  <c r="Z44" i="1"/>
  <c r="O38" i="1"/>
  <c r="P38" i="1"/>
  <c r="Q38" i="1"/>
  <c r="R38" i="1"/>
  <c r="S38" i="1"/>
  <c r="Y96" i="1"/>
  <c r="Y79" i="1"/>
  <c r="Z30" i="1"/>
  <c r="Z75" i="1"/>
  <c r="Y85" i="1"/>
  <c r="Y97" i="1" s="1"/>
  <c r="Z66" i="1"/>
  <c r="Z71" i="1"/>
  <c r="Z43" i="1"/>
  <c r="Z84" i="1"/>
  <c r="Z85" i="1" s="1"/>
  <c r="Z90" i="1"/>
  <c r="Z91" i="1" s="1"/>
  <c r="Z92" i="1"/>
  <c r="Z93" i="1" s="1"/>
  <c r="U36" i="1"/>
  <c r="V36" i="1"/>
  <c r="T36" i="1"/>
  <c r="W36" i="1"/>
  <c r="X36" i="1"/>
  <c r="Y36" i="1"/>
  <c r="P39" i="1"/>
  <c r="V38" i="1"/>
  <c r="Q39" i="1"/>
  <c r="Q40" i="1" s="1"/>
  <c r="V41" i="1"/>
  <c r="V42" i="1" s="1"/>
  <c r="T38" i="1"/>
  <c r="U39" i="1"/>
  <c r="U41" i="1"/>
  <c r="U42" i="1" s="1"/>
  <c r="S39" i="1"/>
  <c r="S40" i="1" s="1"/>
  <c r="U38" i="1"/>
  <c r="T41" i="1"/>
  <c r="T42" i="1" s="1"/>
  <c r="T39" i="1"/>
  <c r="T40" i="1" s="1"/>
  <c r="R39" i="1"/>
  <c r="R40" i="1" s="1"/>
  <c r="V39" i="1"/>
  <c r="AA33" i="1"/>
  <c r="AA37" i="1"/>
  <c r="Z52" i="1"/>
  <c r="Z54" i="1"/>
  <c r="Z34" i="1"/>
  <c r="Z35" i="1"/>
  <c r="Z48" i="1"/>
  <c r="Z45" i="1"/>
  <c r="Z47" i="1"/>
  <c r="Z51" i="1"/>
  <c r="Z46" i="1"/>
  <c r="AA43" i="1"/>
  <c r="AB29" i="1"/>
  <c r="AA88" i="1"/>
  <c r="AA89" i="1" s="1"/>
  <c r="AA66" i="1"/>
  <c r="AA62" i="1"/>
  <c r="AA71" i="1"/>
  <c r="AA92" i="1"/>
  <c r="AA93" i="1" s="1"/>
  <c r="AA64" i="1"/>
  <c r="AA90" i="1"/>
  <c r="AA91" i="1" s="1"/>
  <c r="AA70" i="1"/>
  <c r="AA63" i="1"/>
  <c r="AA68" i="1"/>
  <c r="AA84" i="1"/>
  <c r="AA67" i="1"/>
  <c r="AA72" i="1"/>
  <c r="AA74" i="1"/>
  <c r="AA30" i="1"/>
  <c r="AA86" i="1"/>
  <c r="AA87" i="1" s="1"/>
  <c r="AA77" i="1"/>
  <c r="AA65" i="1"/>
  <c r="AA78" i="1"/>
  <c r="AA61" i="1"/>
  <c r="AA76" i="1"/>
  <c r="AA75" i="1"/>
  <c r="AA69" i="1"/>
  <c r="AA94" i="1"/>
  <c r="AA73" i="1"/>
  <c r="Z80" i="1" l="1"/>
  <c r="Z79" i="1"/>
  <c r="U40" i="1"/>
  <c r="U31" i="1" s="1"/>
  <c r="U32" i="1" s="1"/>
  <c r="N31" i="1"/>
  <c r="N32" i="1" s="1"/>
  <c r="V40" i="1"/>
  <c r="V31" i="1" s="1"/>
  <c r="V32" i="1" s="1"/>
  <c r="Z96" i="1"/>
  <c r="O31" i="1"/>
  <c r="O32" i="1" s="1"/>
  <c r="Z97" i="1"/>
  <c r="P40" i="1"/>
  <c r="P31" i="1" s="1"/>
  <c r="P32" i="1" s="1"/>
  <c r="Q31" i="1"/>
  <c r="Q32" i="1" s="1"/>
  <c r="R31" i="1"/>
  <c r="R32" i="1" s="1"/>
  <c r="T31" i="1"/>
  <c r="T32" i="1" s="1"/>
  <c r="S31" i="1"/>
  <c r="S32" i="1" s="1"/>
  <c r="AA54" i="1"/>
  <c r="AA52" i="1"/>
  <c r="AB33" i="1"/>
  <c r="AB37" i="1"/>
  <c r="AA34" i="1"/>
  <c r="AA35" i="1"/>
  <c r="AA45" i="1"/>
  <c r="AA47" i="1"/>
  <c r="AA51" i="1"/>
  <c r="AA46" i="1"/>
  <c r="AA48" i="1"/>
  <c r="AB43" i="1"/>
  <c r="AC29" i="1"/>
  <c r="AA79" i="1"/>
  <c r="AA80" i="1"/>
  <c r="AA85" i="1"/>
  <c r="AA97" i="1" s="1"/>
  <c r="AA96" i="1"/>
  <c r="AB67" i="1"/>
  <c r="AB73" i="1"/>
  <c r="AB70" i="1"/>
  <c r="AB62" i="1"/>
  <c r="AB64" i="1"/>
  <c r="AB61" i="1"/>
  <c r="AB94" i="1"/>
  <c r="AB71" i="1"/>
  <c r="AB92" i="1"/>
  <c r="AB93" i="1" s="1"/>
  <c r="AB65" i="1"/>
  <c r="AB74" i="1"/>
  <c r="AB68" i="1"/>
  <c r="AB76" i="1"/>
  <c r="AB90" i="1"/>
  <c r="AB91" i="1" s="1"/>
  <c r="AB86" i="1"/>
  <c r="AB87" i="1" s="1"/>
  <c r="AB84" i="1"/>
  <c r="AB63" i="1"/>
  <c r="AB77" i="1"/>
  <c r="AB78" i="1"/>
  <c r="AB75" i="1"/>
  <c r="AB88" i="1"/>
  <c r="AB89" i="1" s="1"/>
  <c r="AB69" i="1"/>
  <c r="AB72" i="1"/>
  <c r="AB66" i="1"/>
  <c r="AB30" i="1"/>
  <c r="AC33" i="1" l="1"/>
  <c r="AC35" i="1" s="1"/>
  <c r="AC37" i="1"/>
  <c r="AB54" i="1"/>
  <c r="AB52" i="1"/>
  <c r="Z36" i="1" s="1"/>
  <c r="AB34" i="1"/>
  <c r="AB35" i="1"/>
  <c r="AB51" i="1"/>
  <c r="AB46" i="1"/>
  <c r="AB45" i="1"/>
  <c r="AB47" i="1"/>
  <c r="AB48" i="1"/>
  <c r="AC43" i="1"/>
  <c r="AD29" i="1"/>
  <c r="AC84" i="1"/>
  <c r="AC90" i="1"/>
  <c r="AC91" i="1" s="1"/>
  <c r="AC86" i="1"/>
  <c r="AC87" i="1" s="1"/>
  <c r="AC30" i="1"/>
  <c r="AC92" i="1"/>
  <c r="AC93" i="1" s="1"/>
  <c r="AC88" i="1"/>
  <c r="AC89" i="1" s="1"/>
  <c r="AC94" i="1"/>
  <c r="AC63" i="1"/>
  <c r="AC64" i="1"/>
  <c r="AC70" i="1"/>
  <c r="AC65" i="1"/>
  <c r="AC78" i="1"/>
  <c r="AC69" i="1"/>
  <c r="AC77" i="1"/>
  <c r="AC75" i="1"/>
  <c r="AC61" i="1"/>
  <c r="AC66" i="1"/>
  <c r="AC76" i="1"/>
  <c r="AC71" i="1"/>
  <c r="AC62" i="1"/>
  <c r="AC72" i="1"/>
  <c r="AC73" i="1"/>
  <c r="AC67" i="1"/>
  <c r="AC74" i="1"/>
  <c r="AC68" i="1"/>
  <c r="AB79" i="1"/>
  <c r="AB85" i="1"/>
  <c r="AB97" i="1" s="1"/>
  <c r="AB96" i="1"/>
  <c r="AB80" i="1"/>
  <c r="AA36" i="1" l="1"/>
  <c r="AB36" i="1"/>
  <c r="X38" i="1"/>
  <c r="Y38" i="1"/>
  <c r="Z38" i="1"/>
  <c r="W38" i="1"/>
  <c r="W41" i="1"/>
  <c r="W42" i="1" s="1"/>
  <c r="W39" i="1"/>
  <c r="X39" i="1"/>
  <c r="X41" i="1"/>
  <c r="X42" i="1" s="1"/>
  <c r="Y41" i="1"/>
  <c r="Y42" i="1" s="1"/>
  <c r="Y39" i="1"/>
  <c r="Z41" i="1"/>
  <c r="Z42" i="1" s="1"/>
  <c r="AA41" i="1"/>
  <c r="AA42" i="1" s="1"/>
  <c r="AA44" i="1"/>
  <c r="AB44" i="1"/>
  <c r="AD33" i="1"/>
  <c r="AD35" i="1" s="1"/>
  <c r="AD37" i="1"/>
  <c r="AC52" i="1"/>
  <c r="AC54" i="1"/>
  <c r="AC34" i="1"/>
  <c r="AC46" i="1"/>
  <c r="AC47" i="1"/>
  <c r="AC45" i="1"/>
  <c r="AC48" i="1"/>
  <c r="AC51" i="1"/>
  <c r="AD43" i="1"/>
  <c r="AC85" i="1"/>
  <c r="AC97" i="1" s="1"/>
  <c r="AC96" i="1"/>
  <c r="AC79" i="1"/>
  <c r="AC80" i="1"/>
  <c r="AD84" i="1"/>
  <c r="AD90" i="1"/>
  <c r="AD91" i="1" s="1"/>
  <c r="AD92" i="1"/>
  <c r="AD93" i="1" s="1"/>
  <c r="AD88" i="1"/>
  <c r="AD89" i="1" s="1"/>
  <c r="AD94" i="1"/>
  <c r="AD86" i="1"/>
  <c r="AD87" i="1" s="1"/>
  <c r="AD64" i="1"/>
  <c r="AE29" i="1"/>
  <c r="AE33" i="1" s="1"/>
  <c r="AE35" i="1" s="1"/>
  <c r="AD30" i="1"/>
  <c r="AD63" i="1"/>
  <c r="AD69" i="1"/>
  <c r="AD65" i="1"/>
  <c r="AD78" i="1"/>
  <c r="AD62" i="1"/>
  <c r="AD70" i="1"/>
  <c r="AD66" i="1"/>
  <c r="AD72" i="1"/>
  <c r="AD77" i="1"/>
  <c r="AD68" i="1"/>
  <c r="AD61" i="1"/>
  <c r="AD71" i="1"/>
  <c r="AD73" i="1"/>
  <c r="AD67" i="1"/>
  <c r="AD76" i="1"/>
  <c r="AD75" i="1"/>
  <c r="AD74" i="1"/>
  <c r="X40" i="1" l="1"/>
  <c r="X31" i="1" s="1"/>
  <c r="X32" i="1" s="1"/>
  <c r="W40" i="1"/>
  <c r="W31" i="1" s="1"/>
  <c r="W32" i="1" s="1"/>
  <c r="Y40" i="1"/>
  <c r="Y31" i="1" s="1"/>
  <c r="Y32" i="1" s="1"/>
  <c r="AE34" i="1"/>
  <c r="AE73" i="1"/>
  <c r="AF29" i="1"/>
  <c r="AA38" i="1"/>
  <c r="AD52" i="1"/>
  <c r="AC36" i="1" s="1"/>
  <c r="AD54" i="1"/>
  <c r="AE43" i="1"/>
  <c r="AE37" i="1"/>
  <c r="AD34" i="1"/>
  <c r="AD47" i="1"/>
  <c r="AD46" i="1"/>
  <c r="AD45" i="1"/>
  <c r="AD48" i="1"/>
  <c r="AD51" i="1"/>
  <c r="AD80" i="1"/>
  <c r="AD96" i="1"/>
  <c r="AD85" i="1"/>
  <c r="AD97" i="1" s="1"/>
  <c r="AD79" i="1"/>
  <c r="AE88" i="1"/>
  <c r="AE89" i="1" s="1"/>
  <c r="AE84" i="1"/>
  <c r="AE90" i="1"/>
  <c r="AE91" i="1" s="1"/>
  <c r="AE86" i="1"/>
  <c r="AE87" i="1" s="1"/>
  <c r="AE92" i="1"/>
  <c r="AE93" i="1" s="1"/>
  <c r="AE94" i="1"/>
  <c r="AE64" i="1"/>
  <c r="AE63" i="1"/>
  <c r="AE74" i="1"/>
  <c r="AE68" i="1"/>
  <c r="AE71" i="1"/>
  <c r="AE62" i="1"/>
  <c r="AE69" i="1"/>
  <c r="AE67" i="1"/>
  <c r="AE75" i="1"/>
  <c r="AE72" i="1"/>
  <c r="AE77" i="1"/>
  <c r="AE70" i="1"/>
  <c r="AE65" i="1"/>
  <c r="AE30" i="1"/>
  <c r="AE61" i="1"/>
  <c r="AE78" i="1"/>
  <c r="AE66" i="1"/>
  <c r="AE76" i="1"/>
  <c r="AI39" i="1" l="1"/>
  <c r="AD36" i="1"/>
  <c r="AF33" i="1"/>
  <c r="AF35" i="1" s="1"/>
  <c r="AF88" i="1"/>
  <c r="AF89" i="1" s="1"/>
  <c r="AF92" i="1"/>
  <c r="AF93" i="1" s="1"/>
  <c r="AF61" i="1"/>
  <c r="AF63" i="1"/>
  <c r="AF65" i="1"/>
  <c r="AF67" i="1"/>
  <c r="AF69" i="1"/>
  <c r="AF71" i="1"/>
  <c r="AF73" i="1"/>
  <c r="AF75" i="1"/>
  <c r="AF77" i="1"/>
  <c r="AF86" i="1"/>
  <c r="AF87" i="1" s="1"/>
  <c r="AF84" i="1"/>
  <c r="AF90" i="1"/>
  <c r="AF91" i="1" s="1"/>
  <c r="AF94" i="1"/>
  <c r="AF62" i="1"/>
  <c r="AF64" i="1"/>
  <c r="AF66" i="1"/>
  <c r="AF68" i="1"/>
  <c r="AF70" i="1"/>
  <c r="AF72" i="1"/>
  <c r="AF74" i="1"/>
  <c r="AF76" i="1"/>
  <c r="AF78" i="1"/>
  <c r="AG29" i="1"/>
  <c r="AF30" i="1"/>
  <c r="AF37" i="1"/>
  <c r="AF43" i="1"/>
  <c r="AE52" i="1"/>
  <c r="AE54" i="1"/>
  <c r="AK44" i="1" s="1"/>
  <c r="AE48" i="1"/>
  <c r="AE45" i="1"/>
  <c r="AE51" i="1"/>
  <c r="AE46" i="1"/>
  <c r="AE47" i="1"/>
  <c r="AE80" i="1"/>
  <c r="AE79" i="1"/>
  <c r="AE85" i="1"/>
  <c r="AE97" i="1" s="1"/>
  <c r="AE96" i="1"/>
  <c r="AF36" i="1" l="1"/>
  <c r="AE36" i="1"/>
  <c r="AF44" i="1"/>
  <c r="AJ42" i="1"/>
  <c r="AJ40" i="1" s="1"/>
  <c r="AJ44" i="1"/>
  <c r="AK41" i="1"/>
  <c r="AK42" i="1" s="1"/>
  <c r="AI41" i="1"/>
  <c r="AI42" i="1" s="1"/>
  <c r="AI40" i="1" s="1"/>
  <c r="AH39" i="1"/>
  <c r="AF79" i="1"/>
  <c r="AF80" i="1"/>
  <c r="AG94" i="1"/>
  <c r="AG62" i="1"/>
  <c r="AG64" i="1"/>
  <c r="AG66" i="1"/>
  <c r="AG68" i="1"/>
  <c r="AG70" i="1"/>
  <c r="AG72" i="1"/>
  <c r="AG74" i="1"/>
  <c r="AG76" i="1"/>
  <c r="AG78" i="1"/>
  <c r="AG33" i="1"/>
  <c r="AG88" i="1"/>
  <c r="AG89" i="1" s="1"/>
  <c r="AG92" i="1"/>
  <c r="AG93" i="1" s="1"/>
  <c r="AG61" i="1"/>
  <c r="AG63" i="1"/>
  <c r="AG65" i="1"/>
  <c r="AG67" i="1"/>
  <c r="AG69" i="1"/>
  <c r="AG71" i="1"/>
  <c r="AG73" i="1"/>
  <c r="AG75" i="1"/>
  <c r="AG77" i="1"/>
  <c r="AG86" i="1"/>
  <c r="AG87" i="1" s="1"/>
  <c r="AG84" i="1"/>
  <c r="AG90" i="1"/>
  <c r="AG91" i="1" s="1"/>
  <c r="AF85" i="1"/>
  <c r="AF97" i="1" s="1"/>
  <c r="AF96" i="1"/>
  <c r="AF34" i="1"/>
  <c r="AF38" i="1"/>
  <c r="AF41" i="1"/>
  <c r="AF42" i="1" s="1"/>
  <c r="AG44" i="1"/>
  <c r="AI44" i="1"/>
  <c r="AH44" i="1"/>
  <c r="AG30" i="1"/>
  <c r="AG43" i="1"/>
  <c r="AG37" i="1"/>
  <c r="AG38" i="1" s="1"/>
  <c r="AH29" i="1"/>
  <c r="AH33" i="1" s="1"/>
  <c r="AH34" i="1" s="1"/>
  <c r="AH41" i="1"/>
  <c r="AH42" i="1" s="1"/>
  <c r="AF39" i="1"/>
  <c r="AG41" i="1"/>
  <c r="AG42" i="1" s="1"/>
  <c r="AG39" i="1"/>
  <c r="Z39" i="1"/>
  <c r="Z40" i="1" s="1"/>
  <c r="AC44" i="1"/>
  <c r="AD44" i="1"/>
  <c r="AE44" i="1"/>
  <c r="AE39" i="1"/>
  <c r="AL52" i="1"/>
  <c r="AL36" i="1" s="1"/>
  <c r="AL54" i="1"/>
  <c r="AL39" i="1" s="1"/>
  <c r="AL48" i="1"/>
  <c r="AL45" i="1"/>
  <c r="AM28" i="1"/>
  <c r="AL47" i="1"/>
  <c r="AL46" i="1"/>
  <c r="AH40" i="1" l="1"/>
  <c r="AG80" i="1"/>
  <c r="AG79" i="1"/>
  <c r="AG85" i="1"/>
  <c r="AG97" i="1" s="1"/>
  <c r="AG96" i="1"/>
  <c r="AH84" i="1"/>
  <c r="AH90" i="1"/>
  <c r="AH91" i="1" s="1"/>
  <c r="AH75" i="1"/>
  <c r="AH94" i="1"/>
  <c r="AH62" i="1"/>
  <c r="AH64" i="1"/>
  <c r="AH66" i="1"/>
  <c r="AH68" i="1"/>
  <c r="AH70" i="1"/>
  <c r="AH72" i="1"/>
  <c r="AH74" i="1"/>
  <c r="AH76" i="1"/>
  <c r="AH78" i="1"/>
  <c r="AH65" i="1"/>
  <c r="AH77" i="1"/>
  <c r="AH61" i="1"/>
  <c r="AH69" i="1"/>
  <c r="AH88" i="1"/>
  <c r="AH89" i="1" s="1"/>
  <c r="AH92" i="1"/>
  <c r="AH93" i="1" s="1"/>
  <c r="AH67" i="1"/>
  <c r="AH63" i="1"/>
  <c r="AH86" i="1"/>
  <c r="AH87" i="1" s="1"/>
  <c r="AH73" i="1"/>
  <c r="AH71" i="1"/>
  <c r="AG34" i="1"/>
  <c r="AG35" i="1"/>
  <c r="AG36" i="1" s="1"/>
  <c r="AF40" i="1"/>
  <c r="AF31" i="1" s="1"/>
  <c r="AF32" i="1" s="1"/>
  <c r="Z31" i="1"/>
  <c r="Z32" i="1" s="1"/>
  <c r="AD38" i="1"/>
  <c r="AG40" i="1"/>
  <c r="AG31" i="1" s="1"/>
  <c r="AG32" i="1" s="1"/>
  <c r="AH30" i="1"/>
  <c r="AH37" i="1"/>
  <c r="AH43" i="1"/>
  <c r="AI29" i="1"/>
  <c r="AJ29" i="1" s="1"/>
  <c r="AE41" i="1"/>
  <c r="AE42" i="1" s="1"/>
  <c r="AE40" i="1" s="1"/>
  <c r="AC39" i="1"/>
  <c r="AL44" i="1"/>
  <c r="AA39" i="1"/>
  <c r="AA40" i="1" s="1"/>
  <c r="AC38" i="1"/>
  <c r="AE38" i="1"/>
  <c r="AB39" i="1"/>
  <c r="AD41" i="1"/>
  <c r="AD42" i="1" s="1"/>
  <c r="AB41" i="1"/>
  <c r="AB42" i="1" s="1"/>
  <c r="AB38" i="1"/>
  <c r="AD39" i="1"/>
  <c r="AC41" i="1"/>
  <c r="AC42" i="1" s="1"/>
  <c r="AL38" i="1"/>
  <c r="AL41" i="1"/>
  <c r="AL42" i="1" s="1"/>
  <c r="AL40" i="1" s="1"/>
  <c r="AM52" i="1"/>
  <c r="AK39" i="1" s="1"/>
  <c r="AK40" i="1" s="1"/>
  <c r="AM51" i="1"/>
  <c r="AM54" i="1"/>
  <c r="AM44" i="1" s="1"/>
  <c r="AJ62" i="1" l="1"/>
  <c r="AJ74" i="1"/>
  <c r="AJ63" i="1"/>
  <c r="AJ75" i="1"/>
  <c r="AJ64" i="1"/>
  <c r="AJ76" i="1"/>
  <c r="AJ71" i="1"/>
  <c r="AJ65" i="1"/>
  <c r="AJ77" i="1"/>
  <c r="AJ78" i="1"/>
  <c r="AJ88" i="1"/>
  <c r="AJ89" i="1" s="1"/>
  <c r="AJ72" i="1"/>
  <c r="AJ84" i="1"/>
  <c r="AJ66" i="1"/>
  <c r="AJ86" i="1"/>
  <c r="AJ87" i="1" s="1"/>
  <c r="AJ67" i="1"/>
  <c r="AJ68" i="1"/>
  <c r="AJ61" i="1"/>
  <c r="AJ73" i="1"/>
  <c r="AJ90" i="1"/>
  <c r="AJ91" i="1" s="1"/>
  <c r="AJ69" i="1"/>
  <c r="AJ92" i="1"/>
  <c r="AJ93" i="1" s="1"/>
  <c r="AJ70" i="1"/>
  <c r="AJ94" i="1"/>
  <c r="AK29" i="1"/>
  <c r="AJ30" i="1"/>
  <c r="AJ37" i="1"/>
  <c r="AJ38" i="1" s="1"/>
  <c r="AJ31" i="1" s="1"/>
  <c r="AJ32" i="1" s="1"/>
  <c r="AJ43" i="1"/>
  <c r="AH79" i="1"/>
  <c r="AH80" i="1"/>
  <c r="AH85" i="1"/>
  <c r="AH97" i="1" s="1"/>
  <c r="AH96" i="1"/>
  <c r="AH35" i="1"/>
  <c r="AH36" i="1" s="1"/>
  <c r="AI84" i="1"/>
  <c r="AI90" i="1"/>
  <c r="AI91" i="1" s="1"/>
  <c r="AI88" i="1"/>
  <c r="AI89" i="1" s="1"/>
  <c r="AI94" i="1"/>
  <c r="AI62" i="1"/>
  <c r="AI64" i="1"/>
  <c r="AI66" i="1"/>
  <c r="AI68" i="1"/>
  <c r="AI70" i="1"/>
  <c r="AI72" i="1"/>
  <c r="AI74" i="1"/>
  <c r="AI76" i="1"/>
  <c r="AI78" i="1"/>
  <c r="AI92" i="1"/>
  <c r="AI93" i="1" s="1"/>
  <c r="AI61" i="1"/>
  <c r="AI63" i="1"/>
  <c r="AI65" i="1"/>
  <c r="AI67" i="1"/>
  <c r="AI69" i="1"/>
  <c r="AI71" i="1"/>
  <c r="AI73" i="1"/>
  <c r="AI75" i="1"/>
  <c r="AI77" i="1"/>
  <c r="AI86" i="1"/>
  <c r="AI87" i="1" s="1"/>
  <c r="AA31" i="1"/>
  <c r="AA32" i="1" s="1"/>
  <c r="AL31" i="1"/>
  <c r="AL32" i="1" s="1"/>
  <c r="AI30" i="1"/>
  <c r="AI43" i="1"/>
  <c r="AI37" i="1"/>
  <c r="AI38" i="1" s="1"/>
  <c r="AI31" i="1" s="1"/>
  <c r="AI32" i="1" s="1"/>
  <c r="AH38" i="1"/>
  <c r="AH31" i="1" s="1"/>
  <c r="AH32" i="1" s="1"/>
  <c r="AC40" i="1"/>
  <c r="AC31" i="1" s="1"/>
  <c r="AC32" i="1" s="1"/>
  <c r="AB40" i="1"/>
  <c r="AB31" i="1" s="1"/>
  <c r="AB32" i="1" s="1"/>
  <c r="AD40" i="1"/>
  <c r="AD31" i="1" s="1"/>
  <c r="AD32" i="1" s="1"/>
  <c r="AE31" i="1"/>
  <c r="AE32" i="1" s="1"/>
  <c r="AJ79" i="1" l="1"/>
  <c r="AJ85" i="1"/>
  <c r="AJ97" i="1" s="1"/>
  <c r="AJ96" i="1"/>
  <c r="AJ80" i="1"/>
  <c r="AI80" i="1"/>
  <c r="AK86" i="1"/>
  <c r="AK87" i="1" s="1"/>
  <c r="AK84" i="1"/>
  <c r="AK90" i="1"/>
  <c r="AK91" i="1" s="1"/>
  <c r="AK94" i="1"/>
  <c r="AK62" i="1"/>
  <c r="AK64" i="1"/>
  <c r="AK66" i="1"/>
  <c r="AK68" i="1"/>
  <c r="AK70" i="1"/>
  <c r="AK72" i="1"/>
  <c r="AK74" i="1"/>
  <c r="AK76" i="1"/>
  <c r="AK78" i="1"/>
  <c r="AK88" i="1"/>
  <c r="AK89" i="1" s="1"/>
  <c r="AK92" i="1"/>
  <c r="AK93" i="1" s="1"/>
  <c r="AK61" i="1"/>
  <c r="AK63" i="1"/>
  <c r="AK65" i="1"/>
  <c r="AK67" i="1"/>
  <c r="AK69" i="1"/>
  <c r="AK71" i="1"/>
  <c r="AK73" i="1"/>
  <c r="AK75" i="1"/>
  <c r="AK77" i="1"/>
  <c r="AI35" i="1"/>
  <c r="AI36" i="1" s="1"/>
  <c r="AI34" i="1"/>
  <c r="AI85" i="1"/>
  <c r="AI97" i="1" s="1"/>
  <c r="AI96" i="1"/>
  <c r="AI79" i="1"/>
  <c r="AK43" i="1"/>
  <c r="AK30" i="1"/>
  <c r="AK37" i="1"/>
  <c r="AK38" i="1" s="1"/>
  <c r="AK31" i="1" s="1"/>
  <c r="AK32" i="1" s="1"/>
  <c r="AK79" i="1" l="1"/>
  <c r="AK80" i="1"/>
  <c r="AK34" i="1"/>
  <c r="AK35" i="1"/>
  <c r="AK36" i="1" s="1"/>
  <c r="AK85" i="1"/>
  <c r="AK97" i="1" s="1"/>
  <c r="AK96" i="1"/>
</calcChain>
</file>

<file path=xl/sharedStrings.xml><?xml version="1.0" encoding="utf-8"?>
<sst xmlns="http://schemas.openxmlformats.org/spreadsheetml/2006/main" count="291" uniqueCount="218">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</sst>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58.163265306122447</c:v>
                </c:pt>
                <c:pt idx="1">
                  <c:v>116.32653061224489</c:v>
                </c:pt>
                <c:pt idx="2">
                  <c:v>232.65306122448979</c:v>
                </c:pt>
                <c:pt idx="3">
                  <c:v>465.30612244897958</c:v>
                </c:pt>
                <c:pt idx="4">
                  <c:v>930.61224489795916</c:v>
                </c:pt>
                <c:pt idx="5">
                  <c:v>1861.2244897959183</c:v>
                </c:pt>
                <c:pt idx="6">
                  <c:v>3722.4489795918366</c:v>
                </c:pt>
                <c:pt idx="7">
                  <c:v>7444.8979591836733</c:v>
                </c:pt>
                <c:pt idx="8">
                  <c:v>14889.795918367347</c:v>
                </c:pt>
                <c:pt idx="9">
                  <c:v>29779.591836734693</c:v>
                </c:pt>
                <c:pt idx="10">
                  <c:v>59559.183673469386</c:v>
                </c:pt>
                <c:pt idx="11">
                  <c:v>119118.36734693877</c:v>
                </c:pt>
                <c:pt idx="12">
                  <c:v>238236.73469387754</c:v>
                </c:pt>
                <c:pt idx="13">
                  <c:v>476473.46938775509</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29.591836734693878</c:v>
                </c:pt>
                <c:pt idx="1">
                  <c:v>59.183673469387756</c:v>
                </c:pt>
                <c:pt idx="2">
                  <c:v>118.36734693877551</c:v>
                </c:pt>
                <c:pt idx="3">
                  <c:v>236.73469387755102</c:v>
                </c:pt>
                <c:pt idx="4">
                  <c:v>473.46938775510205</c:v>
                </c:pt>
                <c:pt idx="5">
                  <c:v>946.9387755102041</c:v>
                </c:pt>
                <c:pt idx="6">
                  <c:v>1893.8775510204082</c:v>
                </c:pt>
                <c:pt idx="7">
                  <c:v>3787.7551020408164</c:v>
                </c:pt>
                <c:pt idx="8">
                  <c:v>7575.5102040816328</c:v>
                </c:pt>
                <c:pt idx="9">
                  <c:v>15151.020408163266</c:v>
                </c:pt>
                <c:pt idx="10">
                  <c:v>30302.040816326531</c:v>
                </c:pt>
                <c:pt idx="11">
                  <c:v>60604.081632653062</c:v>
                </c:pt>
                <c:pt idx="12">
                  <c:v>121208.16326530612</c:v>
                </c:pt>
                <c:pt idx="13">
                  <c:v>242416.32653061225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512000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11922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121299.87797574571</c:v>
                </c:pt>
                <c:pt idx="15">
                  <c:v>224915.32156091332</c:v>
                </c:pt>
                <c:pt idx="16">
                  <c:v>427150.38610488729</c:v>
                </c:pt>
                <c:pt idx="17">
                  <c:v>820740.4333067612</c:v>
                </c:pt>
                <c:pt idx="18">
                  <c:v>1589849.125522895</c:v>
                </c:pt>
                <c:pt idx="19">
                  <c:v>3097837.431153086</c:v>
                </c:pt>
                <c:pt idx="20">
                  <c:v>6062741.9969177246</c:v>
                </c:pt>
                <c:pt idx="21">
                  <c:v>11905366.766908417</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102680.0992415911</c:v>
                </c:pt>
                <c:pt idx="15">
                  <c:v>184595.8339734475</c:v>
                </c:pt>
                <c:pt idx="16">
                  <c:v>344196.86860098061</c:v>
                </c:pt>
                <c:pt idx="17">
                  <c:v>653278.78036643087</c:v>
                </c:pt>
                <c:pt idx="18">
                  <c:v>1253157.8099664389</c:v>
                </c:pt>
                <c:pt idx="19">
                  <c:v>2422650.1488823043</c:v>
                </c:pt>
                <c:pt idx="20">
                  <c:v>4710594.6943770833</c:v>
                </c:pt>
                <c:pt idx="21">
                  <c:v>9199571.3499063086</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16260.97932238157</c:v>
                </c:pt>
                <c:pt idx="15">
                  <c:v>31835.882311658872</c:v>
                </c:pt>
                <c:pt idx="16">
                  <c:v>62943.943068217595</c:v>
                </c:pt>
                <c:pt idx="17">
                  <c:v>124771.72232532193</c:v>
                </c:pt>
                <c:pt idx="18">
                  <c:v>247777.42809421662</c:v>
                </c:pt>
                <c:pt idx="19">
                  <c:v>492690.92381971952</c:v>
                </c:pt>
                <c:pt idx="20">
                  <c:v>980643.89352660649</c:v>
                </c:pt>
                <c:pt idx="21">
                  <c:v>1953319.3691048222</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6246.3806971139675</c:v>
                </c:pt>
                <c:pt idx="15">
                  <c:v>5770.0727254305275</c:v>
                </c:pt>
                <c:pt idx="16">
                  <c:v>16012.341104587482</c:v>
                </c:pt>
                <c:pt idx="17">
                  <c:v>40412.656619307425</c:v>
                </c:pt>
                <c:pt idx="18">
                  <c:v>91207.756144704152</c:v>
                </c:pt>
                <c:pt idx="19">
                  <c:v>197163.95079520287</c:v>
                </c:pt>
                <c:pt idx="20">
                  <c:v>416255.13022506656</c:v>
                </c:pt>
                <c:pt idx="21">
                  <c:v>866276.37743324484</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pt idx="15">
                  <c:v>29184</c:v>
                </c:pt>
                <c:pt idx="16">
                  <c:v>58368</c:v>
                </c:pt>
                <c:pt idx="17">
                  <c:v>116736</c:v>
                </c:pt>
                <c:pt idx="18">
                  <c:v>233472</c:v>
                </c:pt>
                <c:pt idx="19">
                  <c:v>466944</c:v>
                </c:pt>
                <c:pt idx="20">
                  <c:v>933888</c:v>
                </c:pt>
                <c:pt idx="21">
                  <c:v>1867776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512000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11922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58.163265306122447</c:v>
                </c:pt>
                <c:pt idx="1">
                  <c:v>116.32653061224489</c:v>
                </c:pt>
                <c:pt idx="2">
                  <c:v>232.65306122448979</c:v>
                </c:pt>
                <c:pt idx="3">
                  <c:v>465.30612244897958</c:v>
                </c:pt>
                <c:pt idx="4">
                  <c:v>930.61224489795916</c:v>
                </c:pt>
                <c:pt idx="5">
                  <c:v>1861.2244897959183</c:v>
                </c:pt>
                <c:pt idx="6">
                  <c:v>3722.4489795918366</c:v>
                </c:pt>
                <c:pt idx="7">
                  <c:v>7444.8979591836733</c:v>
                </c:pt>
                <c:pt idx="8">
                  <c:v>14889.795918367347</c:v>
                </c:pt>
                <c:pt idx="9">
                  <c:v>29779.591836734693</c:v>
                </c:pt>
                <c:pt idx="10">
                  <c:v>59559.183673469386</c:v>
                </c:pt>
                <c:pt idx="11">
                  <c:v>119118.36734693877</c:v>
                </c:pt>
                <c:pt idx="12">
                  <c:v>238236.73469387754</c:v>
                </c:pt>
                <c:pt idx="13">
                  <c:v>476473.46938775509</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29.591836734693878</c:v>
                </c:pt>
                <c:pt idx="1">
                  <c:v>59.183673469387756</c:v>
                </c:pt>
                <c:pt idx="2">
                  <c:v>118.36734693877551</c:v>
                </c:pt>
                <c:pt idx="3">
                  <c:v>236.73469387755102</c:v>
                </c:pt>
                <c:pt idx="4">
                  <c:v>473.46938775510205</c:v>
                </c:pt>
                <c:pt idx="5">
                  <c:v>946.9387755102041</c:v>
                </c:pt>
                <c:pt idx="6">
                  <c:v>1893.8775510204082</c:v>
                </c:pt>
                <c:pt idx="7">
                  <c:v>3787.7551020408164</c:v>
                </c:pt>
                <c:pt idx="8">
                  <c:v>7575.5102040816328</c:v>
                </c:pt>
                <c:pt idx="9">
                  <c:v>15151.020408163266</c:v>
                </c:pt>
                <c:pt idx="10">
                  <c:v>30302.040816326531</c:v>
                </c:pt>
                <c:pt idx="11">
                  <c:v>60604.081632653062</c:v>
                </c:pt>
                <c:pt idx="12">
                  <c:v>121208.16326530612</c:v>
                </c:pt>
                <c:pt idx="13">
                  <c:v>242416.32653061225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43959.841645370368</c:v>
                </c:pt>
                <c:pt idx="1">
                  <c:v>43962.841645370368</c:v>
                </c:pt>
                <c:pt idx="2">
                  <c:v>43965.841645370368</c:v>
                </c:pt>
                <c:pt idx="3">
                  <c:v>43968.841645370368</c:v>
                </c:pt>
                <c:pt idx="4">
                  <c:v>43971.841645370368</c:v>
                </c:pt>
                <c:pt idx="5">
                  <c:v>43974.841645370368</c:v>
                </c:pt>
                <c:pt idx="6">
                  <c:v>43977.841645370368</c:v>
                </c:pt>
                <c:pt idx="7">
                  <c:v>43980.841645370368</c:v>
                </c:pt>
                <c:pt idx="8">
                  <c:v>43983.841645370368</c:v>
                </c:pt>
                <c:pt idx="9">
                  <c:v>43986.841645370368</c:v>
                </c:pt>
                <c:pt idx="10">
                  <c:v>43989.841645370368</c:v>
                </c:pt>
                <c:pt idx="11">
                  <c:v>43992.841645370368</c:v>
                </c:pt>
                <c:pt idx="12">
                  <c:v>43995.841645370368</c:v>
                </c:pt>
                <c:pt idx="13">
                  <c:v>43998.841645370368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121299.87797574571</c:v>
                </c:pt>
                <c:pt idx="15">
                  <c:v>224915.32156091332</c:v>
                </c:pt>
                <c:pt idx="16">
                  <c:v>427150.38610488729</c:v>
                </c:pt>
                <c:pt idx="17">
                  <c:v>820740.4333067612</c:v>
                </c:pt>
                <c:pt idx="18">
                  <c:v>1589849.125522895</c:v>
                </c:pt>
                <c:pt idx="19">
                  <c:v>3097837.431153086</c:v>
                </c:pt>
                <c:pt idx="20">
                  <c:v>6062741.9969177246</c:v>
                </c:pt>
                <c:pt idx="21">
                  <c:v>11905366.766908417</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102680.0992415911</c:v>
                </c:pt>
                <c:pt idx="15">
                  <c:v>184595.8339734475</c:v>
                </c:pt>
                <c:pt idx="16">
                  <c:v>344196.86860098061</c:v>
                </c:pt>
                <c:pt idx="17">
                  <c:v>653278.78036643087</c:v>
                </c:pt>
                <c:pt idx="18">
                  <c:v>1253157.8099664389</c:v>
                </c:pt>
                <c:pt idx="19">
                  <c:v>2422650.1488823043</c:v>
                </c:pt>
                <c:pt idx="20">
                  <c:v>4710594.6943770833</c:v>
                </c:pt>
                <c:pt idx="21">
                  <c:v>9199571.3499063086</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16260.97932238157</c:v>
                </c:pt>
                <c:pt idx="15">
                  <c:v>31835.882311658872</c:v>
                </c:pt>
                <c:pt idx="16">
                  <c:v>62943.943068217595</c:v>
                </c:pt>
                <c:pt idx="17">
                  <c:v>124771.72232532193</c:v>
                </c:pt>
                <c:pt idx="18">
                  <c:v>247777.42809421662</c:v>
                </c:pt>
                <c:pt idx="19">
                  <c:v>492690.92381971952</c:v>
                </c:pt>
                <c:pt idx="20">
                  <c:v>980643.89352660649</c:v>
                </c:pt>
                <c:pt idx="21">
                  <c:v>1953319.3691048222</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6246.3806971139675</c:v>
                </c:pt>
                <c:pt idx="15">
                  <c:v>5770.0727254305275</c:v>
                </c:pt>
                <c:pt idx="16">
                  <c:v>16012.341104587482</c:v>
                </c:pt>
                <c:pt idx="17">
                  <c:v>40412.656619307425</c:v>
                </c:pt>
                <c:pt idx="18">
                  <c:v>91207.756144704152</c:v>
                </c:pt>
                <c:pt idx="19">
                  <c:v>197163.95079520287</c:v>
                </c:pt>
                <c:pt idx="20">
                  <c:v>416255.13022506656</c:v>
                </c:pt>
                <c:pt idx="21">
                  <c:v>866276.37743324484</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pt idx="15">
                  <c:v>29184</c:v>
                </c:pt>
                <c:pt idx="16">
                  <c:v>58368</c:v>
                </c:pt>
                <c:pt idx="17">
                  <c:v>116736</c:v>
                </c:pt>
                <c:pt idx="18">
                  <c:v>233472</c:v>
                </c:pt>
                <c:pt idx="19">
                  <c:v>466944</c:v>
                </c:pt>
                <c:pt idx="20">
                  <c:v>933888</c:v>
                </c:pt>
                <c:pt idx="21">
                  <c:v>1867776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723901</xdr:colOff>
      <xdr:row>26</xdr:row>
      <xdr:rowOff>157162</xdr:rowOff>
    </xdr:from>
    <xdr:to>
      <xdr:col>51</xdr:col>
      <xdr:colOff>576263</xdr:colOff>
      <xdr:row>58</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712643</xdr:colOff>
      <xdr:row>98</xdr:row>
      <xdr:rowOff>172501</xdr:rowOff>
    </xdr:from>
    <xdr:to>
      <xdr:col>51</xdr:col>
      <xdr:colOff>614363</xdr:colOff>
      <xdr:row>121</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717406</xdr:colOff>
      <xdr:row>122</xdr:row>
      <xdr:rowOff>177263</xdr:rowOff>
    </xdr:from>
    <xdr:to>
      <xdr:col>52</xdr:col>
      <xdr:colOff>4763</xdr:colOff>
      <xdr:row>139</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717405</xdr:colOff>
      <xdr:row>140</xdr:row>
      <xdr:rowOff>158212</xdr:rowOff>
    </xdr:from>
    <xdr:to>
      <xdr:col>52</xdr:col>
      <xdr:colOff>14287</xdr:colOff>
      <xdr:row>156</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717407</xdr:colOff>
      <xdr:row>157</xdr:row>
      <xdr:rowOff>177262</xdr:rowOff>
    </xdr:from>
    <xdr:to>
      <xdr:col>51</xdr:col>
      <xdr:colOff>614363</xdr:colOff>
      <xdr:row>176</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714375</xdr:colOff>
      <xdr:row>60</xdr:row>
      <xdr:rowOff>171449</xdr:rowOff>
    </xdr:from>
    <xdr:to>
      <xdr:col>51</xdr:col>
      <xdr:colOff>614363</xdr:colOff>
      <xdr:row>80</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716416</xdr:colOff>
      <xdr:row>81</xdr:row>
      <xdr:rowOff>169408</xdr:rowOff>
    </xdr:from>
    <xdr:to>
      <xdr:col>51</xdr:col>
      <xdr:colOff>566738</xdr:colOff>
      <xdr:row>97</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595314</xdr:colOff>
      <xdr:row>26</xdr:row>
      <xdr:rowOff>157162</xdr:rowOff>
    </xdr:from>
    <xdr:to>
      <xdr:col>65</xdr:col>
      <xdr:colOff>138113</xdr:colOff>
      <xdr:row>58</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584055</xdr:colOff>
      <xdr:row>98</xdr:row>
      <xdr:rowOff>153451</xdr:rowOff>
    </xdr:from>
    <xdr:to>
      <xdr:col>65</xdr:col>
      <xdr:colOff>185738</xdr:colOff>
      <xdr:row>121</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574531</xdr:colOff>
      <xdr:row>122</xdr:row>
      <xdr:rowOff>167738</xdr:rowOff>
    </xdr:from>
    <xdr:to>
      <xdr:col>65</xdr:col>
      <xdr:colOff>176213</xdr:colOff>
      <xdr:row>139</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598342</xdr:colOff>
      <xdr:row>140</xdr:row>
      <xdr:rowOff>158212</xdr:rowOff>
    </xdr:from>
    <xdr:to>
      <xdr:col>65</xdr:col>
      <xdr:colOff>195262</xdr:colOff>
      <xdr:row>156</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52</xdr:col>
      <xdr:colOff>617394</xdr:colOff>
      <xdr:row>157</xdr:row>
      <xdr:rowOff>177262</xdr:rowOff>
    </xdr:from>
    <xdr:to>
      <xdr:col>65</xdr:col>
      <xdr:colOff>204788</xdr:colOff>
      <xdr:row>176</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576262</xdr:colOff>
      <xdr:row>60</xdr:row>
      <xdr:rowOff>180974</xdr:rowOff>
    </xdr:from>
    <xdr:to>
      <xdr:col>65</xdr:col>
      <xdr:colOff>176213</xdr:colOff>
      <xdr:row>80</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583066</xdr:colOff>
      <xdr:row>81</xdr:row>
      <xdr:rowOff>169408</xdr:rowOff>
    </xdr:from>
    <xdr:to>
      <xdr:col>65</xdr:col>
      <xdr:colOff>138113</xdr:colOff>
      <xdr:row>97</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/Projections!B17</f>
        <v>58.163265306122447</v>
      </c>
      <c r="C17" s="97"/>
      <c r="D17" s="98"/>
      <c r="E17" s="92">
        <f>B17*2</f>
        <v>116.32653061224489</v>
      </c>
      <c r="F17" s="97"/>
      <c r="G17" s="92"/>
      <c r="H17" s="92">
        <f>E17*2</f>
        <v>232.65306122448979</v>
      </c>
      <c r="I17" s="97"/>
      <c r="J17" s="98"/>
      <c r="K17" s="89">
        <f>H17*2</f>
        <v>465.30612244897958</v>
      </c>
      <c r="L17" s="87"/>
      <c r="M17" s="88"/>
      <c r="N17" s="89">
        <f>K17*2</f>
        <v>930.61224489795916</v>
      </c>
      <c r="O17" s="87"/>
      <c r="P17" s="88"/>
      <c r="Q17" s="89">
        <f>N17*2</f>
        <v>1861.2244897959183</v>
      </c>
      <c r="R17" s="87"/>
      <c r="S17" s="88"/>
      <c r="T17" s="89">
        <f>Q17*2</f>
        <v>3722.4489795918366</v>
      </c>
      <c r="U17" s="87"/>
      <c r="V17" s="88"/>
      <c r="W17" s="89">
        <f>T17*2</f>
        <v>7444.8979591836733</v>
      </c>
      <c r="X17" s="87"/>
      <c r="Y17" s="88"/>
      <c r="Z17" s="89">
        <f>W17*2</f>
        <v>14889.795918367347</v>
      </c>
      <c r="AA17" s="87"/>
      <c r="AB17" s="88"/>
      <c r="AC17" s="89">
        <f>Z17*2</f>
        <v>29779.591836734693</v>
      </c>
      <c r="AD17" s="87"/>
      <c r="AE17" s="88"/>
      <c r="AF17" s="89">
        <f>AC17*2</f>
        <v>59559.183673469386</v>
      </c>
      <c r="AG17" s="87"/>
      <c r="AH17" s="88"/>
      <c r="AI17" s="89">
        <f>AF17*2</f>
        <v>119118.36734693877</v>
      </c>
      <c r="AJ17" s="87"/>
      <c r="AK17" s="88"/>
      <c r="AL17" s="89">
        <f>AI17*2</f>
        <v>238236.73469387754</v>
      </c>
      <c r="AM17" s="87"/>
      <c r="AN17" s="88"/>
      <c r="AO17" s="89">
        <f>AL17*2</f>
        <v>476473.46938775509</v>
      </c>
      <c r="AP17" s="92"/>
      <c r="AQ17" t="s">
        <v>91</v>
      </c>
    </row>
    <row r="18" spans="1:43" s="66" customFormat="1" x14ac:dyDescent="0.25">
      <c r="A18" t="s">
        <v>165</v>
      </c>
      <c r="B18" s="82">
        <f>B17*$E$34</f>
        <v>29.591836734693878</v>
      </c>
      <c r="C18" s="99"/>
      <c r="D18" s="99"/>
      <c r="E18" s="99">
        <f>E17*$E$34</f>
        <v>59.183673469387756</v>
      </c>
      <c r="F18" s="99"/>
      <c r="G18" s="33"/>
      <c r="H18" s="99">
        <f>H17*$E$34</f>
        <v>118.36734693877551</v>
      </c>
      <c r="I18" s="99"/>
      <c r="J18" s="99"/>
      <c r="K18" s="99">
        <f>K17*$E$34</f>
        <v>236.73469387755102</v>
      </c>
      <c r="L18" s="99"/>
      <c r="M18" s="99"/>
      <c r="N18" s="99">
        <f>N17*$E$34</f>
        <v>473.46938775510205</v>
      </c>
      <c r="O18" s="99"/>
      <c r="P18" s="99"/>
      <c r="Q18" s="99">
        <f>Q17*$E$34</f>
        <v>946.9387755102041</v>
      </c>
      <c r="R18" s="99"/>
      <c r="S18" s="99"/>
      <c r="T18" s="99">
        <f>T17*$E$34</f>
        <v>1893.8775510204082</v>
      </c>
      <c r="U18" s="99"/>
      <c r="V18" s="99"/>
      <c r="W18" s="99">
        <f>W17*$E$34</f>
        <v>3787.7551020408164</v>
      </c>
      <c r="X18" s="99"/>
      <c r="Y18" s="99"/>
      <c r="Z18" s="99">
        <f>Z17*$E$34</f>
        <v>7575.5102040816328</v>
      </c>
      <c r="AA18" s="99"/>
      <c r="AB18" s="99"/>
      <c r="AC18" s="99">
        <f>AC17*$E$34</f>
        <v>15151.020408163266</v>
      </c>
      <c r="AD18" s="99"/>
      <c r="AE18" s="99"/>
      <c r="AF18" s="99">
        <f>AF17*$E$34</f>
        <v>30302.040816326531</v>
      </c>
      <c r="AG18" s="99"/>
      <c r="AH18" s="99"/>
      <c r="AI18" s="99">
        <f>AI17*$E$34</f>
        <v>60604.081632653062</v>
      </c>
      <c r="AJ18" s="99"/>
      <c r="AK18" s="99"/>
      <c r="AL18" s="99">
        <f>AL17*$E$34</f>
        <v>121208.16326530612</v>
      </c>
      <c r="AM18" s="99"/>
      <c r="AN18" s="99"/>
      <c r="AO18" s="99">
        <f>AO17*$E$34</f>
        <v>242416.32653061225</v>
      </c>
      <c r="AP18" s="33"/>
      <c r="AQ18" t="s">
        <v>165</v>
      </c>
    </row>
    <row r="19" spans="1:43" s="66" customFormat="1" x14ac:dyDescent="0.25">
      <c r="A19" t="s">
        <v>167</v>
      </c>
      <c r="B19" s="80">
        <f>B18</f>
        <v>29.591836734693878</v>
      </c>
      <c r="C19" s="81"/>
      <c r="D19" s="81"/>
      <c r="E19" s="81">
        <f>E18</f>
        <v>59.183673469387756</v>
      </c>
      <c r="F19" s="81"/>
      <c r="G19" s="34"/>
      <c r="H19" s="81">
        <f>H18</f>
        <v>118.36734693877551</v>
      </c>
      <c r="I19" s="81"/>
      <c r="J19" s="81"/>
      <c r="K19" s="81">
        <f>K18</f>
        <v>236.73469387755102</v>
      </c>
      <c r="L19" s="81"/>
      <c r="M19" s="81"/>
      <c r="N19" s="81">
        <f>N18</f>
        <v>473.46938775510205</v>
      </c>
      <c r="O19" s="81"/>
      <c r="P19" s="81"/>
      <c r="Q19" s="81">
        <f>Q18</f>
        <v>946.9387755102041</v>
      </c>
      <c r="R19" s="81"/>
      <c r="S19" s="81"/>
      <c r="T19" s="81">
        <f>T18</f>
        <v>1893.8775510204082</v>
      </c>
      <c r="U19" s="81"/>
      <c r="V19" s="81"/>
      <c r="W19" s="115">
        <f>W18-B18</f>
        <v>3758.1632653061224</v>
      </c>
      <c r="X19" s="115"/>
      <c r="Y19" s="115"/>
      <c r="Z19" s="115">
        <f>Z18-E18</f>
        <v>7516.3265306122448</v>
      </c>
      <c r="AA19" s="115"/>
      <c r="AB19" s="115"/>
      <c r="AC19" s="115">
        <f>AC18-H18</f>
        <v>15032.65306122449</v>
      </c>
      <c r="AD19" s="115"/>
      <c r="AE19" s="115"/>
      <c r="AF19" s="115">
        <f>AF18-K18</f>
        <v>30065.306122448979</v>
      </c>
      <c r="AG19" s="115"/>
      <c r="AH19" s="115"/>
      <c r="AI19" s="115">
        <f>AI18-N18</f>
        <v>60130.612244897959</v>
      </c>
      <c r="AJ19" s="115"/>
      <c r="AK19" s="115"/>
      <c r="AL19" s="115">
        <f>AL18-Q18</f>
        <v>120261.22448979592</v>
      </c>
      <c r="AM19" s="115"/>
      <c r="AN19" s="115"/>
      <c r="AO19" s="115">
        <f>AO18-T18</f>
        <v>240522.44897959183</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43959.841645370368</v>
      </c>
      <c r="C26" s="84">
        <f t="shared" ca="1" si="0"/>
        <v>43960.841645370368</v>
      </c>
      <c r="D26" s="84">
        <f t="shared" ca="1" si="0"/>
        <v>43961.841645370368</v>
      </c>
      <c r="E26" s="84">
        <f t="shared" ca="1" si="0"/>
        <v>43962.841645370368</v>
      </c>
      <c r="F26" s="84">
        <f t="shared" ca="1" si="0"/>
        <v>43963.841645370368</v>
      </c>
      <c r="G26" s="85">
        <f t="shared" ca="1" si="0"/>
        <v>43964.841645370368</v>
      </c>
      <c r="H26" s="84">
        <f t="shared" ref="H26:U26" ca="1" si="1">I26-1</f>
        <v>43965.841645370368</v>
      </c>
      <c r="I26" s="84">
        <f t="shared" ca="1" si="1"/>
        <v>43966.841645370368</v>
      </c>
      <c r="J26" s="84">
        <f t="shared" ca="1" si="1"/>
        <v>43967.841645370368</v>
      </c>
      <c r="K26" s="84">
        <f t="shared" ca="1" si="1"/>
        <v>43968.841645370368</v>
      </c>
      <c r="L26" s="84">
        <f t="shared" ca="1" si="1"/>
        <v>43969.841645370368</v>
      </c>
      <c r="M26" s="84">
        <f t="shared" ca="1" si="1"/>
        <v>43970.841645370368</v>
      </c>
      <c r="N26" s="85">
        <f t="shared" ca="1" si="1"/>
        <v>43971.841645370368</v>
      </c>
      <c r="O26" s="83">
        <f t="shared" ca="1" si="1"/>
        <v>43972.841645370368</v>
      </c>
      <c r="P26" s="84">
        <f t="shared" ca="1" si="1"/>
        <v>43973.841645370368</v>
      </c>
      <c r="Q26" s="84">
        <f t="shared" ca="1" si="1"/>
        <v>43974.841645370368</v>
      </c>
      <c r="R26" s="84">
        <f t="shared" ca="1" si="1"/>
        <v>43975.841645370368</v>
      </c>
      <c r="S26" s="84">
        <f t="shared" ca="1" si="1"/>
        <v>43976.841645370368</v>
      </c>
      <c r="T26" s="84">
        <f t="shared" ca="1" si="1"/>
        <v>43977.841645370368</v>
      </c>
      <c r="U26" s="85">
        <f t="shared" ca="1" si="1"/>
        <v>43978.841645370368</v>
      </c>
      <c r="V26" s="83">
        <f t="shared" ref="V26:AN26" ca="1" si="2">W26-1</f>
        <v>43979.841645370368</v>
      </c>
      <c r="W26" s="84">
        <f t="shared" ca="1" si="2"/>
        <v>43980.841645370368</v>
      </c>
      <c r="X26" s="84">
        <f t="shared" ca="1" si="2"/>
        <v>43981.841645370368</v>
      </c>
      <c r="Y26" s="84">
        <f t="shared" ca="1" si="2"/>
        <v>43982.841645370368</v>
      </c>
      <c r="Z26" s="84">
        <f t="shared" ca="1" si="2"/>
        <v>43983.841645370368</v>
      </c>
      <c r="AA26" s="84">
        <f t="shared" ca="1" si="2"/>
        <v>43984.841645370368</v>
      </c>
      <c r="AB26" s="85">
        <f t="shared" ca="1" si="2"/>
        <v>43985.841645370368</v>
      </c>
      <c r="AC26" s="83">
        <f t="shared" ca="1" si="2"/>
        <v>43986.841645370368</v>
      </c>
      <c r="AD26" s="84">
        <f t="shared" ca="1" si="2"/>
        <v>43987.841645370368</v>
      </c>
      <c r="AE26" s="84">
        <f t="shared" ca="1" si="2"/>
        <v>43988.841645370368</v>
      </c>
      <c r="AF26" s="84">
        <f t="shared" ca="1" si="2"/>
        <v>43989.841645370368</v>
      </c>
      <c r="AG26" s="84">
        <f t="shared" ca="1" si="2"/>
        <v>43990.841645370368</v>
      </c>
      <c r="AH26" s="84">
        <f t="shared" ca="1" si="2"/>
        <v>43991.841645370368</v>
      </c>
      <c r="AI26" s="85">
        <f t="shared" ca="1" si="2"/>
        <v>43992.841645370368</v>
      </c>
      <c r="AJ26" s="83">
        <f t="shared" ca="1" si="2"/>
        <v>43993.841645370368</v>
      </c>
      <c r="AK26" s="84">
        <f t="shared" ca="1" si="2"/>
        <v>43994.841645370368</v>
      </c>
      <c r="AL26" s="84">
        <f t="shared" ca="1" si="2"/>
        <v>43995.841645370368</v>
      </c>
      <c r="AM26" s="84">
        <f t="shared" ca="1" si="2"/>
        <v>43996.841645370368</v>
      </c>
      <c r="AN26" s="84">
        <f t="shared" ca="1" si="2"/>
        <v>43997.841645370368</v>
      </c>
      <c r="AO26" s="84">
        <f ca="1">AP26-1</f>
        <v>43998.841645370368</v>
      </c>
      <c r="AP26" s="105">
        <f ca="1">NOW()</f>
        <v>43999.841645370368</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5" t="s">
        <v>67</v>
      </c>
      <c r="C28" s="296"/>
      <c r="D28" s="296"/>
      <c r="E28" s="296"/>
      <c r="F28" s="296"/>
      <c r="G28" s="297"/>
      <c r="H28" s="301" t="s">
        <v>56</v>
      </c>
      <c r="I28" s="301"/>
      <c r="J28" s="301"/>
      <c r="K28" s="301"/>
      <c r="L28" s="301"/>
      <c r="M28" s="301"/>
      <c r="N28" s="302"/>
      <c r="O28" s="300" t="s">
        <v>57</v>
      </c>
      <c r="P28" s="301"/>
      <c r="Q28" s="301"/>
      <c r="R28" s="301"/>
      <c r="S28" s="301"/>
      <c r="T28" s="301"/>
      <c r="U28" s="302"/>
      <c r="V28" s="300" t="s">
        <v>58</v>
      </c>
      <c r="W28" s="301"/>
      <c r="X28" s="301"/>
      <c r="Y28" s="301"/>
      <c r="Z28" s="301"/>
      <c r="AA28" s="301"/>
      <c r="AB28" s="302"/>
      <c r="AC28" s="300" t="s">
        <v>59</v>
      </c>
      <c r="AD28" s="301"/>
      <c r="AE28" s="301"/>
      <c r="AF28" s="301"/>
      <c r="AG28" s="301"/>
      <c r="AH28" s="301"/>
      <c r="AI28" s="302"/>
      <c r="AJ28" s="300" t="s">
        <v>60</v>
      </c>
      <c r="AK28" s="301"/>
      <c r="AL28" s="301"/>
      <c r="AM28" s="301"/>
      <c r="AN28" s="301"/>
      <c r="AO28" s="301"/>
      <c r="AP28" s="302"/>
    </row>
    <row r="29" spans="1:43" x14ac:dyDescent="0.25">
      <c r="B29" s="51" t="s">
        <v>79</v>
      </c>
      <c r="C29" s="90"/>
      <c r="D29" s="90"/>
      <c r="E29" s="90"/>
      <c r="F29" s="90"/>
      <c r="G29" s="91"/>
      <c r="H29" s="298" t="s">
        <v>66</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1-Projections!B17</f>
        <v>0.50877192982456143</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Projections!B24</f>
        <v>2.8500000000000001E-2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104"/>
  <sheetViews>
    <sheetView tabSelected="1" topLeftCell="E13" zoomScaleNormal="100" workbookViewId="0">
      <selection activeCell="AF19" sqref="AF19"/>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0.7109375" bestFit="1" customWidth="1"/>
    <col min="31" max="33" width="11.5703125" bestFit="1" customWidth="1"/>
    <col min="34" max="34" width="13.7109375" customWidth="1"/>
    <col min="35" max="35" width="13.28515625" bestFit="1" customWidth="1"/>
    <col min="36" max="36" width="13.28515625" customWidth="1"/>
    <col min="37" max="37" width="13.28515625" bestFit="1" customWidth="1"/>
    <col min="38" max="38" width="13.7109375" customWidth="1"/>
    <col min="39" max="39" width="13.42578125" style="66" customWidth="1"/>
    <col min="40" max="40" width="11.140625" bestFit="1" customWidth="1"/>
    <col min="41" max="41" width="12.140625" bestFit="1" customWidth="1"/>
  </cols>
  <sheetData>
    <row r="1" spans="1:29" x14ac:dyDescent="0.25">
      <c r="M1" t="s">
        <v>116</v>
      </c>
    </row>
    <row r="2" spans="1:29" x14ac:dyDescent="0.25">
      <c r="M2" s="147">
        <v>43903</v>
      </c>
      <c r="N2" s="148" t="s">
        <v>190</v>
      </c>
      <c r="O2" s="148"/>
      <c r="P2" s="147">
        <v>43917</v>
      </c>
      <c r="U2" s="66"/>
      <c r="V2" s="66"/>
      <c r="W2" s="66"/>
      <c r="X2" s="66"/>
      <c r="Y2" s="66"/>
      <c r="Z2" s="66"/>
    </row>
    <row r="3" spans="1:29" x14ac:dyDescent="0.25">
      <c r="M3" s="66"/>
      <c r="N3" s="147">
        <v>43906</v>
      </c>
      <c r="O3" s="148" t="s">
        <v>189</v>
      </c>
      <c r="P3" s="148"/>
      <c r="Q3" s="147">
        <v>43920</v>
      </c>
      <c r="R3" s="66"/>
      <c r="S3" s="66"/>
      <c r="T3" s="66"/>
      <c r="U3" s="154"/>
      <c r="V3" s="66"/>
      <c r="W3" s="66"/>
      <c r="X3" s="66"/>
      <c r="Y3" s="66"/>
      <c r="Z3" s="66"/>
    </row>
    <row r="4" spans="1:29" x14ac:dyDescent="0.25">
      <c r="M4" s="66"/>
      <c r="N4" s="154"/>
      <c r="O4" s="147">
        <v>43912</v>
      </c>
      <c r="P4" s="148" t="s">
        <v>202</v>
      </c>
      <c r="Q4" s="147"/>
      <c r="R4" s="148"/>
      <c r="S4" s="147">
        <v>43926</v>
      </c>
      <c r="T4" s="66"/>
      <c r="U4" s="66"/>
      <c r="V4" s="66"/>
      <c r="W4" s="66"/>
      <c r="X4" s="66"/>
      <c r="Y4" s="66"/>
      <c r="Z4" s="66"/>
    </row>
    <row r="5" spans="1:29" x14ac:dyDescent="0.25">
      <c r="M5" s="66"/>
      <c r="N5" s="154"/>
      <c r="O5" s="154"/>
      <c r="P5" s="147">
        <v>43914</v>
      </c>
      <c r="Q5" s="148" t="s">
        <v>201</v>
      </c>
      <c r="R5" s="147"/>
      <c r="S5" s="147">
        <v>43928</v>
      </c>
      <c r="T5" s="66"/>
      <c r="U5" s="66"/>
      <c r="V5" s="66"/>
      <c r="W5" s="66"/>
      <c r="X5" s="66"/>
      <c r="Y5" s="66"/>
      <c r="Z5" s="66"/>
    </row>
    <row r="6" spans="1:29" x14ac:dyDescent="0.25">
      <c r="M6" s="66"/>
      <c r="N6" s="154"/>
      <c r="O6" s="154"/>
      <c r="P6" s="154"/>
      <c r="Q6" s="66"/>
      <c r="R6" s="154"/>
      <c r="S6" s="154"/>
      <c r="T6" s="147">
        <v>43934</v>
      </c>
      <c r="U6" s="148" t="s">
        <v>199</v>
      </c>
      <c r="V6" s="147"/>
      <c r="W6" s="148"/>
      <c r="X6" s="148"/>
      <c r="Y6" s="154"/>
      <c r="Z6" s="154"/>
    </row>
    <row r="7" spans="1:29" x14ac:dyDescent="0.25">
      <c r="M7" s="66"/>
      <c r="N7" s="66"/>
      <c r="O7" s="154"/>
      <c r="P7" s="66"/>
      <c r="Q7" s="66"/>
      <c r="R7" s="66"/>
      <c r="S7" s="154"/>
      <c r="T7" s="154">
        <v>43935</v>
      </c>
      <c r="U7" s="66" t="s">
        <v>203</v>
      </c>
      <c r="V7" s="267"/>
      <c r="W7" s="267"/>
      <c r="X7" s="268"/>
      <c r="Y7" s="154"/>
      <c r="Z7" s="154"/>
    </row>
    <row r="8" spans="1:29" x14ac:dyDescent="0.25">
      <c r="M8" s="66"/>
      <c r="N8" s="66"/>
      <c r="O8" s="66"/>
      <c r="P8" s="154"/>
      <c r="Q8" s="47"/>
      <c r="R8" s="47"/>
      <c r="S8" s="154"/>
      <c r="U8" s="267">
        <v>43941</v>
      </c>
      <c r="V8" s="268" t="s">
        <v>204</v>
      </c>
      <c r="Y8" s="66"/>
      <c r="Z8" s="154"/>
      <c r="AA8" s="66"/>
      <c r="AB8" s="66"/>
    </row>
    <row r="9" spans="1:29" x14ac:dyDescent="0.25">
      <c r="M9" s="66"/>
      <c r="N9" s="66"/>
      <c r="O9" s="154"/>
      <c r="P9" s="154"/>
      <c r="Q9" s="154"/>
      <c r="R9" s="66"/>
      <c r="S9" s="66"/>
      <c r="T9" s="154"/>
      <c r="U9" s="267">
        <v>43946</v>
      </c>
      <c r="V9" s="268" t="s">
        <v>205</v>
      </c>
      <c r="W9" s="66"/>
      <c r="X9" s="154"/>
      <c r="Y9" s="66"/>
      <c r="Z9" s="66"/>
      <c r="AA9" s="66"/>
      <c r="AB9" s="66"/>
    </row>
    <row r="10" spans="1:29" x14ac:dyDescent="0.25">
      <c r="M10" s="66"/>
      <c r="N10" s="66"/>
      <c r="O10" s="66"/>
      <c r="P10" s="66"/>
      <c r="Q10" s="154"/>
      <c r="R10" s="66"/>
      <c r="S10" s="66"/>
      <c r="T10" s="154"/>
      <c r="U10" s="66"/>
      <c r="V10" s="147">
        <v>43952</v>
      </c>
      <c r="W10" s="148" t="s">
        <v>206</v>
      </c>
      <c r="X10" s="147"/>
      <c r="Y10" s="66"/>
      <c r="Z10" s="66"/>
      <c r="AA10" s="66"/>
      <c r="AB10" s="66"/>
    </row>
    <row r="11" spans="1:29" x14ac:dyDescent="0.25">
      <c r="M11" s="66"/>
      <c r="N11" s="66"/>
      <c r="O11" s="66"/>
      <c r="P11" s="66"/>
      <c r="Q11" s="66"/>
      <c r="R11" s="140"/>
      <c r="S11" s="66"/>
      <c r="T11" s="223"/>
      <c r="U11" s="154"/>
      <c r="V11" s="204">
        <v>43952</v>
      </c>
      <c r="W11" t="s">
        <v>213</v>
      </c>
      <c r="AA11" s="66"/>
      <c r="AB11" s="66"/>
    </row>
    <row r="12" spans="1:29" x14ac:dyDescent="0.25">
      <c r="D12" s="154"/>
      <c r="E12" s="154"/>
      <c r="F12" s="66"/>
      <c r="G12" s="66"/>
      <c r="H12" s="66"/>
      <c r="I12" s="66"/>
      <c r="J12" s="154"/>
      <c r="K12" s="154"/>
      <c r="L12" s="66"/>
      <c r="M12" s="66"/>
      <c r="N12" s="66"/>
      <c r="O12" s="66"/>
      <c r="P12" s="66"/>
      <c r="Q12" s="47"/>
      <c r="R12" s="66"/>
      <c r="S12" s="154"/>
      <c r="T12" s="184"/>
      <c r="U12" s="16"/>
      <c r="V12" s="267">
        <v>43955</v>
      </c>
      <c r="W12" s="268" t="s">
        <v>208</v>
      </c>
      <c r="X12" s="267"/>
      <c r="Y12" s="66"/>
      <c r="Z12" s="66"/>
      <c r="AA12" s="66"/>
      <c r="AB12" s="66"/>
    </row>
    <row r="13" spans="1:29" x14ac:dyDescent="0.25">
      <c r="D13" s="66"/>
      <c r="E13" s="66"/>
      <c r="F13" s="154"/>
      <c r="G13" s="154"/>
      <c r="H13" s="154"/>
      <c r="I13" s="154"/>
      <c r="J13" s="154"/>
      <c r="K13" s="154"/>
      <c r="L13" s="66"/>
      <c r="P13" s="16"/>
      <c r="Q13" s="16"/>
      <c r="R13" s="16"/>
      <c r="S13" s="251"/>
      <c r="T13" s="251"/>
      <c r="U13" s="16"/>
      <c r="V13" s="267">
        <v>43956</v>
      </c>
      <c r="W13" s="268" t="s">
        <v>207</v>
      </c>
      <c r="X13" s="267"/>
      <c r="AA13" s="66"/>
      <c r="AB13" s="66"/>
    </row>
    <row r="14" spans="1:29" x14ac:dyDescent="0.25">
      <c r="D14" s="66"/>
      <c r="E14" s="66"/>
      <c r="F14" s="66"/>
      <c r="G14" s="66"/>
      <c r="H14" s="66"/>
      <c r="I14" s="66"/>
      <c r="J14" s="66"/>
      <c r="K14" s="66"/>
      <c r="L14" s="154"/>
      <c r="Q14" s="251"/>
      <c r="R14" s="16"/>
      <c r="S14" s="16"/>
      <c r="T14" s="16"/>
      <c r="U14" s="16"/>
      <c r="W14" s="267">
        <v>43963</v>
      </c>
      <c r="X14" s="267" t="s">
        <v>209</v>
      </c>
      <c r="Y14" s="267"/>
      <c r="AA14" s="66"/>
      <c r="AB14" s="66"/>
      <c r="AC14" s="204"/>
    </row>
    <row r="15" spans="1:29" x14ac:dyDescent="0.25">
      <c r="A15" s="56" t="s">
        <v>177</v>
      </c>
      <c r="B15" s="265">
        <v>1392156000</v>
      </c>
      <c r="C15" t="s">
        <v>176</v>
      </c>
      <c r="D15" s="66"/>
      <c r="E15" s="66"/>
      <c r="F15" s="66"/>
      <c r="G15" s="66"/>
      <c r="H15" s="66"/>
      <c r="I15" s="66"/>
      <c r="J15" s="66"/>
      <c r="K15" s="66"/>
      <c r="L15" s="66"/>
      <c r="W15" s="204">
        <v>43968</v>
      </c>
      <c r="X15" t="s">
        <v>215</v>
      </c>
      <c r="AA15" s="154"/>
      <c r="AB15" s="66"/>
    </row>
    <row r="16" spans="1:29" x14ac:dyDescent="0.25">
      <c r="A16" s="56" t="s">
        <v>211</v>
      </c>
      <c r="B16" s="290">
        <v>1.4E-2</v>
      </c>
      <c r="D16" s="66"/>
      <c r="E16" s="66"/>
      <c r="F16" s="66"/>
      <c r="G16" s="66"/>
      <c r="H16" s="66"/>
      <c r="I16" s="66"/>
      <c r="J16" s="66"/>
      <c r="K16" s="66"/>
      <c r="L16" s="66"/>
      <c r="W16" s="147">
        <v>43969</v>
      </c>
      <c r="X16" s="148" t="s">
        <v>210</v>
      </c>
      <c r="AA16" s="66"/>
      <c r="AB16" s="66"/>
    </row>
    <row r="17" spans="1:42" x14ac:dyDescent="0.25">
      <c r="A17" s="4" t="s">
        <v>113</v>
      </c>
      <c r="B17" s="145">
        <f>B16/B24</f>
        <v>0.49122807017543857</v>
      </c>
      <c r="C17" t="s">
        <v>212</v>
      </c>
      <c r="D17" s="66"/>
      <c r="E17" s="66"/>
      <c r="F17" s="66"/>
      <c r="G17" s="66"/>
      <c r="H17" s="66"/>
      <c r="I17" s="66"/>
      <c r="J17" s="66"/>
      <c r="K17" s="66"/>
      <c r="L17" s="66"/>
      <c r="X17" s="267">
        <v>43974</v>
      </c>
      <c r="Y17" s="268" t="s">
        <v>214</v>
      </c>
      <c r="AB17" s="66"/>
    </row>
    <row r="18" spans="1:42" x14ac:dyDescent="0.25">
      <c r="A18" s="37" t="s">
        <v>115</v>
      </c>
      <c r="B18" s="108">
        <v>0.06</v>
      </c>
      <c r="C18" s="235"/>
      <c r="D18" s="66"/>
      <c r="E18" s="66"/>
      <c r="F18" s="66"/>
      <c r="G18" s="66"/>
      <c r="H18" s="66"/>
      <c r="I18" s="66"/>
      <c r="J18" s="66"/>
      <c r="K18" s="66"/>
      <c r="L18" s="66"/>
      <c r="X18" s="267">
        <v>43982</v>
      </c>
      <c r="Y18" s="268" t="s">
        <v>216</v>
      </c>
      <c r="AA18" s="66"/>
      <c r="AB18" s="66"/>
    </row>
    <row r="19" spans="1:42" x14ac:dyDescent="0.25">
      <c r="A19" s="41" t="s">
        <v>191</v>
      </c>
      <c r="B19" s="266">
        <v>0.53</v>
      </c>
      <c r="C19" s="63">
        <f>((B15/1000)*B19)-(((B15/1000)*B19)*B20)</f>
        <v>689882.90580000007</v>
      </c>
      <c r="D19" s="66" t="s">
        <v>194</v>
      </c>
      <c r="E19" s="66"/>
      <c r="F19" s="66"/>
      <c r="G19" s="66"/>
      <c r="H19" s="66"/>
      <c r="I19" s="66"/>
      <c r="J19" s="66"/>
      <c r="K19" s="66"/>
      <c r="L19" s="66"/>
      <c r="Y19" s="204">
        <v>43994</v>
      </c>
      <c r="Z19" t="s">
        <v>217</v>
      </c>
    </row>
    <row r="20" spans="1:42" x14ac:dyDescent="0.25">
      <c r="A20" s="37" t="s">
        <v>192</v>
      </c>
      <c r="B20" s="269">
        <v>6.5000000000000002E-2</v>
      </c>
      <c r="C20" s="60">
        <f>((B15/1000)*B19)*B20</f>
        <v>47959.774200000007</v>
      </c>
      <c r="D20" s="156">
        <f>C20/(B15/100000)</f>
        <v>3.4450000000000007</v>
      </c>
      <c r="E20" s="66" t="s">
        <v>193</v>
      </c>
      <c r="F20" s="66"/>
      <c r="G20" s="66" t="s">
        <v>195</v>
      </c>
      <c r="H20" s="66"/>
      <c r="I20" s="66"/>
      <c r="J20" s="66"/>
      <c r="K20" s="66"/>
      <c r="L20" s="66"/>
      <c r="AA20" s="204"/>
    </row>
    <row r="21" spans="1:42" x14ac:dyDescent="0.25">
      <c r="A21" s="4" t="s">
        <v>73</v>
      </c>
      <c r="B21" s="106">
        <v>0.81</v>
      </c>
      <c r="C21" s="2"/>
      <c r="D21" s="66"/>
      <c r="E21" s="66"/>
      <c r="F21" s="66"/>
      <c r="G21" s="66"/>
      <c r="H21" s="66"/>
      <c r="I21" s="66"/>
      <c r="J21" s="66"/>
      <c r="K21" s="66"/>
      <c r="L21" s="66"/>
    </row>
    <row r="22" spans="1:42" x14ac:dyDescent="0.25">
      <c r="A22" s="41" t="s">
        <v>74</v>
      </c>
      <c r="B22" s="107">
        <v>0.14000000000000001</v>
      </c>
      <c r="C22" s="2"/>
      <c r="D22" s="66"/>
      <c r="E22" s="66"/>
      <c r="F22" s="66"/>
      <c r="G22" s="66"/>
      <c r="H22" s="66"/>
      <c r="I22" s="66"/>
      <c r="J22" s="66"/>
      <c r="K22" s="66"/>
      <c r="L22" s="66"/>
    </row>
    <row r="23" spans="1:42" x14ac:dyDescent="0.25">
      <c r="A23" s="37" t="s">
        <v>109</v>
      </c>
      <c r="B23" s="108">
        <v>0.05</v>
      </c>
      <c r="C23" s="2"/>
      <c r="D23" s="199" t="s">
        <v>169</v>
      </c>
      <c r="AE23" s="164"/>
      <c r="AF23" s="164"/>
      <c r="AG23" s="164"/>
      <c r="AH23" s="164"/>
      <c r="AI23" s="164"/>
      <c r="AJ23" s="164"/>
      <c r="AK23" s="164"/>
    </row>
    <row r="24" spans="1:42" x14ac:dyDescent="0.25">
      <c r="A24" s="37" t="s">
        <v>114</v>
      </c>
      <c r="B24" s="64">
        <v>2.8500000000000001E-2</v>
      </c>
      <c r="C24" s="2"/>
      <c r="D24" s="168" t="s">
        <v>161</v>
      </c>
      <c r="AD24" s="165"/>
    </row>
    <row r="25" spans="1:42" x14ac:dyDescent="0.25">
      <c r="A25" s="143" t="s">
        <v>102</v>
      </c>
      <c r="B25" s="144">
        <v>43860</v>
      </c>
      <c r="C25" s="2"/>
      <c r="D25" s="271">
        <f>(AG28-L28)/(LOG(AG29/L29)/LOG(2))</f>
        <v>10.571428571428571</v>
      </c>
      <c r="E25" s="164"/>
      <c r="O25" s="16"/>
      <c r="P25" s="16"/>
      <c r="Q25" s="16"/>
      <c r="R25" s="16"/>
      <c r="S25" s="16"/>
      <c r="T25" s="16"/>
      <c r="U25" s="16"/>
      <c r="V25" s="16"/>
      <c r="W25" s="16"/>
      <c r="X25" s="16"/>
      <c r="Y25" s="251"/>
      <c r="Z25" s="16"/>
      <c r="AA25" s="16"/>
    </row>
    <row r="26" spans="1:42" x14ac:dyDescent="0.25">
      <c r="A26" s="16"/>
      <c r="B26" s="50" t="s">
        <v>53</v>
      </c>
      <c r="C26" s="10"/>
      <c r="D26" s="16"/>
      <c r="E26" s="16"/>
      <c r="F26" s="16"/>
      <c r="G26" s="16"/>
      <c r="H26" s="16"/>
      <c r="I26" s="16"/>
      <c r="J26" s="16"/>
      <c r="K26" s="16"/>
      <c r="L26" s="16"/>
      <c r="M26" s="16"/>
      <c r="N26" s="16"/>
      <c r="O26" s="16"/>
      <c r="P26" s="16"/>
      <c r="Q26" s="16"/>
      <c r="R26" s="16"/>
      <c r="S26" s="16"/>
      <c r="AB26" s="16"/>
      <c r="AC26" s="16"/>
      <c r="AM26" s="142"/>
    </row>
    <row r="27" spans="1:42" x14ac:dyDescent="0.25">
      <c r="A27" s="52" t="s">
        <v>41</v>
      </c>
      <c r="B27" s="178">
        <v>43895</v>
      </c>
      <c r="C27" s="178">
        <v>43910</v>
      </c>
      <c r="D27" s="178">
        <v>43926</v>
      </c>
      <c r="E27" s="178">
        <v>43931</v>
      </c>
      <c r="F27" s="178">
        <v>43939</v>
      </c>
      <c r="G27" s="178">
        <v>43961</v>
      </c>
      <c r="H27" s="178">
        <v>43973</v>
      </c>
      <c r="I27" s="178"/>
      <c r="J27" s="178"/>
      <c r="K27" s="178"/>
      <c r="M27" s="127" t="s">
        <v>186</v>
      </c>
      <c r="N27" s="16"/>
      <c r="O27" s="16"/>
      <c r="P27" s="16"/>
      <c r="Q27" s="16"/>
      <c r="R27" s="16"/>
      <c r="S27" s="16"/>
      <c r="T27" s="16"/>
      <c r="U27" s="171"/>
      <c r="V27" s="16"/>
      <c r="W27" s="16"/>
      <c r="X27" s="16"/>
      <c r="Z27" s="16"/>
      <c r="AA27" s="16"/>
      <c r="AB27" s="16"/>
      <c r="AC27" s="16"/>
      <c r="AG27" s="199"/>
      <c r="AH27" t="s">
        <v>170</v>
      </c>
      <c r="AM27" s="237" t="s">
        <v>175</v>
      </c>
    </row>
    <row r="28" spans="1:42" x14ac:dyDescent="0.25">
      <c r="A28" s="4" t="s">
        <v>11</v>
      </c>
      <c r="B28" s="285">
        <v>5</v>
      </c>
      <c r="C28" s="291">
        <v>4</v>
      </c>
      <c r="D28" s="285">
        <v>5</v>
      </c>
      <c r="E28" s="146">
        <v>8</v>
      </c>
      <c r="F28" s="78">
        <v>11</v>
      </c>
      <c r="G28" s="78">
        <v>12</v>
      </c>
      <c r="H28" s="207">
        <v>16</v>
      </c>
      <c r="I28" s="207"/>
      <c r="J28" s="207"/>
      <c r="K28" s="207"/>
      <c r="L28" s="293">
        <v>43895</v>
      </c>
      <c r="M28" s="287">
        <f t="shared" ref="M28:AE28" si="0">L28+HLOOKUP(L28+1, $B$27:$K$28,2,TRUE)</f>
        <v>43900</v>
      </c>
      <c r="N28" s="287">
        <f t="shared" si="0"/>
        <v>43905</v>
      </c>
      <c r="O28" s="292">
        <f t="shared" si="0"/>
        <v>43910</v>
      </c>
      <c r="P28" s="292">
        <f t="shared" si="0"/>
        <v>43914</v>
      </c>
      <c r="Q28" s="292">
        <f t="shared" si="0"/>
        <v>43918</v>
      </c>
      <c r="R28" s="292">
        <f t="shared" si="0"/>
        <v>43922</v>
      </c>
      <c r="S28" s="287">
        <f t="shared" si="0"/>
        <v>43926</v>
      </c>
      <c r="T28" s="286">
        <f t="shared" si="0"/>
        <v>43931</v>
      </c>
      <c r="U28" s="288">
        <f t="shared" si="0"/>
        <v>43939</v>
      </c>
      <c r="V28" s="288">
        <f t="shared" si="0"/>
        <v>43950</v>
      </c>
      <c r="W28" s="288">
        <f t="shared" si="0"/>
        <v>43961</v>
      </c>
      <c r="X28" s="294">
        <f t="shared" si="0"/>
        <v>43973</v>
      </c>
      <c r="Y28" s="289">
        <f t="shared" si="0"/>
        <v>43989</v>
      </c>
      <c r="Z28" s="217">
        <f t="shared" si="0"/>
        <v>44005</v>
      </c>
      <c r="AA28" s="217">
        <f t="shared" si="0"/>
        <v>44021</v>
      </c>
      <c r="AB28" s="217">
        <f t="shared" si="0"/>
        <v>44037</v>
      </c>
      <c r="AC28" s="217">
        <f t="shared" si="0"/>
        <v>44053</v>
      </c>
      <c r="AD28" s="217">
        <f t="shared" si="0"/>
        <v>44069</v>
      </c>
      <c r="AE28" s="217">
        <f t="shared" si="0"/>
        <v>44085</v>
      </c>
      <c r="AF28" s="217">
        <f t="shared" ref="AF28" si="1">AE28+HLOOKUP(AE28+1, $B$27:$K$28,2,TRUE)</f>
        <v>44101</v>
      </c>
      <c r="AG28" s="224">
        <f t="shared" ref="AG28" si="2">AF28+HLOOKUP(AF28+1, $B$27:$K$28,2,TRUE)</f>
        <v>44117</v>
      </c>
      <c r="AH28" s="217">
        <f>AG28+HLOOKUP(AG28+1, $B$27:$K$28,2,TRUE)</f>
        <v>44133</v>
      </c>
      <c r="AI28" s="217">
        <f>AH28+HLOOKUP(AH28+1, $B$27:$K$28,2,TRUE)</f>
        <v>44149</v>
      </c>
      <c r="AJ28" s="217">
        <f>AI28+HLOOKUP(AI28+1, $B$27:$K$28,2,TRUE)</f>
        <v>44165</v>
      </c>
      <c r="AK28" s="224">
        <f>AI28+HLOOKUP(AI28+1, $B$27:$K$28,2,TRUE)</f>
        <v>44165</v>
      </c>
      <c r="AL28" s="224">
        <f>AK28+HLOOKUP(AK28+1, $B$27:$K$28,2,TRUE)</f>
        <v>44181</v>
      </c>
      <c r="AM28" s="236">
        <f>AL28+(7*8)</f>
        <v>44237</v>
      </c>
      <c r="AN28" s="67"/>
      <c r="AO28" s="67"/>
      <c r="AP28" s="66"/>
    </row>
    <row r="29" spans="1:42" x14ac:dyDescent="0.25">
      <c r="A29" s="41" t="s">
        <v>107</v>
      </c>
      <c r="B29" s="16"/>
      <c r="C29" s="16"/>
      <c r="D29" s="16"/>
      <c r="E29" s="16"/>
      <c r="F29" s="16"/>
      <c r="G29" s="16"/>
      <c r="H29" s="16"/>
      <c r="I29" s="16"/>
      <c r="J29" s="16"/>
      <c r="K29" s="16"/>
      <c r="L29" s="216">
        <v>31.25</v>
      </c>
      <c r="M29" s="210">
        <f>L29*2</f>
        <v>62.5</v>
      </c>
      <c r="N29" s="210">
        <f t="shared" ref="N29:AB29" si="3">M29*2</f>
        <v>125</v>
      </c>
      <c r="O29" s="210">
        <f t="shared" si="3"/>
        <v>250</v>
      </c>
      <c r="P29" s="210">
        <f t="shared" si="3"/>
        <v>500</v>
      </c>
      <c r="Q29" s="210">
        <f t="shared" si="3"/>
        <v>1000</v>
      </c>
      <c r="R29" s="210">
        <f t="shared" si="3"/>
        <v>2000</v>
      </c>
      <c r="S29" s="210">
        <f t="shared" si="3"/>
        <v>4000</v>
      </c>
      <c r="T29" s="210">
        <f t="shared" si="3"/>
        <v>8000</v>
      </c>
      <c r="U29" s="210">
        <f>T29*2</f>
        <v>16000</v>
      </c>
      <c r="V29" s="210">
        <f>U29*2</f>
        <v>32000</v>
      </c>
      <c r="W29" s="210">
        <f>V29*2</f>
        <v>64000</v>
      </c>
      <c r="X29" s="210">
        <f>W29*2</f>
        <v>128000</v>
      </c>
      <c r="Y29" s="210">
        <f t="shared" si="3"/>
        <v>256000</v>
      </c>
      <c r="Z29" s="210">
        <f t="shared" si="3"/>
        <v>512000</v>
      </c>
      <c r="AA29" s="210">
        <f t="shared" si="3"/>
        <v>1024000</v>
      </c>
      <c r="AB29" s="210">
        <f t="shared" si="3"/>
        <v>2048000</v>
      </c>
      <c r="AC29" s="210">
        <f>AB29*2</f>
        <v>4096000</v>
      </c>
      <c r="AD29" s="210">
        <f>AC29*2</f>
        <v>8192000</v>
      </c>
      <c r="AE29" s="210">
        <f>AD29*2</f>
        <v>16384000</v>
      </c>
      <c r="AF29" s="210">
        <f t="shared" ref="AF29:AJ29" si="4">AE29*2</f>
        <v>32768000</v>
      </c>
      <c r="AG29" s="210">
        <f t="shared" si="4"/>
        <v>65536000</v>
      </c>
      <c r="AH29" s="225">
        <f t="shared" si="4"/>
        <v>131072000</v>
      </c>
      <c r="AI29" s="194">
        <f t="shared" si="4"/>
        <v>262144000</v>
      </c>
      <c r="AJ29" s="194">
        <f t="shared" si="4"/>
        <v>524288000</v>
      </c>
      <c r="AK29" s="195">
        <f>AJ29*2</f>
        <v>1048576000</v>
      </c>
      <c r="AL29" s="185">
        <f>B15</f>
        <v>1392156000</v>
      </c>
      <c r="AM29" s="229">
        <f>B15*AM30</f>
        <v>83529360</v>
      </c>
      <c r="AN29" s="45"/>
      <c r="AO29" s="45"/>
      <c r="AP29" s="66"/>
    </row>
    <row r="30" spans="1:42" x14ac:dyDescent="0.25">
      <c r="A30" s="41" t="s">
        <v>108</v>
      </c>
      <c r="B30" s="16"/>
      <c r="C30" s="16"/>
      <c r="D30" s="16"/>
      <c r="E30" s="16"/>
      <c r="F30" s="16"/>
      <c r="G30" s="16"/>
      <c r="H30" s="16"/>
      <c r="I30" s="16"/>
      <c r="J30" s="16"/>
      <c r="K30" s="16"/>
      <c r="L30" s="205">
        <f t="shared" ref="L30:AB30" si="5">L29/$B$15</f>
        <v>2.2447197009530542E-8</v>
      </c>
      <c r="M30" s="206">
        <f t="shared" si="5"/>
        <v>4.4894394019061085E-8</v>
      </c>
      <c r="N30" s="206">
        <f t="shared" si="5"/>
        <v>8.978878803812217E-8</v>
      </c>
      <c r="O30" s="182">
        <f t="shared" si="5"/>
        <v>1.7957757607624434E-7</v>
      </c>
      <c r="P30" s="182">
        <f t="shared" si="5"/>
        <v>3.5915515215248868E-7</v>
      </c>
      <c r="Q30" s="182">
        <f t="shared" si="5"/>
        <v>7.1831030430497736E-7</v>
      </c>
      <c r="R30" s="182">
        <f t="shared" si="5"/>
        <v>1.4366206086099547E-6</v>
      </c>
      <c r="S30" s="65">
        <f t="shared" si="5"/>
        <v>2.8732412172199094E-6</v>
      </c>
      <c r="T30" s="65">
        <f t="shared" si="5"/>
        <v>5.7464824344398189E-6</v>
      </c>
      <c r="U30" s="65">
        <f>U29/$B$15</f>
        <v>1.1492964868879638E-5</v>
      </c>
      <c r="V30" s="65">
        <f>V29/$B$15</f>
        <v>2.2985929737759275E-5</v>
      </c>
      <c r="W30" s="36">
        <f>W29/$B$15</f>
        <v>4.5971859475518551E-5</v>
      </c>
      <c r="X30" s="14">
        <f>X29/$B$15</f>
        <v>9.1943718951037102E-5</v>
      </c>
      <c r="Y30" s="14">
        <f t="shared" si="5"/>
        <v>1.838874379020742E-4</v>
      </c>
      <c r="Z30" s="14">
        <f t="shared" si="5"/>
        <v>3.6777487580414841E-4</v>
      </c>
      <c r="AA30" s="14">
        <f t="shared" si="5"/>
        <v>7.3554975160829681E-4</v>
      </c>
      <c r="AB30" s="14">
        <f t="shared" si="5"/>
        <v>1.4710995032165936E-3</v>
      </c>
      <c r="AC30" s="15">
        <f>AC29/$B$15</f>
        <v>2.9421990064331873E-3</v>
      </c>
      <c r="AD30" s="15">
        <f>AD29/$B$15</f>
        <v>5.8843980128663745E-3</v>
      </c>
      <c r="AE30" s="15">
        <f>AE29/$B$15</f>
        <v>1.1768796025732749E-2</v>
      </c>
      <c r="AF30" s="15">
        <f t="shared" ref="AF30:AK30" si="6">AF29/$B$15</f>
        <v>2.3537592051465498E-2</v>
      </c>
      <c r="AG30" s="15">
        <f t="shared" si="6"/>
        <v>4.7075184102930996E-2</v>
      </c>
      <c r="AH30" s="226">
        <f t="shared" si="6"/>
        <v>9.4150368205861992E-2</v>
      </c>
      <c r="AI30" s="166">
        <f t="shared" si="6"/>
        <v>0.18830073641172398</v>
      </c>
      <c r="AJ30" s="166">
        <f t="shared" ref="AJ30" si="7">AJ29/$B$15</f>
        <v>0.37660147282344797</v>
      </c>
      <c r="AK30" s="167">
        <f t="shared" si="6"/>
        <v>0.75320294564689594</v>
      </c>
      <c r="AL30" s="166">
        <f>AL29/$B$15</f>
        <v>1</v>
      </c>
      <c r="AM30" s="230">
        <f>B18</f>
        <v>0.06</v>
      </c>
      <c r="AN30" s="25"/>
      <c r="AO30" s="25"/>
      <c r="AP30" s="66"/>
    </row>
    <row r="31" spans="1:42" x14ac:dyDescent="0.25">
      <c r="A31" s="41" t="s">
        <v>157</v>
      </c>
      <c r="B31" s="16"/>
      <c r="C31" s="16"/>
      <c r="D31" s="16"/>
      <c r="E31" s="16"/>
      <c r="F31" s="16"/>
      <c r="G31" s="16"/>
      <c r="H31" s="16"/>
      <c r="I31" s="16"/>
      <c r="J31" s="16"/>
      <c r="K31" s="16"/>
      <c r="L31" s="272">
        <f t="shared" ref="L31:U31" si="8">MAX(L29-(L37-L38)-(L39-L40)-(L41-L42),0)</f>
        <v>25.016129564011877</v>
      </c>
      <c r="M31" s="273">
        <f t="shared" si="8"/>
        <v>52.366135481904664</v>
      </c>
      <c r="N31" s="273">
        <f t="shared" si="8"/>
        <v>108.52625208919129</v>
      </c>
      <c r="O31" s="273">
        <f t="shared" si="8"/>
        <v>222.10422027875339</v>
      </c>
      <c r="P31" s="273">
        <f>MAX(P29-(P37-P38)-(P39-P40)-(P41-P42),0)</f>
        <v>447.6875</v>
      </c>
      <c r="Q31" s="273">
        <f t="shared" si="8"/>
        <v>906.49780135330877</v>
      </c>
      <c r="R31" s="273">
        <f t="shared" si="8"/>
        <v>1856.4333005675624</v>
      </c>
      <c r="S31" s="273">
        <f t="shared" si="8"/>
        <v>3721.4155453634608</v>
      </c>
      <c r="T31" s="273">
        <f t="shared" si="8"/>
        <v>7285.310658734079</v>
      </c>
      <c r="U31" s="273">
        <f t="shared" si="8"/>
        <v>13140.837714510171</v>
      </c>
      <c r="V31" s="273">
        <f>MAX(V29-(V37-V38)-(V39-V40)-(V41-V42),0)</f>
        <v>17289.745825150563</v>
      </c>
      <c r="W31" s="273">
        <f t="shared" ref="W31:AL31" si="9">MAX(W29-(W37-W38)-(W39-W40)-(W41-W42),0)</f>
        <v>17728.062747146152</v>
      </c>
      <c r="X31" s="273">
        <f t="shared" si="9"/>
        <v>33701.052805851825</v>
      </c>
      <c r="Y31" s="273">
        <f t="shared" si="9"/>
        <v>110068.63957119231</v>
      </c>
      <c r="Z31" s="273">
        <f t="shared" si="9"/>
        <v>219937.75761799639</v>
      </c>
      <c r="AA31" s="273">
        <f t="shared" si="9"/>
        <v>441873.40937743208</v>
      </c>
      <c r="AB31" s="273">
        <f t="shared" si="9"/>
        <v>898423.00282733829</v>
      </c>
      <c r="AC31" s="273">
        <f t="shared" si="9"/>
        <v>1822877.3796834399</v>
      </c>
      <c r="AD31" s="273">
        <f t="shared" si="9"/>
        <v>3684744.6773677226</v>
      </c>
      <c r="AE31" s="273">
        <f t="shared" si="9"/>
        <v>7431692.7788252467</v>
      </c>
      <c r="AF31" s="273">
        <f t="shared" ref="AF31:AK31" si="10">MAX(AF29-(AF37-AF38)-(AF39-AF40)-(AF41-AF42),0)</f>
        <v>14965032.85902679</v>
      </c>
      <c r="AG31" s="273">
        <f t="shared" si="10"/>
        <v>30099387.8118282</v>
      </c>
      <c r="AH31" s="227">
        <f t="shared" si="10"/>
        <v>60485307.058295786</v>
      </c>
      <c r="AI31" s="185">
        <f t="shared" si="10"/>
        <v>121461925.3048394</v>
      </c>
      <c r="AJ31" s="185">
        <f t="shared" ref="AJ31" si="11">MAX(AJ29-(AJ37-AJ38)-(AJ39-AJ40)-(AJ41-AJ42),0)</f>
        <v>243775792.76379299</v>
      </c>
      <c r="AK31" s="186">
        <f t="shared" si="10"/>
        <v>768063792.76379287</v>
      </c>
      <c r="AL31" s="185">
        <f t="shared" si="9"/>
        <v>832623207.19765782</v>
      </c>
      <c r="AM31" s="231"/>
      <c r="AN31" s="45"/>
      <c r="AO31" s="45"/>
      <c r="AP31" s="66"/>
    </row>
    <row r="32" spans="1:42" x14ac:dyDescent="0.25">
      <c r="A32" s="41" t="s">
        <v>171</v>
      </c>
      <c r="B32" s="16"/>
      <c r="C32" s="16"/>
      <c r="D32" s="16"/>
      <c r="E32" s="16"/>
      <c r="F32" s="16"/>
      <c r="G32" s="16"/>
      <c r="H32" s="16"/>
      <c r="I32" s="16"/>
      <c r="J32" s="16"/>
      <c r="K32" s="16"/>
      <c r="L32" s="74">
        <f>MAX(L29-L31-L44,0)</f>
        <v>6.2338704359881234</v>
      </c>
      <c r="M32" s="75">
        <f>MAX(M29-M31-M44,0)</f>
        <v>10.133864518095336</v>
      </c>
      <c r="N32" s="75">
        <f>MAX(N29-N31-N44,0)</f>
        <v>16.473747910808711</v>
      </c>
      <c r="O32" s="211">
        <f>MAX(O29-O31-O44,0)</f>
        <v>27.895779721246612</v>
      </c>
      <c r="P32" s="211">
        <f t="shared" ref="P32:AG32" si="12">MAX(P29-P31-P44,0)</f>
        <v>52.3125</v>
      </c>
      <c r="Q32" s="211">
        <f t="shared" si="12"/>
        <v>93.502198646691227</v>
      </c>
      <c r="R32" s="211">
        <f t="shared" si="12"/>
        <v>143.56669943243764</v>
      </c>
      <c r="S32" s="211">
        <f t="shared" si="12"/>
        <v>278.58445463653925</v>
      </c>
      <c r="T32" s="211">
        <f t="shared" si="12"/>
        <v>713.7078230905438</v>
      </c>
      <c r="U32" s="211">
        <f t="shared" si="12"/>
        <v>2855.8723933152228</v>
      </c>
      <c r="V32" s="211">
        <f t="shared" si="12"/>
        <v>14691.734410989577</v>
      </c>
      <c r="W32" s="211">
        <f t="shared" si="12"/>
        <v>46144.60756535385</v>
      </c>
      <c r="X32" s="211">
        <f t="shared" si="12"/>
        <v>93637.078499017705</v>
      </c>
      <c r="Y32" s="211">
        <f t="shared" si="12"/>
        <v>144297.72843691424</v>
      </c>
      <c r="Z32" s="211">
        <f t="shared" si="12"/>
        <v>286353.92116560106</v>
      </c>
      <c r="AA32" s="211">
        <f t="shared" si="12"/>
        <v>567269.07915841776</v>
      </c>
      <c r="AB32" s="211">
        <f t="shared" si="12"/>
        <v>1122825.9840533924</v>
      </c>
      <c r="AC32" s="211">
        <f t="shared" si="12"/>
        <v>2225037.9528641319</v>
      </c>
      <c r="AD32" s="211">
        <f t="shared" si="12"/>
        <v>4418010.6096210554</v>
      </c>
      <c r="AE32" s="211">
        <f t="shared" si="12"/>
        <v>8783856.8465507794</v>
      </c>
      <c r="AF32" s="211">
        <f t="shared" si="12"/>
        <v>17481265.545891333</v>
      </c>
      <c r="AG32" s="211">
        <f t="shared" si="12"/>
        <v>34816997.682919003</v>
      </c>
      <c r="AH32" s="253">
        <f>MAX(AH29-AH31-AH44,0)</f>
        <v>69385685.823193386</v>
      </c>
      <c r="AI32" s="200">
        <f>MAX(AI29-AI31-AI44,0)</f>
        <v>138342789.68009767</v>
      </c>
      <c r="AJ32" s="200">
        <f t="shared" ref="AJ32:AK32" si="13">MAX(AJ29-AJ31-AJ44,0)</f>
        <v>275938406.24955106</v>
      </c>
      <c r="AK32" s="201">
        <f t="shared" si="13"/>
        <v>275938406.24955118</v>
      </c>
      <c r="AL32" s="200">
        <f>MAX(AL29-AL31-AL44,0)</f>
        <v>550562763.5600456</v>
      </c>
      <c r="AM32" s="232"/>
      <c r="AN32" s="25"/>
      <c r="AO32" s="25"/>
      <c r="AP32" s="66"/>
    </row>
    <row r="33" spans="1:42" x14ac:dyDescent="0.25">
      <c r="A33" s="4" t="s">
        <v>164</v>
      </c>
      <c r="B33" s="9"/>
      <c r="C33" s="9"/>
      <c r="D33" s="9"/>
      <c r="E33" s="9"/>
      <c r="F33" s="9"/>
      <c r="G33" s="9"/>
      <c r="H33" s="9"/>
      <c r="I33" s="9"/>
      <c r="J33" s="9"/>
      <c r="K33" s="5"/>
      <c r="L33" s="197">
        <f t="shared" ref="L33:AG33" si="14">L29/$B$17</f>
        <v>63.616071428571431</v>
      </c>
      <c r="M33" s="198">
        <f t="shared" si="14"/>
        <v>127.23214285714286</v>
      </c>
      <c r="N33" s="198">
        <f t="shared" si="14"/>
        <v>254.46428571428572</v>
      </c>
      <c r="O33" s="198">
        <f t="shared" si="14"/>
        <v>508.92857142857144</v>
      </c>
      <c r="P33" s="198">
        <f t="shared" si="14"/>
        <v>1017.8571428571429</v>
      </c>
      <c r="Q33" s="198">
        <f t="shared" si="14"/>
        <v>2035.7142857142858</v>
      </c>
      <c r="R33" s="198">
        <f t="shared" si="14"/>
        <v>4071.4285714285716</v>
      </c>
      <c r="S33" s="198">
        <f t="shared" si="14"/>
        <v>8142.8571428571431</v>
      </c>
      <c r="T33" s="198">
        <f t="shared" si="14"/>
        <v>16285.714285714286</v>
      </c>
      <c r="U33" s="198">
        <f t="shared" si="14"/>
        <v>32571.428571428572</v>
      </c>
      <c r="V33" s="198">
        <f t="shared" si="14"/>
        <v>65142.857142857145</v>
      </c>
      <c r="W33" s="198">
        <f t="shared" si="14"/>
        <v>130285.71428571429</v>
      </c>
      <c r="X33" s="198">
        <f t="shared" si="14"/>
        <v>260571.42857142858</v>
      </c>
      <c r="Y33" s="198">
        <f t="shared" si="14"/>
        <v>521142.85714285716</v>
      </c>
      <c r="Z33" s="198">
        <f t="shared" si="14"/>
        <v>1042285.7142857143</v>
      </c>
      <c r="AA33" s="198">
        <f t="shared" si="14"/>
        <v>2084571.4285714286</v>
      </c>
      <c r="AB33" s="198">
        <f t="shared" si="14"/>
        <v>4169142.8571428573</v>
      </c>
      <c r="AC33" s="198">
        <f t="shared" si="14"/>
        <v>8338285.7142857146</v>
      </c>
      <c r="AD33" s="198">
        <f t="shared" si="14"/>
        <v>16676571.428571429</v>
      </c>
      <c r="AE33" s="198">
        <f t="shared" si="14"/>
        <v>33353142.857142858</v>
      </c>
      <c r="AF33" s="198">
        <f t="shared" si="14"/>
        <v>66706285.714285716</v>
      </c>
      <c r="AG33" s="198">
        <f t="shared" si="14"/>
        <v>133412571.42857143</v>
      </c>
      <c r="AH33" s="225">
        <f t="shared" ref="AH33" si="15">AH29/$B$17</f>
        <v>266825142.85714287</v>
      </c>
      <c r="AI33" s="194">
        <f t="shared" ref="AI33:AK33" si="16">$B$15</f>
        <v>1392156000</v>
      </c>
      <c r="AJ33" s="194">
        <f t="shared" si="16"/>
        <v>1392156000</v>
      </c>
      <c r="AK33" s="195">
        <f t="shared" si="16"/>
        <v>1392156000</v>
      </c>
      <c r="AL33" s="185">
        <f>AL29</f>
        <v>1392156000</v>
      </c>
      <c r="AM33" s="231">
        <f>($B$15*$B$18)/$B$17</f>
        <v>170041911.42857143</v>
      </c>
      <c r="AN33" s="25"/>
      <c r="AO33" s="25"/>
      <c r="AP33" s="66"/>
    </row>
    <row r="34" spans="1:42" x14ac:dyDescent="0.25">
      <c r="A34" s="41" t="s">
        <v>112</v>
      </c>
      <c r="B34" s="16"/>
      <c r="C34" s="16"/>
      <c r="D34" s="16"/>
      <c r="E34" s="16"/>
      <c r="F34" s="16"/>
      <c r="G34" s="16"/>
      <c r="H34" s="16"/>
      <c r="I34" s="16"/>
      <c r="J34" s="16"/>
      <c r="K34" s="17"/>
      <c r="L34" s="181">
        <f>L33/$B$15</f>
        <v>4.5696079626544318E-8</v>
      </c>
      <c r="M34" s="182">
        <f t="shared" ref="M34:AD34" si="17">M33/$B$15</f>
        <v>9.1392159253088637E-8</v>
      </c>
      <c r="N34" s="182">
        <f t="shared" si="17"/>
        <v>1.8278431850617727E-7</v>
      </c>
      <c r="O34" s="65">
        <f t="shared" si="17"/>
        <v>3.6556863701235455E-7</v>
      </c>
      <c r="P34" s="65">
        <f t="shared" si="17"/>
        <v>7.3113727402470909E-7</v>
      </c>
      <c r="Q34" s="65">
        <f t="shared" si="17"/>
        <v>1.4622745480494182E-6</v>
      </c>
      <c r="R34" s="65">
        <f t="shared" si="17"/>
        <v>2.9245490960988364E-6</v>
      </c>
      <c r="S34" s="36">
        <f t="shared" si="17"/>
        <v>5.8490981921976728E-6</v>
      </c>
      <c r="T34" s="36">
        <f t="shared" si="17"/>
        <v>1.1698196384395346E-5</v>
      </c>
      <c r="U34" s="36">
        <f t="shared" si="17"/>
        <v>2.3396392768790691E-5</v>
      </c>
      <c r="V34" s="36">
        <f t="shared" si="17"/>
        <v>4.6792785537581382E-5</v>
      </c>
      <c r="W34" s="36">
        <f t="shared" si="17"/>
        <v>9.3585571075162764E-5</v>
      </c>
      <c r="X34" s="14">
        <f t="shared" si="17"/>
        <v>1.8717114215032553E-4</v>
      </c>
      <c r="Y34" s="14">
        <f t="shared" si="17"/>
        <v>3.7434228430065106E-4</v>
      </c>
      <c r="Z34" s="14">
        <f t="shared" si="17"/>
        <v>7.4868456860130211E-4</v>
      </c>
      <c r="AA34" s="14">
        <f t="shared" si="17"/>
        <v>1.4973691372026042E-3</v>
      </c>
      <c r="AB34" s="15">
        <f t="shared" si="17"/>
        <v>2.9947382744052085E-3</v>
      </c>
      <c r="AC34" s="15">
        <f t="shared" si="17"/>
        <v>5.9894765488104169E-3</v>
      </c>
      <c r="AD34" s="15">
        <f t="shared" si="17"/>
        <v>1.1978953097620834E-2</v>
      </c>
      <c r="AE34" s="15">
        <f>AE33/$B$15</f>
        <v>2.3957906195241668E-2</v>
      </c>
      <c r="AF34" s="72">
        <f t="shared" ref="AF34:AK34" si="18">AF33/$B$15</f>
        <v>4.7915812390483335E-2</v>
      </c>
      <c r="AG34" s="72">
        <f t="shared" si="18"/>
        <v>9.583162478096667E-2</v>
      </c>
      <c r="AH34" s="226">
        <f t="shared" ref="AH34" si="19">AH33/$B$15</f>
        <v>0.19166324956193334</v>
      </c>
      <c r="AI34" s="166">
        <f t="shared" si="18"/>
        <v>1</v>
      </c>
      <c r="AJ34" s="166">
        <f t="shared" ref="AJ34" si="20">AJ33/$B$15</f>
        <v>1</v>
      </c>
      <c r="AK34" s="167">
        <f t="shared" si="18"/>
        <v>1</v>
      </c>
      <c r="AL34" s="166">
        <v>1</v>
      </c>
      <c r="AM34" s="230">
        <f>AM33/B15</f>
        <v>0.12214285714285715</v>
      </c>
      <c r="AN34" s="25"/>
      <c r="AO34" s="25"/>
      <c r="AP34" s="66"/>
    </row>
    <row r="35" spans="1:42" x14ac:dyDescent="0.25">
      <c r="A35" s="41" t="s">
        <v>162</v>
      </c>
      <c r="B35" s="16"/>
      <c r="C35" s="16"/>
      <c r="D35" s="16"/>
      <c r="E35" s="16"/>
      <c r="F35" s="16"/>
      <c r="G35" s="16"/>
      <c r="H35" s="16"/>
      <c r="I35" s="16"/>
      <c r="J35" s="16"/>
      <c r="K35" s="17"/>
      <c r="L35" s="183">
        <f>L33-L29</f>
        <v>32.366071428571431</v>
      </c>
      <c r="M35" s="184">
        <f t="shared" ref="M35:AC35" si="21">M33-M29</f>
        <v>64.732142857142861</v>
      </c>
      <c r="N35" s="184">
        <f t="shared" si="21"/>
        <v>129.46428571428572</v>
      </c>
      <c r="O35" s="184">
        <f t="shared" si="21"/>
        <v>258.92857142857144</v>
      </c>
      <c r="P35" s="184">
        <f>P33-P29</f>
        <v>517.85714285714289</v>
      </c>
      <c r="Q35" s="184">
        <f t="shared" si="21"/>
        <v>1035.7142857142858</v>
      </c>
      <c r="R35" s="184">
        <f t="shared" si="21"/>
        <v>2071.4285714285716</v>
      </c>
      <c r="S35" s="184">
        <f t="shared" si="21"/>
        <v>4142.8571428571431</v>
      </c>
      <c r="T35" s="184">
        <f t="shared" si="21"/>
        <v>8285.7142857142862</v>
      </c>
      <c r="U35" s="184">
        <f t="shared" si="21"/>
        <v>16571.428571428572</v>
      </c>
      <c r="V35" s="184">
        <f t="shared" si="21"/>
        <v>33142.857142857145</v>
      </c>
      <c r="W35" s="184">
        <f t="shared" si="21"/>
        <v>66285.71428571429</v>
      </c>
      <c r="X35" s="184">
        <f t="shared" si="21"/>
        <v>132571.42857142858</v>
      </c>
      <c r="Y35" s="184">
        <f t="shared" si="21"/>
        <v>265142.85714285716</v>
      </c>
      <c r="Z35" s="184">
        <f t="shared" si="21"/>
        <v>530285.71428571432</v>
      </c>
      <c r="AA35" s="184">
        <f t="shared" si="21"/>
        <v>1060571.4285714286</v>
      </c>
      <c r="AB35" s="184">
        <f t="shared" si="21"/>
        <v>2121142.8571428573</v>
      </c>
      <c r="AC35" s="184">
        <f t="shared" si="21"/>
        <v>4242285.7142857146</v>
      </c>
      <c r="AD35" s="184">
        <f>AD33-AD29</f>
        <v>8484571.4285714291</v>
      </c>
      <c r="AE35" s="184">
        <f>AE33-AE29</f>
        <v>16969142.857142858</v>
      </c>
      <c r="AF35" s="184">
        <f>AF33-AF29</f>
        <v>33938285.714285716</v>
      </c>
      <c r="AG35" s="184">
        <f t="shared" ref="AG35:AK35" si="22">AG33</f>
        <v>133412571.42857143</v>
      </c>
      <c r="AH35" s="227">
        <f t="shared" si="22"/>
        <v>266825142.85714287</v>
      </c>
      <c r="AI35" s="185">
        <f t="shared" si="22"/>
        <v>1392156000</v>
      </c>
      <c r="AJ35" s="185">
        <f t="shared" ref="AJ35" si="23">AJ33</f>
        <v>1392156000</v>
      </c>
      <c r="AK35" s="186">
        <f t="shared" si="22"/>
        <v>1392156000</v>
      </c>
      <c r="AL35" s="185">
        <f>AL33</f>
        <v>1392156000</v>
      </c>
      <c r="AM35" s="233">
        <f>AM33-AM29</f>
        <v>86512551.428571433</v>
      </c>
      <c r="AN35" s="25"/>
      <c r="AO35" s="25"/>
      <c r="AP35" s="66"/>
    </row>
    <row r="36" spans="1:42" x14ac:dyDescent="0.25">
      <c r="A36" s="37" t="s">
        <v>163</v>
      </c>
      <c r="B36" s="39"/>
      <c r="C36" s="39"/>
      <c r="D36" s="39"/>
      <c r="E36" s="39"/>
      <c r="F36" s="39"/>
      <c r="G36" s="39"/>
      <c r="H36" s="39"/>
      <c r="I36" s="39"/>
      <c r="J36" s="39"/>
      <c r="K36" s="62"/>
      <c r="L36" s="192">
        <f>MIN((1/$B$17)*(2^(((L28 - 14) - $B$25)/$L$54)),L35)</f>
        <v>15.667134693620948</v>
      </c>
      <c r="M36" s="193">
        <f>MIN((1/$B$17)*(2^(((M28 - 14) - $B$25)/$L$54)),M35)</f>
        <v>25.468707122197273</v>
      </c>
      <c r="N36" s="193">
        <f t="shared" ref="N36" si="24">MIN((1/$B$17)*(2^(((N28 - 14) - $B$25)/$L$54)),N35)</f>
        <v>41.402276495418718</v>
      </c>
      <c r="O36" s="184">
        <f t="shared" ref="O36:AL36" si="25">MIN(($L$29/$B$17)*(2^(((O28 - 14) - $L$28)/HLOOKUP((O28-14)-$B$25,$L$52:$AM$54,3,TRUE))),O35)</f>
        <v>70.108441098371088</v>
      </c>
      <c r="P36" s="184">
        <f t="shared" si="25"/>
        <v>131.47321428571428</v>
      </c>
      <c r="Q36" s="184">
        <f t="shared" si="25"/>
        <v>234.99229818612864</v>
      </c>
      <c r="R36" s="184">
        <f t="shared" si="25"/>
        <v>360.81577899686727</v>
      </c>
      <c r="S36" s="184">
        <f t="shared" si="25"/>
        <v>700.14611615003241</v>
      </c>
      <c r="T36" s="184">
        <f t="shared" si="25"/>
        <v>1791.8492343306787</v>
      </c>
      <c r="U36" s="184">
        <f t="shared" si="25"/>
        <v>6755.3728311155965</v>
      </c>
      <c r="V36" s="184">
        <f t="shared" si="25"/>
        <v>33142.857142857145</v>
      </c>
      <c r="W36" s="184">
        <f t="shared" si="25"/>
        <v>66285.71428571429</v>
      </c>
      <c r="X36" s="184">
        <f t="shared" si="25"/>
        <v>132571.42857142858</v>
      </c>
      <c r="Y36" s="184">
        <f t="shared" si="25"/>
        <v>265142.85714285716</v>
      </c>
      <c r="Z36" s="184">
        <f t="shared" si="25"/>
        <v>530285.71428571432</v>
      </c>
      <c r="AA36" s="184">
        <f t="shared" si="25"/>
        <v>1060571.4285714286</v>
      </c>
      <c r="AB36" s="184">
        <f t="shared" si="25"/>
        <v>2121142.8571428573</v>
      </c>
      <c r="AC36" s="184">
        <f t="shared" si="25"/>
        <v>4242285.7142857146</v>
      </c>
      <c r="AD36" s="184">
        <f t="shared" si="25"/>
        <v>8484571.4285714291</v>
      </c>
      <c r="AE36" s="184">
        <f t="shared" si="25"/>
        <v>16969142.857142858</v>
      </c>
      <c r="AF36" s="184">
        <f t="shared" si="25"/>
        <v>33938285.714285716</v>
      </c>
      <c r="AG36" s="184">
        <f t="shared" si="25"/>
        <v>79528002.884982049</v>
      </c>
      <c r="AH36" s="228">
        <f t="shared" si="25"/>
        <v>158502771.8143141</v>
      </c>
      <c r="AI36" s="189">
        <f t="shared" si="25"/>
        <v>316050952.15870345</v>
      </c>
      <c r="AJ36" s="189">
        <f t="shared" si="25"/>
        <v>630437957.22123992</v>
      </c>
      <c r="AK36" s="190">
        <f t="shared" si="25"/>
        <v>630437957.22123992</v>
      </c>
      <c r="AL36" s="189">
        <f t="shared" si="25"/>
        <v>1257949702.5846419</v>
      </c>
      <c r="AM36" s="233"/>
      <c r="AN36" s="25"/>
      <c r="AO36" s="25"/>
      <c r="AP36" s="66"/>
    </row>
    <row r="37" spans="1:42" x14ac:dyDescent="0.25">
      <c r="A37" s="41" t="s">
        <v>160</v>
      </c>
      <c r="B37" s="16"/>
      <c r="C37" s="16"/>
      <c r="D37" s="16"/>
      <c r="E37" s="16"/>
      <c r="F37" s="16"/>
      <c r="G37" s="16"/>
      <c r="H37" s="16"/>
      <c r="I37" s="16"/>
      <c r="J37" s="16"/>
      <c r="K37" s="16"/>
      <c r="L37" s="202">
        <f t="shared" ref="L37:AL37" si="26">L29*$B$21</f>
        <v>25.3125</v>
      </c>
      <c r="M37" s="203">
        <f t="shared" si="26"/>
        <v>50.625</v>
      </c>
      <c r="N37" s="203">
        <f t="shared" si="26"/>
        <v>101.25</v>
      </c>
      <c r="O37" s="203">
        <f t="shared" si="26"/>
        <v>202.5</v>
      </c>
      <c r="P37" s="203">
        <f t="shared" si="26"/>
        <v>405</v>
      </c>
      <c r="Q37" s="203">
        <f t="shared" si="26"/>
        <v>810</v>
      </c>
      <c r="R37" s="203">
        <f t="shared" si="26"/>
        <v>1620</v>
      </c>
      <c r="S37" s="203">
        <f t="shared" si="26"/>
        <v>3240</v>
      </c>
      <c r="T37" s="203">
        <f t="shared" si="26"/>
        <v>6480</v>
      </c>
      <c r="U37" s="203">
        <f t="shared" si="26"/>
        <v>12960</v>
      </c>
      <c r="V37" s="203">
        <f t="shared" si="26"/>
        <v>25920</v>
      </c>
      <c r="W37" s="203">
        <f t="shared" si="26"/>
        <v>51840</v>
      </c>
      <c r="X37" s="203">
        <f t="shared" si="26"/>
        <v>103680</v>
      </c>
      <c r="Y37" s="203">
        <f t="shared" si="26"/>
        <v>207360</v>
      </c>
      <c r="Z37" s="203">
        <f t="shared" si="26"/>
        <v>414720</v>
      </c>
      <c r="AA37" s="203">
        <f t="shared" si="26"/>
        <v>829440</v>
      </c>
      <c r="AB37" s="203">
        <f t="shared" si="26"/>
        <v>1658880</v>
      </c>
      <c r="AC37" s="203">
        <f t="shared" si="26"/>
        <v>3317760</v>
      </c>
      <c r="AD37" s="203">
        <f t="shared" si="26"/>
        <v>6635520</v>
      </c>
      <c r="AE37" s="203">
        <f t="shared" si="26"/>
        <v>13271040</v>
      </c>
      <c r="AF37" s="203">
        <f t="shared" ref="AF37:AK37" si="27">AF29*$B$21</f>
        <v>26542080</v>
      </c>
      <c r="AG37" s="203">
        <f t="shared" si="27"/>
        <v>53084160</v>
      </c>
      <c r="AH37" s="225">
        <f t="shared" si="27"/>
        <v>106168320</v>
      </c>
      <c r="AI37" s="194">
        <f t="shared" si="27"/>
        <v>212336640</v>
      </c>
      <c r="AJ37" s="194">
        <f t="shared" ref="AJ37" si="28">AJ29*$B$21</f>
        <v>424673280</v>
      </c>
      <c r="AK37" s="195">
        <f t="shared" si="27"/>
        <v>849346560</v>
      </c>
      <c r="AL37" s="185">
        <f t="shared" si="26"/>
        <v>1127646360</v>
      </c>
      <c r="AM37" s="233">
        <f>AM29*B21</f>
        <v>67658781.600000009</v>
      </c>
      <c r="AN37" s="25"/>
      <c r="AO37" s="25"/>
      <c r="AP37" s="66"/>
    </row>
    <row r="38" spans="1:42" x14ac:dyDescent="0.25">
      <c r="A38" s="41" t="s">
        <v>172</v>
      </c>
      <c r="B38" s="16"/>
      <c r="C38" s="16"/>
      <c r="D38" s="16"/>
      <c r="E38" s="16"/>
      <c r="F38" s="16"/>
      <c r="G38" s="16"/>
      <c r="H38" s="16"/>
      <c r="I38" s="16"/>
      <c r="J38" s="16"/>
      <c r="K38" s="16"/>
      <c r="L38" s="192">
        <f>L37-(1*$B$21)*(2^(((L28 - 14) - $B$25)/$L$54))</f>
        <v>19.078629564011877</v>
      </c>
      <c r="M38" s="193">
        <f>M37-(1*$B$21)*(2^(((M28 - 14) - $B$25)/$L$54))</f>
        <v>40.491135481904664</v>
      </c>
      <c r="N38" s="193">
        <f>N37-(1*$B$21)*(2^(((N28 - 14) - $B$25)/$L$54))</f>
        <v>84.776252089191289</v>
      </c>
      <c r="O38" s="191">
        <f t="shared" ref="O38:AL38" si="29">MAX(O37-(($L$29*$B$21)*(2^(((O28 -14) - $L$28)/HLOOKUP((O28-14)-$B$25,$L$52:$AM$54,3,TRUE)))),0)</f>
        <v>174.60422027875339</v>
      </c>
      <c r="P38" s="191">
        <f t="shared" si="29"/>
        <v>352.6875</v>
      </c>
      <c r="Q38" s="191">
        <f t="shared" si="29"/>
        <v>716.49780135330877</v>
      </c>
      <c r="R38" s="191">
        <f t="shared" si="29"/>
        <v>1476.4333005675624</v>
      </c>
      <c r="S38" s="191">
        <f t="shared" si="29"/>
        <v>2961.4155453634608</v>
      </c>
      <c r="T38" s="191">
        <f t="shared" si="29"/>
        <v>5767.0326204452667</v>
      </c>
      <c r="U38" s="191">
        <f t="shared" si="29"/>
        <v>10272.072705092953</v>
      </c>
      <c r="V38" s="191">
        <f t="shared" si="29"/>
        <v>12088.364484061041</v>
      </c>
      <c r="W38" s="191">
        <f t="shared" si="29"/>
        <v>8416.0984022079647</v>
      </c>
      <c r="X38" s="191">
        <f t="shared" si="29"/>
        <v>15907.44508458137</v>
      </c>
      <c r="Y38" s="191">
        <f t="shared" si="29"/>
        <v>76982.028228321709</v>
      </c>
      <c r="Z38" s="191">
        <f t="shared" si="29"/>
        <v>151292.13497741858</v>
      </c>
      <c r="AA38" s="191">
        <f t="shared" si="29"/>
        <v>313698.70655112626</v>
      </c>
      <c r="AB38" s="191">
        <f t="shared" si="29"/>
        <v>639188.12229487498</v>
      </c>
      <c r="AC38" s="191">
        <f t="shared" si="29"/>
        <v>1296458.0983297846</v>
      </c>
      <c r="AD38" s="191">
        <f t="shared" si="29"/>
        <v>2621525.6648736908</v>
      </c>
      <c r="AE38" s="191">
        <f t="shared" si="29"/>
        <v>5289447.0341205439</v>
      </c>
      <c r="AF38" s="191">
        <f t="shared" si="29"/>
        <v>10655648.924868973</v>
      </c>
      <c r="AG38" s="191">
        <f t="shared" si="29"/>
        <v>21440386.220501881</v>
      </c>
      <c r="AH38" s="228">
        <f t="shared" si="29"/>
        <v>43100901.320199236</v>
      </c>
      <c r="AI38" s="189">
        <f t="shared" si="29"/>
        <v>86581629.562115893</v>
      </c>
      <c r="AJ38" s="189">
        <f t="shared" si="29"/>
        <v>173825334.91618034</v>
      </c>
      <c r="AK38" s="190">
        <f t="shared" si="29"/>
        <v>598498614.91618037</v>
      </c>
      <c r="AL38" s="189">
        <f t="shared" si="29"/>
        <v>627114794.12947929</v>
      </c>
      <c r="AM38" s="231"/>
      <c r="AN38" s="25"/>
      <c r="AO38" s="25"/>
      <c r="AP38" s="66"/>
    </row>
    <row r="39" spans="1:42" x14ac:dyDescent="0.25">
      <c r="A39" s="61" t="s">
        <v>110</v>
      </c>
      <c r="B39" s="9"/>
      <c r="C39" s="9"/>
      <c r="D39" s="9"/>
      <c r="E39" s="9"/>
      <c r="F39" s="9"/>
      <c r="G39" s="9"/>
      <c r="H39" s="9"/>
      <c r="I39" s="9"/>
      <c r="J39" s="9"/>
      <c r="K39" s="5"/>
      <c r="L39" s="213">
        <f>(1*($B$22+$B$23))*(2^(((L28 - 7) - $B$25)/$L$54))</f>
        <v>2.8870253994390738</v>
      </c>
      <c r="M39" s="208">
        <f>(1*($B$22+$B$23))*(2^(((M28 - 7) - $B$25)/$L$54))</f>
        <v>4.6931877328275249</v>
      </c>
      <c r="N39" s="198">
        <f t="shared" ref="N39:AK39" si="30">($L$29*($B$22+$B$23))*(2^(((N28-7)-$L$28)/HLOOKUP((N28-7)-$B$25,$L$52:$AM$54,3,TRUE)))</f>
        <v>7.9471976804692028</v>
      </c>
      <c r="O39" s="198">
        <f t="shared" si="30"/>
        <v>18.968645416344785</v>
      </c>
      <c r="P39" s="198">
        <f t="shared" si="30"/>
        <v>29.467543857131108</v>
      </c>
      <c r="Q39" s="198">
        <f t="shared" si="30"/>
        <v>56.748395631433958</v>
      </c>
      <c r="R39" s="198">
        <f t="shared" si="30"/>
        <v>123.46509239906847</v>
      </c>
      <c r="S39" s="198">
        <f t="shared" si="30"/>
        <v>227.38643858014458</v>
      </c>
      <c r="T39" s="198">
        <f t="shared" si="30"/>
        <v>539.69701610130301</v>
      </c>
      <c r="U39" s="198">
        <f t="shared" si="30"/>
        <v>1754.1437959922339</v>
      </c>
      <c r="V39" s="198">
        <f t="shared" si="30"/>
        <v>5743.7813709348993</v>
      </c>
      <c r="W39" s="198">
        <f t="shared" si="30"/>
        <v>10890.879945956123</v>
      </c>
      <c r="X39" s="198">
        <f t="shared" si="30"/>
        <v>23844.437956518799</v>
      </c>
      <c r="Y39" s="198">
        <f t="shared" si="30"/>
        <v>64604.289705310286</v>
      </c>
      <c r="Z39" s="198">
        <f t="shared" si="30"/>
        <v>121299.87797574571</v>
      </c>
      <c r="AA39" s="198">
        <f t="shared" si="30"/>
        <v>224915.32156091332</v>
      </c>
      <c r="AB39" s="198">
        <f t="shared" si="30"/>
        <v>427150.38610488729</v>
      </c>
      <c r="AC39" s="198">
        <f t="shared" si="30"/>
        <v>820740.4333067612</v>
      </c>
      <c r="AD39" s="198">
        <f t="shared" si="30"/>
        <v>1589849.125522895</v>
      </c>
      <c r="AE39" s="198">
        <f t="shared" si="30"/>
        <v>3097837.431153086</v>
      </c>
      <c r="AF39" s="198">
        <f t="shared" si="30"/>
        <v>6062741.9969177246</v>
      </c>
      <c r="AG39" s="198">
        <f t="shared" si="30"/>
        <v>11905366.766908417</v>
      </c>
      <c r="AH39" s="225">
        <f t="shared" si="30"/>
        <v>23440308.64930243</v>
      </c>
      <c r="AI39" s="194">
        <f t="shared" si="30"/>
        <v>46248689.258498028</v>
      </c>
      <c r="AJ39" s="194">
        <f t="shared" si="30"/>
        <v>91406708.261928484</v>
      </c>
      <c r="AK39" s="195">
        <f t="shared" si="30"/>
        <v>91406708.261928484</v>
      </c>
      <c r="AL39" s="194">
        <f>($L$29*($B$22+$B$23))*(2^(((AL28 - 7) - $L$28)/AL54))</f>
        <v>178865685.67961603</v>
      </c>
      <c r="AM39" s="231">
        <f>AM29*(B22+B23)</f>
        <v>15870578.4</v>
      </c>
      <c r="AN39" s="45"/>
      <c r="AO39" s="45"/>
      <c r="AP39" s="66"/>
    </row>
    <row r="40" spans="1:42" x14ac:dyDescent="0.25">
      <c r="A40" s="37" t="s">
        <v>158</v>
      </c>
      <c r="B40" s="38"/>
      <c r="C40" s="39"/>
      <c r="D40" s="39"/>
      <c r="E40" s="39"/>
      <c r="F40" s="39"/>
      <c r="G40" s="39"/>
      <c r="H40" s="39"/>
      <c r="I40" s="39"/>
      <c r="J40" s="39"/>
      <c r="K40" s="62"/>
      <c r="L40" s="192">
        <f t="shared" ref="L40:T40" si="31">L39</f>
        <v>2.8870253994390738</v>
      </c>
      <c r="M40" s="193">
        <f t="shared" si="31"/>
        <v>4.6931877328275249</v>
      </c>
      <c r="N40" s="193">
        <f t="shared" si="31"/>
        <v>7.9471976804692028</v>
      </c>
      <c r="O40" s="193">
        <f t="shared" si="31"/>
        <v>18.968645416344785</v>
      </c>
      <c r="P40" s="193">
        <f t="shared" si="31"/>
        <v>29.467543857131108</v>
      </c>
      <c r="Q40" s="193">
        <f t="shared" si="31"/>
        <v>56.748395631433958</v>
      </c>
      <c r="R40" s="193">
        <f t="shared" si="31"/>
        <v>123.46509239906847</v>
      </c>
      <c r="S40" s="193">
        <f t="shared" si="31"/>
        <v>227.38643858014458</v>
      </c>
      <c r="T40" s="193">
        <f t="shared" si="31"/>
        <v>539.69701610130301</v>
      </c>
      <c r="U40" s="184">
        <f t="shared" ref="U40:AL40" si="32">MAX(U39-($L$29*$B$22)*(2^(((U28 - 42) - $L$28)/HLOOKUP((U28-42)-$B$25,$L$52:$AM$54,3,TRUE)))-U42,0)</f>
        <v>1588.6805460666544</v>
      </c>
      <c r="V40" s="184">
        <f t="shared" si="32"/>
        <v>4897.6535258136473</v>
      </c>
      <c r="W40" s="184">
        <f t="shared" si="32"/>
        <v>8266.2297075609786</v>
      </c>
      <c r="X40" s="184">
        <f t="shared" si="32"/>
        <v>18479.218827140961</v>
      </c>
      <c r="Y40" s="184">
        <f t="shared" si="32"/>
        <v>51916.922086590406</v>
      </c>
      <c r="Z40" s="184">
        <f t="shared" si="32"/>
        <v>102680.0992415911</v>
      </c>
      <c r="AA40" s="184">
        <f t="shared" si="32"/>
        <v>184595.8339734475</v>
      </c>
      <c r="AB40" s="184">
        <f t="shared" si="32"/>
        <v>344196.86860098061</v>
      </c>
      <c r="AC40" s="184">
        <f t="shared" si="32"/>
        <v>653278.78036643087</v>
      </c>
      <c r="AD40" s="184">
        <f t="shared" si="32"/>
        <v>1253157.8099664389</v>
      </c>
      <c r="AE40" s="184">
        <f t="shared" si="32"/>
        <v>2422650.1488823043</v>
      </c>
      <c r="AF40" s="184">
        <f t="shared" si="32"/>
        <v>4710594.6943770833</v>
      </c>
      <c r="AG40" s="184">
        <f t="shared" si="32"/>
        <v>9199571.3499063086</v>
      </c>
      <c r="AH40" s="228">
        <f t="shared" si="32"/>
        <v>18028064.419874124</v>
      </c>
      <c r="AI40" s="189">
        <f t="shared" si="32"/>
        <v>35425633.799577512</v>
      </c>
      <c r="AJ40" s="189">
        <f t="shared" si="32"/>
        <v>69766658.366832227</v>
      </c>
      <c r="AK40" s="190">
        <f t="shared" si="32"/>
        <v>69766658.366832227</v>
      </c>
      <c r="AL40" s="189">
        <f t="shared" si="32"/>
        <v>135601352.15533242</v>
      </c>
      <c r="AM40" s="233"/>
      <c r="AN40" s="45"/>
      <c r="AO40" s="45"/>
      <c r="AP40" s="66"/>
    </row>
    <row r="41" spans="1:42" x14ac:dyDescent="0.25">
      <c r="A41" s="61" t="s">
        <v>111</v>
      </c>
      <c r="B41" s="9"/>
      <c r="C41" s="9"/>
      <c r="D41" s="9"/>
      <c r="E41" s="9"/>
      <c r="F41" s="9"/>
      <c r="G41" s="9"/>
      <c r="H41" s="9"/>
      <c r="I41" s="9"/>
      <c r="J41" s="9"/>
      <c r="K41" s="5"/>
      <c r="L41" s="213">
        <f>(1*$B$23)*(2^(((L28 - 14) -$B$25)/$L$54))</f>
        <v>0.38480681703630393</v>
      </c>
      <c r="M41" s="208">
        <f>(1*$B$23)*(2^(((M28 - 14) -$B$25)/$L$54))</f>
        <v>0.62554719247502066</v>
      </c>
      <c r="N41" s="208">
        <f>(1*$B$23)*(2^(((N28 - 14) -$B$25)/$L$54))</f>
        <v>1.0168980191857229</v>
      </c>
      <c r="O41" s="198">
        <f t="shared" ref="O41:AL41" si="33">($L$29*$B$23)*(2^(((O28 - 14) - $L$28)/HLOOKUP((O28-14)-$B$25,$L$52:$AM$54,3,TRUE)))</f>
        <v>1.7219617111880618</v>
      </c>
      <c r="P41" s="198">
        <f t="shared" si="33"/>
        <v>3.2291666666666661</v>
      </c>
      <c r="Q41" s="198">
        <f t="shared" si="33"/>
        <v>5.7717406572031598</v>
      </c>
      <c r="R41" s="198">
        <f t="shared" si="33"/>
        <v>8.8621419402739328</v>
      </c>
      <c r="S41" s="198">
        <f t="shared" si="33"/>
        <v>17.196571273860446</v>
      </c>
      <c r="T41" s="198">
        <f t="shared" si="33"/>
        <v>44.010332071279819</v>
      </c>
      <c r="U41" s="198">
        <f t="shared" si="33"/>
        <v>165.92143795722515</v>
      </c>
      <c r="V41" s="198">
        <f t="shared" si="33"/>
        <v>853.80466147771358</v>
      </c>
      <c r="W41" s="198">
        <f t="shared" si="33"/>
        <v>2680.4877529501259</v>
      </c>
      <c r="X41" s="198">
        <f t="shared" si="33"/>
        <v>5418.0589453962111</v>
      </c>
      <c r="Y41" s="198">
        <f t="shared" si="33"/>
        <v>8048.0229488690302</v>
      </c>
      <c r="Z41" s="198">
        <f t="shared" si="33"/>
        <v>16260.97932238157</v>
      </c>
      <c r="AA41" s="198">
        <f t="shared" si="33"/>
        <v>31835.882311658872</v>
      </c>
      <c r="AB41" s="198">
        <f t="shared" si="33"/>
        <v>62943.943068217595</v>
      </c>
      <c r="AC41" s="198">
        <f t="shared" si="33"/>
        <v>124771.72232532193</v>
      </c>
      <c r="AD41" s="198">
        <f t="shared" si="33"/>
        <v>247777.42809421662</v>
      </c>
      <c r="AE41" s="198">
        <f t="shared" si="33"/>
        <v>492690.92381971952</v>
      </c>
      <c r="AF41" s="198">
        <f t="shared" si="33"/>
        <v>980643.89352660649</v>
      </c>
      <c r="AG41" s="198">
        <f t="shared" si="33"/>
        <v>1953319.3691048222</v>
      </c>
      <c r="AH41" s="225">
        <f t="shared" si="33"/>
        <v>3893050.5357901705</v>
      </c>
      <c r="AI41" s="194">
        <f t="shared" si="33"/>
        <v>7762654.9653014885</v>
      </c>
      <c r="AJ41" s="194">
        <f t="shared" si="33"/>
        <v>15484441.054556768</v>
      </c>
      <c r="AK41" s="195">
        <f t="shared" si="33"/>
        <v>15484441.054556768</v>
      </c>
      <c r="AL41" s="194">
        <f t="shared" si="33"/>
        <v>30897010.238921031</v>
      </c>
      <c r="AM41" s="231">
        <f>AM29*B23</f>
        <v>4176468</v>
      </c>
      <c r="AN41" s="45"/>
      <c r="AO41" s="45"/>
      <c r="AP41" s="66"/>
    </row>
    <row r="42" spans="1:42" x14ac:dyDescent="0.25">
      <c r="A42" s="37" t="s">
        <v>159</v>
      </c>
      <c r="B42" s="38"/>
      <c r="C42" s="39"/>
      <c r="D42" s="39"/>
      <c r="E42" s="39"/>
      <c r="F42" s="39"/>
      <c r="G42" s="39"/>
      <c r="H42" s="39"/>
      <c r="I42" s="39"/>
      <c r="J42" s="39"/>
      <c r="K42" s="62"/>
      <c r="L42" s="192">
        <f t="shared" ref="L42:S42" si="34">L41</f>
        <v>0.38480681703630393</v>
      </c>
      <c r="M42" s="193">
        <f t="shared" si="34"/>
        <v>0.62554719247502066</v>
      </c>
      <c r="N42" s="193">
        <f t="shared" si="34"/>
        <v>1.0168980191857229</v>
      </c>
      <c r="O42" s="193">
        <f t="shared" si="34"/>
        <v>1.7219617111880618</v>
      </c>
      <c r="P42" s="193">
        <f t="shared" si="34"/>
        <v>3.2291666666666661</v>
      </c>
      <c r="Q42" s="193">
        <f t="shared" si="34"/>
        <v>5.7717406572031598</v>
      </c>
      <c r="R42" s="193">
        <f t="shared" si="34"/>
        <v>8.8621419402739328</v>
      </c>
      <c r="S42" s="193">
        <f t="shared" si="34"/>
        <v>17.196571273860446</v>
      </c>
      <c r="T42" s="191">
        <f t="shared" ref="T42:AL42" si="35">MAX(T41-($L$29*$B$23)*(2^(((T28 - 35) - $L$28)/HLOOKUP((T28-35)-$B$25,$L$52:$AM$54,3,TRUE))),0)</f>
        <v>42.288370360091754</v>
      </c>
      <c r="U42" s="191">
        <f t="shared" si="35"/>
        <v>160.14969730002198</v>
      </c>
      <c r="V42" s="191">
        <f t="shared" si="35"/>
        <v>821.313847688485</v>
      </c>
      <c r="W42" s="191">
        <f t="shared" si="35"/>
        <v>2457.1023362834594</v>
      </c>
      <c r="X42" s="191">
        <f t="shared" si="35"/>
        <v>4256.8857960445075</v>
      </c>
      <c r="Y42" s="191">
        <f t="shared" si="35"/>
        <v>5182.001910459524</v>
      </c>
      <c r="Z42" s="191">
        <f t="shared" si="35"/>
        <v>6246.3806971139675</v>
      </c>
      <c r="AA42" s="191">
        <f t="shared" si="35"/>
        <v>5770.0727254305275</v>
      </c>
      <c r="AB42" s="191">
        <f t="shared" si="35"/>
        <v>16012.341104587482</v>
      </c>
      <c r="AC42" s="191">
        <f t="shared" si="35"/>
        <v>40412.656619307425</v>
      </c>
      <c r="AD42" s="191">
        <f t="shared" si="35"/>
        <v>91207.756144704152</v>
      </c>
      <c r="AE42" s="191">
        <f t="shared" si="35"/>
        <v>197163.95079520287</v>
      </c>
      <c r="AF42" s="191">
        <f t="shared" si="35"/>
        <v>416255.13022506656</v>
      </c>
      <c r="AG42" s="191">
        <f t="shared" si="35"/>
        <v>866276.37743324484</v>
      </c>
      <c r="AH42" s="228">
        <f t="shared" si="35"/>
        <v>1786020.5033150292</v>
      </c>
      <c r="AI42" s="189">
        <f t="shared" si="35"/>
        <v>3658646.1669454845</v>
      </c>
      <c r="AJ42" s="189">
        <f t="shared" si="35"/>
        <v>7460228.797265619</v>
      </c>
      <c r="AK42" s="190">
        <f t="shared" si="35"/>
        <v>7460228.797265619</v>
      </c>
      <c r="AL42" s="189">
        <f t="shared" si="35"/>
        <v>15160116.831383182</v>
      </c>
      <c r="AM42" s="231"/>
      <c r="AN42" s="45"/>
      <c r="AO42" s="45"/>
      <c r="AP42" s="66"/>
    </row>
    <row r="43" spans="1:42" x14ac:dyDescent="0.25">
      <c r="A43" s="41" t="s">
        <v>55</v>
      </c>
      <c r="B43" s="15"/>
      <c r="C43" s="16"/>
      <c r="D43" s="16"/>
      <c r="E43" s="16"/>
      <c r="F43" s="16"/>
      <c r="G43" s="16"/>
      <c r="H43" s="16"/>
      <c r="I43" s="16"/>
      <c r="J43" s="16"/>
      <c r="K43" s="16"/>
      <c r="L43" s="214">
        <f t="shared" ref="L43:AL43" si="36">L29*$B$24</f>
        <v>0.890625</v>
      </c>
      <c r="M43" s="215">
        <f t="shared" si="36"/>
        <v>1.78125</v>
      </c>
      <c r="N43" s="215">
        <f t="shared" si="36"/>
        <v>3.5625</v>
      </c>
      <c r="O43" s="215">
        <f t="shared" si="36"/>
        <v>7.125</v>
      </c>
      <c r="P43" s="215">
        <f t="shared" si="36"/>
        <v>14.25</v>
      </c>
      <c r="Q43" s="215">
        <f t="shared" si="36"/>
        <v>28.5</v>
      </c>
      <c r="R43" s="215">
        <f t="shared" si="36"/>
        <v>57</v>
      </c>
      <c r="S43" s="215">
        <f t="shared" si="36"/>
        <v>114</v>
      </c>
      <c r="T43" s="215">
        <f t="shared" si="36"/>
        <v>228</v>
      </c>
      <c r="U43" s="215">
        <f t="shared" si="36"/>
        <v>456</v>
      </c>
      <c r="V43" s="215">
        <f t="shared" si="36"/>
        <v>912</v>
      </c>
      <c r="W43" s="215">
        <f t="shared" si="36"/>
        <v>1824</v>
      </c>
      <c r="X43" s="215">
        <f t="shared" si="36"/>
        <v>3648</v>
      </c>
      <c r="Y43" s="215">
        <f t="shared" si="36"/>
        <v>7296</v>
      </c>
      <c r="Z43" s="215">
        <f t="shared" si="36"/>
        <v>14592</v>
      </c>
      <c r="AA43" s="215">
        <f t="shared" si="36"/>
        <v>29184</v>
      </c>
      <c r="AB43" s="215">
        <f t="shared" si="36"/>
        <v>58368</v>
      </c>
      <c r="AC43" s="215">
        <f t="shared" si="36"/>
        <v>116736</v>
      </c>
      <c r="AD43" s="215">
        <f t="shared" si="36"/>
        <v>233472</v>
      </c>
      <c r="AE43" s="215">
        <f t="shared" si="36"/>
        <v>466944</v>
      </c>
      <c r="AF43" s="215">
        <f t="shared" ref="AF43:AK43" si="37">AF29*$B$24</f>
        <v>933888</v>
      </c>
      <c r="AG43" s="215">
        <f t="shared" si="37"/>
        <v>1867776</v>
      </c>
      <c r="AH43" s="227">
        <f t="shared" si="37"/>
        <v>3735552</v>
      </c>
      <c r="AI43" s="185">
        <f t="shared" si="37"/>
        <v>7471104</v>
      </c>
      <c r="AJ43" s="185">
        <f t="shared" ref="AJ43" si="38">AJ29*$B$24</f>
        <v>14942208</v>
      </c>
      <c r="AK43" s="186">
        <f t="shared" si="37"/>
        <v>29884416</v>
      </c>
      <c r="AL43" s="194">
        <f t="shared" si="36"/>
        <v>39676446</v>
      </c>
      <c r="AM43" s="231">
        <f>AM29*B24</f>
        <v>2380586.7600000002</v>
      </c>
      <c r="AN43" s="45"/>
      <c r="AO43" s="45"/>
      <c r="AP43" s="66"/>
    </row>
    <row r="44" spans="1:42" x14ac:dyDescent="0.25">
      <c r="A44" s="37" t="s">
        <v>54</v>
      </c>
      <c r="B44" s="38"/>
      <c r="C44" s="39"/>
      <c r="D44" s="39"/>
      <c r="E44" s="39"/>
      <c r="F44" s="39"/>
      <c r="G44" s="39"/>
      <c r="H44" s="39"/>
      <c r="I44" s="39"/>
      <c r="J44" s="39"/>
      <c r="K44" s="39"/>
      <c r="L44" s="187"/>
      <c r="M44" s="188"/>
      <c r="N44" s="188"/>
      <c r="O44" s="188"/>
      <c r="P44" s="188"/>
      <c r="Q44" s="188"/>
      <c r="R44" s="188"/>
      <c r="S44" s="188"/>
      <c r="T44" s="196">
        <f>($L$29*$B$24)*(2^(((T28-35)-$L$28)/HLOOKUP((T28-35)-$B$25,$L$52:$AM$54,3,TRUE)))</f>
        <v>0.98151817537719532</v>
      </c>
      <c r="U44" s="196">
        <f t="shared" ref="U44:AL44" si="39">($L$29*$B$24)*(2^(((U28-35)-$L$28)/HLOOKUP((U28-35)-$B$25,$L$52:$AM$54,3,TRUE)))</f>
        <v>3.289892174605801</v>
      </c>
      <c r="V44" s="196">
        <f t="shared" si="39"/>
        <v>18.519763859860269</v>
      </c>
      <c r="W44" s="196">
        <f t="shared" si="39"/>
        <v>127.32968749999998</v>
      </c>
      <c r="X44" s="196">
        <f t="shared" si="39"/>
        <v>661.86869513047077</v>
      </c>
      <c r="Y44" s="196">
        <f t="shared" si="39"/>
        <v>1633.6319918934187</v>
      </c>
      <c r="Z44" s="196">
        <f t="shared" si="39"/>
        <v>5708.3212164025335</v>
      </c>
      <c r="AA44" s="196">
        <f t="shared" si="39"/>
        <v>14857.511464150157</v>
      </c>
      <c r="AB44" s="196">
        <f t="shared" si="39"/>
        <v>26751.013119269162</v>
      </c>
      <c r="AC44" s="196">
        <f t="shared" si="39"/>
        <v>48084.667452428264</v>
      </c>
      <c r="AD44" s="196">
        <f t="shared" si="39"/>
        <v>89244.713011222106</v>
      </c>
      <c r="AE44" s="196">
        <f t="shared" si="39"/>
        <v>168450.37462397449</v>
      </c>
      <c r="AF44" s="196">
        <f t="shared" si="39"/>
        <v>321701.59508187778</v>
      </c>
      <c r="AG44" s="196">
        <f t="shared" si="39"/>
        <v>619614.50525279902</v>
      </c>
      <c r="AH44" s="228">
        <f t="shared" si="39"/>
        <v>1201007.1185108307</v>
      </c>
      <c r="AI44" s="189">
        <f t="shared" si="39"/>
        <v>2339285.0150629226</v>
      </c>
      <c r="AJ44" s="189">
        <f t="shared" si="39"/>
        <v>4573800.9866559552</v>
      </c>
      <c r="AK44" s="190">
        <f t="shared" si="39"/>
        <v>4573800.9866559552</v>
      </c>
      <c r="AL44" s="189">
        <f t="shared" si="39"/>
        <v>8970029.2422965746</v>
      </c>
      <c r="AM44" s="234">
        <f>($L$29*$B$24)*(2^(((AM28 - 35) - $L$28)/AM54))</f>
        <v>6786898.8452783311</v>
      </c>
      <c r="AN44" s="45"/>
      <c r="AO44" s="45"/>
      <c r="AP44" s="66"/>
    </row>
    <row r="45" spans="1:42" s="66" customFormat="1" hidden="1" x14ac:dyDescent="0.25">
      <c r="A45" s="48" t="s">
        <v>105</v>
      </c>
      <c r="B45" s="25"/>
      <c r="C45" s="47"/>
      <c r="D45" s="47"/>
      <c r="E45" s="47"/>
      <c r="F45" s="47"/>
      <c r="G45" s="47"/>
      <c r="H45" s="47"/>
      <c r="I45" s="47"/>
      <c r="J45" s="47"/>
      <c r="K45" s="47"/>
      <c r="L45" s="140">
        <f t="shared" ref="L45:AL45" si="40">L28-7</f>
        <v>43888</v>
      </c>
      <c r="M45" s="140">
        <f t="shared" si="40"/>
        <v>43893</v>
      </c>
      <c r="N45" s="140">
        <f t="shared" si="40"/>
        <v>43898</v>
      </c>
      <c r="O45" s="140">
        <f t="shared" si="40"/>
        <v>43903</v>
      </c>
      <c r="P45" s="140">
        <f t="shared" si="40"/>
        <v>43907</v>
      </c>
      <c r="Q45" s="140">
        <f t="shared" si="40"/>
        <v>43911</v>
      </c>
      <c r="R45" s="140">
        <f t="shared" si="40"/>
        <v>43915</v>
      </c>
      <c r="S45" s="140">
        <f t="shared" si="40"/>
        <v>43919</v>
      </c>
      <c r="T45" s="140">
        <f t="shared" si="40"/>
        <v>43924</v>
      </c>
      <c r="U45" s="140">
        <f t="shared" si="40"/>
        <v>43932</v>
      </c>
      <c r="V45" s="140">
        <f t="shared" si="40"/>
        <v>43943</v>
      </c>
      <c r="W45" s="140">
        <f t="shared" si="40"/>
        <v>43954</v>
      </c>
      <c r="X45" s="140">
        <f t="shared" si="40"/>
        <v>43966</v>
      </c>
      <c r="Y45" s="140">
        <f t="shared" si="40"/>
        <v>43982</v>
      </c>
      <c r="Z45" s="140">
        <f t="shared" si="40"/>
        <v>43998</v>
      </c>
      <c r="AA45" s="140">
        <f t="shared" si="40"/>
        <v>44014</v>
      </c>
      <c r="AB45" s="140">
        <f t="shared" si="40"/>
        <v>44030</v>
      </c>
      <c r="AC45" s="140">
        <f t="shared" si="40"/>
        <v>44046</v>
      </c>
      <c r="AD45" s="140">
        <f t="shared" si="40"/>
        <v>44062</v>
      </c>
      <c r="AE45" s="140">
        <f t="shared" si="40"/>
        <v>44078</v>
      </c>
      <c r="AF45" s="140"/>
      <c r="AG45" s="140"/>
      <c r="AH45" s="140"/>
      <c r="AI45" s="140"/>
      <c r="AJ45" s="140"/>
      <c r="AK45" s="140"/>
      <c r="AL45" s="140">
        <f t="shared" si="40"/>
        <v>44174</v>
      </c>
      <c r="AM45" s="140"/>
      <c r="AN45" s="45"/>
      <c r="AO45" s="45"/>
    </row>
    <row r="46" spans="1:42" s="66" customFormat="1" hidden="1" x14ac:dyDescent="0.25">
      <c r="A46" s="48" t="s">
        <v>103</v>
      </c>
      <c r="B46" s="25"/>
      <c r="C46" s="47"/>
      <c r="D46" s="47"/>
      <c r="E46" s="47"/>
      <c r="F46" s="47"/>
      <c r="G46" s="47"/>
      <c r="H46" s="47"/>
      <c r="I46" s="47"/>
      <c r="J46" s="47"/>
      <c r="K46" s="47"/>
      <c r="L46" s="140">
        <f t="shared" ref="L46:AL46" si="41">L28-14</f>
        <v>43881</v>
      </c>
      <c r="M46" s="140">
        <f t="shared" si="41"/>
        <v>43886</v>
      </c>
      <c r="N46" s="140">
        <f t="shared" si="41"/>
        <v>43891</v>
      </c>
      <c r="O46" s="140">
        <f t="shared" si="41"/>
        <v>43896</v>
      </c>
      <c r="P46" s="140">
        <f t="shared" si="41"/>
        <v>43900</v>
      </c>
      <c r="Q46" s="140">
        <f t="shared" si="41"/>
        <v>43904</v>
      </c>
      <c r="R46" s="140">
        <f t="shared" si="41"/>
        <v>43908</v>
      </c>
      <c r="S46" s="140">
        <f t="shared" si="41"/>
        <v>43912</v>
      </c>
      <c r="T46" s="140">
        <f t="shared" si="41"/>
        <v>43917</v>
      </c>
      <c r="U46" s="140">
        <f t="shared" si="41"/>
        <v>43925</v>
      </c>
      <c r="V46" s="140">
        <f t="shared" si="41"/>
        <v>43936</v>
      </c>
      <c r="W46" s="140">
        <f t="shared" si="41"/>
        <v>43947</v>
      </c>
      <c r="X46" s="140">
        <f t="shared" si="41"/>
        <v>43959</v>
      </c>
      <c r="Y46" s="140">
        <f t="shared" si="41"/>
        <v>43975</v>
      </c>
      <c r="Z46" s="140">
        <f t="shared" si="41"/>
        <v>43991</v>
      </c>
      <c r="AA46" s="140">
        <f t="shared" si="41"/>
        <v>44007</v>
      </c>
      <c r="AB46" s="140">
        <f t="shared" si="41"/>
        <v>44023</v>
      </c>
      <c r="AC46" s="140">
        <f t="shared" si="41"/>
        <v>44039</v>
      </c>
      <c r="AD46" s="140">
        <f t="shared" si="41"/>
        <v>44055</v>
      </c>
      <c r="AE46" s="140">
        <f t="shared" si="41"/>
        <v>44071</v>
      </c>
      <c r="AF46" s="140"/>
      <c r="AG46" s="140"/>
      <c r="AH46" s="140"/>
      <c r="AI46" s="140"/>
      <c r="AJ46" s="140"/>
      <c r="AK46" s="140"/>
      <c r="AL46" s="140">
        <f t="shared" si="41"/>
        <v>44167</v>
      </c>
      <c r="AM46" s="140"/>
      <c r="AN46" s="45"/>
      <c r="AO46" s="45"/>
    </row>
    <row r="47" spans="1:42" s="66" customFormat="1" hidden="1" x14ac:dyDescent="0.25">
      <c r="A47" s="48" t="s">
        <v>106</v>
      </c>
      <c r="B47" s="25"/>
      <c r="C47" s="47"/>
      <c r="D47" s="47"/>
      <c r="E47" s="47"/>
      <c r="F47" s="47"/>
      <c r="G47" s="47"/>
      <c r="H47" s="47"/>
      <c r="I47" s="47"/>
      <c r="J47" s="47"/>
      <c r="K47" s="47"/>
      <c r="L47" s="140">
        <f t="shared" ref="L47:AL47" si="42">L28-(7*5)</f>
        <v>43860</v>
      </c>
      <c r="M47" s="140">
        <f t="shared" si="42"/>
        <v>43865</v>
      </c>
      <c r="N47" s="140">
        <f t="shared" si="42"/>
        <v>43870</v>
      </c>
      <c r="O47" s="140">
        <f t="shared" si="42"/>
        <v>43875</v>
      </c>
      <c r="P47" s="140">
        <f t="shared" si="42"/>
        <v>43879</v>
      </c>
      <c r="Q47" s="140">
        <f t="shared" si="42"/>
        <v>43883</v>
      </c>
      <c r="R47" s="140">
        <f t="shared" si="42"/>
        <v>43887</v>
      </c>
      <c r="S47" s="140">
        <f t="shared" si="42"/>
        <v>43891</v>
      </c>
      <c r="T47" s="140">
        <f t="shared" si="42"/>
        <v>43896</v>
      </c>
      <c r="U47" s="140">
        <f t="shared" si="42"/>
        <v>43904</v>
      </c>
      <c r="V47" s="140">
        <f t="shared" si="42"/>
        <v>43915</v>
      </c>
      <c r="W47" s="140">
        <f t="shared" si="42"/>
        <v>43926</v>
      </c>
      <c r="X47" s="140">
        <f t="shared" si="42"/>
        <v>43938</v>
      </c>
      <c r="Y47" s="140">
        <f t="shared" si="42"/>
        <v>43954</v>
      </c>
      <c r="Z47" s="140">
        <f t="shared" si="42"/>
        <v>43970</v>
      </c>
      <c r="AA47" s="140">
        <f t="shared" si="42"/>
        <v>43986</v>
      </c>
      <c r="AB47" s="140">
        <f t="shared" si="42"/>
        <v>44002</v>
      </c>
      <c r="AC47" s="140">
        <f t="shared" si="42"/>
        <v>44018</v>
      </c>
      <c r="AD47" s="140">
        <f t="shared" si="42"/>
        <v>44034</v>
      </c>
      <c r="AE47" s="140">
        <f t="shared" si="42"/>
        <v>44050</v>
      </c>
      <c r="AF47" s="140"/>
      <c r="AG47" s="140"/>
      <c r="AH47" s="140"/>
      <c r="AI47" s="140"/>
      <c r="AJ47" s="140"/>
      <c r="AK47" s="140"/>
      <c r="AL47" s="140">
        <f t="shared" si="42"/>
        <v>44146</v>
      </c>
      <c r="AM47" s="140"/>
      <c r="AN47" s="45"/>
      <c r="AO47" s="45"/>
    </row>
    <row r="48" spans="1:42" s="66" customFormat="1" hidden="1" x14ac:dyDescent="0.25">
      <c r="A48" s="48" t="s">
        <v>104</v>
      </c>
      <c r="B48" s="25"/>
      <c r="C48" s="47"/>
      <c r="D48" s="47"/>
      <c r="E48" s="47"/>
      <c r="F48" s="47"/>
      <c r="G48" s="47"/>
      <c r="H48" s="47"/>
      <c r="I48" s="47"/>
      <c r="J48" s="47"/>
      <c r="K48" s="47"/>
      <c r="L48" s="140">
        <f t="shared" ref="L48:AL48" si="43">L28-(6*7)</f>
        <v>43853</v>
      </c>
      <c r="M48" s="140">
        <f t="shared" si="43"/>
        <v>43858</v>
      </c>
      <c r="N48" s="140">
        <f t="shared" si="43"/>
        <v>43863</v>
      </c>
      <c r="O48" s="140">
        <f t="shared" si="43"/>
        <v>43868</v>
      </c>
      <c r="P48" s="140">
        <f t="shared" si="43"/>
        <v>43872</v>
      </c>
      <c r="Q48" s="140">
        <f t="shared" si="43"/>
        <v>43876</v>
      </c>
      <c r="R48" s="140">
        <f t="shared" si="43"/>
        <v>43880</v>
      </c>
      <c r="S48" s="140">
        <f t="shared" si="43"/>
        <v>43884</v>
      </c>
      <c r="T48" s="140">
        <f t="shared" si="43"/>
        <v>43889</v>
      </c>
      <c r="U48" s="140">
        <f t="shared" si="43"/>
        <v>43897</v>
      </c>
      <c r="V48" s="140">
        <f t="shared" si="43"/>
        <v>43908</v>
      </c>
      <c r="W48" s="140">
        <f t="shared" si="43"/>
        <v>43919</v>
      </c>
      <c r="X48" s="140">
        <f t="shared" si="43"/>
        <v>43931</v>
      </c>
      <c r="Y48" s="140">
        <f t="shared" si="43"/>
        <v>43947</v>
      </c>
      <c r="Z48" s="140">
        <f t="shared" si="43"/>
        <v>43963</v>
      </c>
      <c r="AA48" s="140">
        <f t="shared" si="43"/>
        <v>43979</v>
      </c>
      <c r="AB48" s="140">
        <f t="shared" si="43"/>
        <v>43995</v>
      </c>
      <c r="AC48" s="140">
        <f t="shared" si="43"/>
        <v>44011</v>
      </c>
      <c r="AD48" s="140">
        <f t="shared" si="43"/>
        <v>44027</v>
      </c>
      <c r="AE48" s="140">
        <f t="shared" si="43"/>
        <v>44043</v>
      </c>
      <c r="AF48" s="140"/>
      <c r="AG48" s="140"/>
      <c r="AH48" s="140"/>
      <c r="AI48" s="140"/>
      <c r="AJ48" s="140"/>
      <c r="AK48" s="140"/>
      <c r="AL48" s="140">
        <f t="shared" si="43"/>
        <v>44139</v>
      </c>
      <c r="AM48" s="140"/>
      <c r="AN48" s="45"/>
      <c r="AO48" s="45"/>
    </row>
    <row r="50" spans="1:39" x14ac:dyDescent="0.25">
      <c r="A50" s="52" t="s">
        <v>47</v>
      </c>
      <c r="B50" s="15"/>
      <c r="C50" s="16"/>
      <c r="D50" s="16"/>
      <c r="E50" s="16"/>
      <c r="F50" s="16"/>
      <c r="G50" s="16"/>
      <c r="H50" s="16"/>
      <c r="I50" s="16"/>
      <c r="J50" s="16"/>
      <c r="K50" s="16"/>
    </row>
    <row r="51" spans="1:39" s="66" customFormat="1" x14ac:dyDescent="0.25">
      <c r="A51" s="137" t="s">
        <v>101</v>
      </c>
      <c r="B51" s="25"/>
      <c r="C51" s="47"/>
      <c r="D51" s="47"/>
      <c r="E51" s="47"/>
      <c r="F51" s="47"/>
      <c r="G51" s="47"/>
      <c r="H51" s="47"/>
      <c r="I51" s="47"/>
      <c r="J51" s="47"/>
      <c r="K51" s="47"/>
      <c r="L51" s="255">
        <f t="shared" ref="L51:AM51" si="44">(L28-$B$25)/7</f>
        <v>5</v>
      </c>
      <c r="M51" s="255">
        <f t="shared" si="44"/>
        <v>5.7142857142857144</v>
      </c>
      <c r="N51" s="256">
        <f t="shared" si="44"/>
        <v>6.4285714285714288</v>
      </c>
      <c r="O51" s="255">
        <f t="shared" si="44"/>
        <v>7.1428571428571432</v>
      </c>
      <c r="P51" s="255">
        <f t="shared" si="44"/>
        <v>7.7142857142857144</v>
      </c>
      <c r="Q51" s="256">
        <f t="shared" si="44"/>
        <v>8.2857142857142865</v>
      </c>
      <c r="R51" s="257">
        <f t="shared" si="44"/>
        <v>8.8571428571428577</v>
      </c>
      <c r="S51" s="257">
        <f t="shared" si="44"/>
        <v>9.4285714285714288</v>
      </c>
      <c r="T51" s="255">
        <f t="shared" si="44"/>
        <v>10.142857142857142</v>
      </c>
      <c r="U51" s="258">
        <f t="shared" si="44"/>
        <v>11.285714285714286</v>
      </c>
      <c r="V51" s="281">
        <f t="shared" si="44"/>
        <v>12.857142857142858</v>
      </c>
      <c r="W51" s="257">
        <f t="shared" si="44"/>
        <v>14.428571428571429</v>
      </c>
      <c r="X51" s="255">
        <f t="shared" si="44"/>
        <v>16.142857142857142</v>
      </c>
      <c r="Y51" s="281">
        <f t="shared" si="44"/>
        <v>18.428571428571427</v>
      </c>
      <c r="Z51" s="256">
        <f t="shared" si="44"/>
        <v>20.714285714285715</v>
      </c>
      <c r="AA51" s="256">
        <f t="shared" si="44"/>
        <v>23</v>
      </c>
      <c r="AB51" s="255">
        <f t="shared" si="44"/>
        <v>25.285714285714285</v>
      </c>
      <c r="AC51" s="255">
        <f t="shared" si="44"/>
        <v>27.571428571428573</v>
      </c>
      <c r="AD51" s="256">
        <f t="shared" si="44"/>
        <v>29.857142857142858</v>
      </c>
      <c r="AE51" s="257">
        <f t="shared" si="44"/>
        <v>32.142857142857146</v>
      </c>
      <c r="AF51" s="281">
        <f t="shared" ref="AF51:AK51" si="45">(AF28-$B$25)/7</f>
        <v>34.428571428571431</v>
      </c>
      <c r="AG51" s="256">
        <f t="shared" si="45"/>
        <v>36.714285714285715</v>
      </c>
      <c r="AH51" s="138">
        <f t="shared" si="45"/>
        <v>39</v>
      </c>
      <c r="AI51" s="135">
        <f t="shared" si="45"/>
        <v>41.285714285714285</v>
      </c>
      <c r="AJ51" s="135">
        <f t="shared" si="45"/>
        <v>43.571428571428569</v>
      </c>
      <c r="AK51" s="138">
        <f t="shared" si="45"/>
        <v>43.571428571428569</v>
      </c>
      <c r="AL51" s="136">
        <f>(AL28-$B$25)/7</f>
        <v>45.857142857142854</v>
      </c>
      <c r="AM51" s="136">
        <f t="shared" si="44"/>
        <v>53.857142857142854</v>
      </c>
    </row>
    <row r="52" spans="1:39" s="66" customFormat="1" x14ac:dyDescent="0.25">
      <c r="A52" s="137" t="s">
        <v>100</v>
      </c>
      <c r="B52" s="25"/>
      <c r="C52" s="47"/>
      <c r="D52" s="47"/>
      <c r="E52" s="47"/>
      <c r="F52" s="47"/>
      <c r="G52" s="47"/>
      <c r="H52" s="47"/>
      <c r="I52" s="47"/>
      <c r="J52" s="47"/>
      <c r="K52" s="47"/>
      <c r="L52" s="263">
        <f>L28-$B$25</f>
        <v>35</v>
      </c>
      <c r="M52" s="221">
        <f t="shared" ref="M52:Q52" si="46">M28-$B$25</f>
        <v>40</v>
      </c>
      <c r="N52" s="221">
        <f t="shared" si="46"/>
        <v>45</v>
      </c>
      <c r="O52" s="221">
        <f t="shared" si="46"/>
        <v>50</v>
      </c>
      <c r="P52" s="221">
        <f t="shared" si="46"/>
        <v>54</v>
      </c>
      <c r="Q52" s="221">
        <f t="shared" si="46"/>
        <v>58</v>
      </c>
      <c r="R52" s="221">
        <f>R28-$B$25</f>
        <v>62</v>
      </c>
      <c r="S52" s="221">
        <f t="shared" ref="S52:AM52" si="47">S28-$B$25</f>
        <v>66</v>
      </c>
      <c r="T52" s="221">
        <f t="shared" si="47"/>
        <v>71</v>
      </c>
      <c r="U52" s="221">
        <f t="shared" si="47"/>
        <v>79</v>
      </c>
      <c r="V52" s="221">
        <f t="shared" si="47"/>
        <v>90</v>
      </c>
      <c r="W52" s="221">
        <f t="shared" si="47"/>
        <v>101</v>
      </c>
      <c r="X52" s="221">
        <f t="shared" si="47"/>
        <v>113</v>
      </c>
      <c r="Y52" s="221">
        <f t="shared" si="47"/>
        <v>129</v>
      </c>
      <c r="Z52" s="221">
        <f t="shared" si="47"/>
        <v>145</v>
      </c>
      <c r="AA52" s="221">
        <f t="shared" si="47"/>
        <v>161</v>
      </c>
      <c r="AB52" s="221">
        <f t="shared" si="47"/>
        <v>177</v>
      </c>
      <c r="AC52" s="221">
        <f t="shared" si="47"/>
        <v>193</v>
      </c>
      <c r="AD52" s="221">
        <f t="shared" si="47"/>
        <v>209</v>
      </c>
      <c r="AE52" s="221">
        <f t="shared" si="47"/>
        <v>225</v>
      </c>
      <c r="AF52" s="221">
        <f t="shared" ref="AF52:AK52" si="48">AF28-$B$25</f>
        <v>241</v>
      </c>
      <c r="AG52" s="222">
        <f t="shared" si="48"/>
        <v>257</v>
      </c>
      <c r="AH52" s="254">
        <f t="shared" si="48"/>
        <v>273</v>
      </c>
      <c r="AI52" s="177">
        <f t="shared" si="48"/>
        <v>289</v>
      </c>
      <c r="AJ52" s="177">
        <f t="shared" si="48"/>
        <v>305</v>
      </c>
      <c r="AK52" s="252">
        <f t="shared" si="48"/>
        <v>305</v>
      </c>
      <c r="AL52" s="252">
        <f t="shared" si="47"/>
        <v>321</v>
      </c>
      <c r="AM52" s="177">
        <f t="shared" si="47"/>
        <v>377</v>
      </c>
    </row>
    <row r="53" spans="1:39" x14ac:dyDescent="0.25">
      <c r="A53" s="209" t="s">
        <v>42</v>
      </c>
      <c r="B53" s="16"/>
      <c r="C53" s="16"/>
      <c r="D53" s="16"/>
      <c r="E53" s="16"/>
      <c r="F53" s="16"/>
      <c r="G53" s="16"/>
      <c r="H53" s="16"/>
      <c r="I53" s="16"/>
      <c r="J53" s="16"/>
      <c r="K53" s="16"/>
      <c r="L53" s="259">
        <v>30</v>
      </c>
      <c r="M53" s="260">
        <v>62</v>
      </c>
      <c r="N53" s="261">
        <v>114</v>
      </c>
      <c r="O53" s="261">
        <v>249</v>
      </c>
      <c r="P53" s="261">
        <v>536</v>
      </c>
      <c r="Q53" s="261">
        <v>987</v>
      </c>
      <c r="R53" s="261">
        <v>1998</v>
      </c>
      <c r="S53" s="261">
        <v>4289</v>
      </c>
      <c r="T53" s="261">
        <v>7600</v>
      </c>
      <c r="U53" s="261">
        <v>16365</v>
      </c>
      <c r="V53" s="261">
        <v>33062</v>
      </c>
      <c r="W53" s="261">
        <v>67161</v>
      </c>
      <c r="X53" s="261">
        <v>124794</v>
      </c>
      <c r="Y53" s="261">
        <v>257486</v>
      </c>
      <c r="Z53" s="262">
        <f t="shared" ref="Z53:AG53" si="49">Z29</f>
        <v>512000</v>
      </c>
      <c r="AA53" s="262">
        <f t="shared" si="49"/>
        <v>1024000</v>
      </c>
      <c r="AB53" s="262">
        <f t="shared" si="49"/>
        <v>2048000</v>
      </c>
      <c r="AC53" s="262">
        <f t="shared" si="49"/>
        <v>4096000</v>
      </c>
      <c r="AD53" s="262">
        <f t="shared" si="49"/>
        <v>8192000</v>
      </c>
      <c r="AE53" s="262">
        <f t="shared" si="49"/>
        <v>16384000</v>
      </c>
      <c r="AF53" s="262">
        <f t="shared" si="49"/>
        <v>32768000</v>
      </c>
      <c r="AG53" s="262">
        <f t="shared" si="49"/>
        <v>65536000</v>
      </c>
      <c r="AH53" s="173">
        <f t="shared" ref="AH53" si="50">AG53*2</f>
        <v>131072000</v>
      </c>
      <c r="AI53" s="173">
        <f t="shared" ref="AI53:AJ53" si="51">AH53*2</f>
        <v>262144000</v>
      </c>
      <c r="AJ53" s="173">
        <f t="shared" si="51"/>
        <v>524288000</v>
      </c>
      <c r="AK53" s="173">
        <f t="shared" ref="AK53" si="52">AI53*2</f>
        <v>524288000</v>
      </c>
      <c r="AL53" s="173">
        <f>AL29</f>
        <v>1392156000</v>
      </c>
      <c r="AM53" s="174">
        <f>AL53</f>
        <v>1392156000</v>
      </c>
    </row>
    <row r="54" spans="1:39" x14ac:dyDescent="0.25">
      <c r="A54" s="41" t="s">
        <v>156</v>
      </c>
      <c r="B54" s="16"/>
      <c r="C54" s="16"/>
      <c r="D54" s="16"/>
      <c r="E54" s="16"/>
      <c r="F54" s="16"/>
      <c r="G54" s="16"/>
      <c r="H54" s="16"/>
      <c r="I54" s="16"/>
      <c r="J54" s="16"/>
      <c r="K54" s="16"/>
      <c r="L54" s="180">
        <f>(L28-B25)/(LOG(L53/1)/LOG(2))</f>
        <v>7.1328266481677165</v>
      </c>
      <c r="M54" s="163">
        <f>(M28-$L$28)/(LOG(M53/$L$53)/LOG(2))</f>
        <v>4.7741551768942267</v>
      </c>
      <c r="N54" s="163">
        <f t="shared" ref="N54:AM54" si="53">(N28-$L$28)/(LOG(N53/$L$53)/LOG(2))</f>
        <v>5.1921095633020746</v>
      </c>
      <c r="O54" s="163">
        <f t="shared" si="53"/>
        <v>4.9130209635244562</v>
      </c>
      <c r="P54" s="163">
        <f t="shared" si="53"/>
        <v>4.5681877329756686</v>
      </c>
      <c r="Q54" s="163">
        <f t="shared" si="53"/>
        <v>4.5634778670485563</v>
      </c>
      <c r="R54" s="163">
        <f t="shared" si="53"/>
        <v>4.4573209497047444</v>
      </c>
      <c r="S54" s="163">
        <f t="shared" si="53"/>
        <v>4.3298901364730362</v>
      </c>
      <c r="T54" s="163">
        <f>(T28-$L$28)/(LOG(T53/$L$53)/LOG(2))</f>
        <v>4.508513703920614</v>
      </c>
      <c r="U54" s="163">
        <f t="shared" si="53"/>
        <v>4.8397198165418311</v>
      </c>
      <c r="V54" s="163">
        <f t="shared" si="53"/>
        <v>5.4423137689055636</v>
      </c>
      <c r="W54" s="163">
        <f t="shared" si="53"/>
        <v>5.9307474729131977</v>
      </c>
      <c r="X54" s="163">
        <f t="shared" si="53"/>
        <v>6.487944074734358</v>
      </c>
      <c r="Y54" s="163">
        <f t="shared" si="53"/>
        <v>7.1935597840300396</v>
      </c>
      <c r="Z54" s="172">
        <f t="shared" si="53"/>
        <v>7.824228736123624</v>
      </c>
      <c r="AA54" s="172">
        <f t="shared" si="53"/>
        <v>8.3671485171311364</v>
      </c>
      <c r="AB54" s="172">
        <f t="shared" si="53"/>
        <v>8.8424522105649981</v>
      </c>
      <c r="AC54" s="172">
        <f t="shared" si="53"/>
        <v>9.2620308725756466</v>
      </c>
      <c r="AD54" s="172">
        <f t="shared" si="53"/>
        <v>9.6351417199753744</v>
      </c>
      <c r="AE54" s="172">
        <f t="shared" si="53"/>
        <v>9.9690991040642647</v>
      </c>
      <c r="AF54" s="172">
        <f t="shared" ref="AF54" si="54">(AF28-$L$28)/(LOG(AF53/$L$53)/LOG(2))</f>
        <v>10.269758800926155</v>
      </c>
      <c r="AG54" s="172">
        <f t="shared" ref="AG54" si="55">(AG28-$L$28)/(LOG(AG53/$L$53)/LOG(2))</f>
        <v>10.541864320032907</v>
      </c>
      <c r="AH54" s="175">
        <f t="shared" ref="AH54" si="56">(AH28-$L$28)/(LOG(AH53/$L$53)/LOG(2))</f>
        <v>10.789299017207936</v>
      </c>
      <c r="AI54" s="175">
        <f t="shared" ref="AI54:AJ54" si="57">(AI28-$L$28)/(LOG(AI53/$L$53)/LOG(2))</f>
        <v>11.015272606967173</v>
      </c>
      <c r="AJ54" s="175">
        <f t="shared" si="57"/>
        <v>11.222461160915554</v>
      </c>
      <c r="AK54" s="175">
        <f t="shared" ref="AK54" si="58">(AK28-$L$28)/(LOG(AK53/$L$53)/LOG(2))</f>
        <v>11.222461160915554</v>
      </c>
      <c r="AL54" s="175">
        <f t="shared" si="53"/>
        <v>11.229874167181569</v>
      </c>
      <c r="AM54" s="176">
        <f t="shared" si="53"/>
        <v>13.428730647468869</v>
      </c>
    </row>
    <row r="55" spans="1:39" x14ac:dyDescent="0.25">
      <c r="A55" s="41" t="s">
        <v>200</v>
      </c>
      <c r="B55" s="16"/>
      <c r="C55" s="16"/>
      <c r="D55" s="16"/>
      <c r="E55" s="16"/>
      <c r="F55" s="16"/>
      <c r="G55" s="16"/>
      <c r="H55" s="16"/>
      <c r="I55" s="16"/>
      <c r="J55" s="16"/>
      <c r="K55" s="16"/>
      <c r="L55" s="274">
        <v>27</v>
      </c>
      <c r="M55" s="275">
        <v>58</v>
      </c>
      <c r="N55" s="275">
        <v>99</v>
      </c>
      <c r="O55" s="275">
        <v>221</v>
      </c>
      <c r="P55" s="275">
        <v>486</v>
      </c>
      <c r="Q55" s="275">
        <v>879</v>
      </c>
      <c r="R55" s="275">
        <v>1792</v>
      </c>
      <c r="S55" s="275">
        <v>3843</v>
      </c>
      <c r="T55" s="275">
        <v>6577</v>
      </c>
      <c r="U55" s="275">
        <v>13381</v>
      </c>
      <c r="V55" s="275">
        <v>23546</v>
      </c>
      <c r="W55" s="275">
        <v>43980</v>
      </c>
      <c r="X55" s="261">
        <v>69244</v>
      </c>
      <c r="Y55" s="261">
        <v>126431</v>
      </c>
      <c r="Z55" s="282"/>
      <c r="AA55" s="282"/>
      <c r="AB55" s="282"/>
      <c r="AC55" s="282"/>
      <c r="AD55" s="282"/>
      <c r="AE55" s="282"/>
      <c r="AF55" s="282"/>
      <c r="AG55" s="282"/>
      <c r="AH55" s="276"/>
      <c r="AI55" s="276"/>
      <c r="AJ55" s="276"/>
      <c r="AK55" s="276"/>
      <c r="AL55" s="276"/>
      <c r="AM55" s="277"/>
    </row>
    <row r="56" spans="1:39" x14ac:dyDescent="0.25">
      <c r="A56" s="41" t="s">
        <v>62</v>
      </c>
      <c r="B56" s="16"/>
      <c r="C56" s="16"/>
      <c r="D56" s="16"/>
      <c r="E56" s="16"/>
      <c r="F56" s="16"/>
      <c r="G56" s="16"/>
      <c r="H56" s="16"/>
      <c r="I56" s="16"/>
      <c r="J56" s="16"/>
      <c r="K56" s="16"/>
      <c r="L56" s="220">
        <f>L53-L57-L55</f>
        <v>3</v>
      </c>
      <c r="M56" s="139">
        <f t="shared" ref="M56:T56" si="59">M53-M57-M55</f>
        <v>4</v>
      </c>
      <c r="N56" s="139">
        <f t="shared" si="59"/>
        <v>13</v>
      </c>
      <c r="O56" s="139">
        <f t="shared" si="59"/>
        <v>23</v>
      </c>
      <c r="P56" s="139">
        <f t="shared" si="59"/>
        <v>40</v>
      </c>
      <c r="Q56" s="139">
        <f t="shared" si="59"/>
        <v>84</v>
      </c>
      <c r="R56" s="139">
        <f t="shared" si="59"/>
        <v>148</v>
      </c>
      <c r="S56" s="139">
        <f t="shared" si="59"/>
        <v>328</v>
      </c>
      <c r="T56" s="139">
        <f t="shared" si="59"/>
        <v>774</v>
      </c>
      <c r="U56" s="139">
        <f t="shared" ref="U56:V56" si="60">U53-U57-U55</f>
        <v>2463</v>
      </c>
      <c r="V56" s="139">
        <f t="shared" si="60"/>
        <v>8437</v>
      </c>
      <c r="W56" s="139">
        <f t="shared" ref="W56:X56" si="61">W53-W57-W55</f>
        <v>20969</v>
      </c>
      <c r="X56" s="139">
        <f t="shared" si="61"/>
        <v>51824</v>
      </c>
      <c r="Y56" s="139">
        <f t="shared" ref="Y56" si="62">Y53-Y57-Y55</f>
        <v>123848</v>
      </c>
      <c r="Z56" s="283">
        <v>187718</v>
      </c>
      <c r="AA56" s="283"/>
      <c r="AB56" s="283"/>
      <c r="AC56" s="283"/>
      <c r="AD56" s="283"/>
      <c r="AE56" s="283"/>
      <c r="AF56" s="283"/>
      <c r="AG56" s="283"/>
      <c r="AH56" s="101"/>
      <c r="AI56" s="101"/>
      <c r="AJ56" s="101"/>
      <c r="AK56" s="101"/>
      <c r="AL56" s="101"/>
      <c r="AM56" s="102"/>
    </row>
    <row r="57" spans="1:39" x14ac:dyDescent="0.25">
      <c r="A57" s="49" t="s">
        <v>43</v>
      </c>
      <c r="B57" s="38"/>
      <c r="C57" s="39"/>
      <c r="D57" s="39"/>
      <c r="E57" s="39"/>
      <c r="F57" s="39"/>
      <c r="G57" s="39"/>
      <c r="H57" s="39"/>
      <c r="I57" s="39"/>
      <c r="J57" s="39"/>
      <c r="K57" s="39"/>
      <c r="L57" s="278">
        <v>0</v>
      </c>
      <c r="M57" s="279">
        <v>0</v>
      </c>
      <c r="N57" s="280">
        <v>2</v>
      </c>
      <c r="O57" s="280">
        <v>5</v>
      </c>
      <c r="P57" s="280">
        <v>10</v>
      </c>
      <c r="Q57" s="280">
        <v>24</v>
      </c>
      <c r="R57" s="280">
        <v>58</v>
      </c>
      <c r="S57" s="280">
        <v>118</v>
      </c>
      <c r="T57" s="280">
        <v>249</v>
      </c>
      <c r="U57" s="280">
        <v>521</v>
      </c>
      <c r="V57" s="280">
        <v>1079</v>
      </c>
      <c r="W57" s="280">
        <v>2212</v>
      </c>
      <c r="X57" s="280">
        <v>3726</v>
      </c>
      <c r="Y57" s="280">
        <v>7207</v>
      </c>
      <c r="Z57" s="284">
        <v>11922</v>
      </c>
      <c r="AA57" s="284"/>
      <c r="AB57" s="284"/>
      <c r="AC57" s="284"/>
      <c r="AD57" s="284"/>
      <c r="AE57" s="284"/>
      <c r="AF57" s="284"/>
      <c r="AG57" s="284"/>
      <c r="AH57" s="81"/>
      <c r="AI57" s="81"/>
      <c r="AJ57" s="81"/>
      <c r="AK57" s="81"/>
      <c r="AL57" s="81"/>
      <c r="AM57" s="34"/>
    </row>
    <row r="58" spans="1:39" x14ac:dyDescent="0.25">
      <c r="B58" s="3"/>
      <c r="L58" s="35"/>
      <c r="M58" s="35"/>
      <c r="N58" s="35"/>
      <c r="O58" s="35"/>
      <c r="P58" s="35"/>
      <c r="Q58" s="35"/>
      <c r="R58" s="35"/>
      <c r="S58" s="35"/>
      <c r="T58" s="35"/>
      <c r="U58" s="35"/>
      <c r="V58" s="35"/>
      <c r="W58" s="35"/>
      <c r="X58" s="35"/>
      <c r="Y58" s="35"/>
      <c r="Z58" s="35"/>
      <c r="AA58" s="35"/>
      <c r="AB58" s="35"/>
      <c r="AC58" s="35"/>
    </row>
    <row r="59" spans="1:39" x14ac:dyDescent="0.25">
      <c r="A59" s="71" t="s">
        <v>48</v>
      </c>
      <c r="AC59" s="16"/>
    </row>
    <row r="60" spans="1:39" x14ac:dyDescent="0.25">
      <c r="A60" s="4" t="s">
        <v>0</v>
      </c>
      <c r="B60" s="179" t="s">
        <v>117</v>
      </c>
      <c r="C60" s="5" t="s">
        <v>3</v>
      </c>
      <c r="D60" s="179" t="s">
        <v>50</v>
      </c>
      <c r="E60" s="57" t="s">
        <v>2</v>
      </c>
      <c r="F60" s="58" t="s">
        <v>188</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5"/>
      <c r="AM60" s="47"/>
    </row>
    <row r="61" spans="1:39" x14ac:dyDescent="0.25">
      <c r="A61" s="41" t="s">
        <v>12</v>
      </c>
      <c r="B61" s="13">
        <f>'Population by Age - Wikipedia'!D23</f>
        <v>9.323168516819004E-3</v>
      </c>
      <c r="C61" s="12">
        <f>$B$15*B61</f>
        <v>12979304.989700677</v>
      </c>
      <c r="D61" s="22">
        <f>'Infection Rate by Age'!B4</f>
        <v>0.01</v>
      </c>
      <c r="E61" s="5"/>
      <c r="F61" s="16"/>
      <c r="G61" s="16"/>
      <c r="H61" s="16"/>
      <c r="I61" s="16"/>
      <c r="J61" s="16"/>
      <c r="K61" s="16"/>
      <c r="L61" s="18">
        <f t="shared" ref="L61:AL61" si="63">L$29*$D$61</f>
        <v>0.3125</v>
      </c>
      <c r="M61" s="19">
        <f t="shared" si="63"/>
        <v>0.625</v>
      </c>
      <c r="N61" s="19">
        <f t="shared" si="63"/>
        <v>1.25</v>
      </c>
      <c r="O61" s="19">
        <f t="shared" si="63"/>
        <v>2.5</v>
      </c>
      <c r="P61" s="19">
        <f t="shared" si="63"/>
        <v>5</v>
      </c>
      <c r="Q61" s="19">
        <f t="shared" si="63"/>
        <v>10</v>
      </c>
      <c r="R61" s="19">
        <f t="shared" si="63"/>
        <v>20</v>
      </c>
      <c r="S61" s="19">
        <f t="shared" si="63"/>
        <v>40</v>
      </c>
      <c r="T61" s="19">
        <f t="shared" si="63"/>
        <v>80</v>
      </c>
      <c r="U61" s="19">
        <f t="shared" si="63"/>
        <v>160</v>
      </c>
      <c r="V61" s="19">
        <f t="shared" si="63"/>
        <v>320</v>
      </c>
      <c r="W61" s="19">
        <f t="shared" si="63"/>
        <v>640</v>
      </c>
      <c r="X61" s="19">
        <f t="shared" si="63"/>
        <v>1280</v>
      </c>
      <c r="Y61" s="19">
        <f t="shared" si="63"/>
        <v>2560</v>
      </c>
      <c r="Z61" s="19">
        <f t="shared" si="63"/>
        <v>5120</v>
      </c>
      <c r="AA61" s="19">
        <f t="shared" si="63"/>
        <v>10240</v>
      </c>
      <c r="AB61" s="19">
        <f t="shared" si="63"/>
        <v>20480</v>
      </c>
      <c r="AC61" s="19">
        <f t="shared" si="63"/>
        <v>40960</v>
      </c>
      <c r="AD61" s="19">
        <f t="shared" si="63"/>
        <v>81920</v>
      </c>
      <c r="AE61" s="19">
        <f t="shared" si="63"/>
        <v>163840</v>
      </c>
      <c r="AF61" s="19">
        <f t="shared" si="63"/>
        <v>327680</v>
      </c>
      <c r="AG61" s="59">
        <f t="shared" si="63"/>
        <v>655360</v>
      </c>
      <c r="AH61" s="18">
        <f t="shared" si="63"/>
        <v>1310720</v>
      </c>
      <c r="AI61" s="19">
        <f t="shared" si="63"/>
        <v>2621440</v>
      </c>
      <c r="AJ61" s="19">
        <f t="shared" si="63"/>
        <v>5242880</v>
      </c>
      <c r="AK61" s="19">
        <f t="shared" si="63"/>
        <v>10485760</v>
      </c>
      <c r="AL61" s="59">
        <f t="shared" si="63"/>
        <v>13921560</v>
      </c>
      <c r="AM61" s="45"/>
    </row>
    <row r="62" spans="1:39" x14ac:dyDescent="0.25">
      <c r="A62" s="41"/>
      <c r="B62" s="6"/>
      <c r="C62" s="10"/>
      <c r="D62" s="8"/>
      <c r="E62" s="27">
        <v>0.14799999999999999</v>
      </c>
      <c r="F62" s="15">
        <v>7.9000000000000001E-2</v>
      </c>
      <c r="G62" s="10"/>
      <c r="H62" s="10"/>
      <c r="I62" s="10"/>
      <c r="J62" s="15"/>
      <c r="K62" s="10"/>
      <c r="L62" s="29">
        <f t="shared" ref="L62:AL62" si="64">L$29*$D$61*$E$62</f>
        <v>4.6249999999999999E-2</v>
      </c>
      <c r="M62" s="30">
        <f t="shared" si="64"/>
        <v>9.2499999999999999E-2</v>
      </c>
      <c r="N62" s="30">
        <f t="shared" si="64"/>
        <v>0.185</v>
      </c>
      <c r="O62" s="30">
        <f t="shared" si="64"/>
        <v>0.37</v>
      </c>
      <c r="P62" s="30">
        <f t="shared" si="64"/>
        <v>0.74</v>
      </c>
      <c r="Q62" s="30">
        <f t="shared" si="64"/>
        <v>1.48</v>
      </c>
      <c r="R62" s="30">
        <f t="shared" si="64"/>
        <v>2.96</v>
      </c>
      <c r="S62" s="30">
        <f t="shared" si="64"/>
        <v>5.92</v>
      </c>
      <c r="T62" s="30">
        <f t="shared" si="64"/>
        <v>11.84</v>
      </c>
      <c r="U62" s="30">
        <f t="shared" si="64"/>
        <v>23.68</v>
      </c>
      <c r="V62" s="30">
        <f t="shared" si="64"/>
        <v>47.36</v>
      </c>
      <c r="W62" s="30">
        <f t="shared" si="64"/>
        <v>94.72</v>
      </c>
      <c r="X62" s="30">
        <f t="shared" si="64"/>
        <v>189.44</v>
      </c>
      <c r="Y62" s="30">
        <f t="shared" si="64"/>
        <v>378.88</v>
      </c>
      <c r="Z62" s="30">
        <f t="shared" si="64"/>
        <v>757.76</v>
      </c>
      <c r="AA62" s="30">
        <f t="shared" si="64"/>
        <v>1515.52</v>
      </c>
      <c r="AB62" s="30">
        <f t="shared" si="64"/>
        <v>3031.04</v>
      </c>
      <c r="AC62" s="30">
        <f t="shared" si="64"/>
        <v>6062.08</v>
      </c>
      <c r="AD62" s="30">
        <f t="shared" si="64"/>
        <v>12124.16</v>
      </c>
      <c r="AE62" s="30">
        <f t="shared" si="64"/>
        <v>24248.32</v>
      </c>
      <c r="AF62" s="30">
        <f t="shared" si="64"/>
        <v>48496.639999999999</v>
      </c>
      <c r="AG62" s="68">
        <f t="shared" si="64"/>
        <v>96993.279999999999</v>
      </c>
      <c r="AH62" s="29">
        <f t="shared" si="64"/>
        <v>193986.56</v>
      </c>
      <c r="AI62" s="30">
        <f t="shared" si="64"/>
        <v>387973.12</v>
      </c>
      <c r="AJ62" s="30">
        <f t="shared" si="64"/>
        <v>775946.23999999999</v>
      </c>
      <c r="AK62" s="30">
        <f t="shared" si="64"/>
        <v>1551892.48</v>
      </c>
      <c r="AL62" s="68">
        <f t="shared" si="64"/>
        <v>2060390.88</v>
      </c>
      <c r="AM62" s="45"/>
    </row>
    <row r="63" spans="1:39" x14ac:dyDescent="0.25">
      <c r="A63" s="41" t="s">
        <v>13</v>
      </c>
      <c r="B63" s="6">
        <f>'Population by Age - Wikipedia'!D18</f>
        <v>2.3488646898463382E-2</v>
      </c>
      <c r="C63" s="10">
        <f t="shared" ref="C63:C77" si="65">$B$15*B63</f>
        <v>32699860.711577188</v>
      </c>
      <c r="D63" s="23">
        <f>'Infection Rate by Age'!B5</f>
        <v>2.9000000000000001E-2</v>
      </c>
      <c r="E63" s="17"/>
      <c r="F63" s="16"/>
      <c r="G63" s="16"/>
      <c r="H63" s="16"/>
      <c r="I63" s="16"/>
      <c r="J63" s="16"/>
      <c r="K63" s="16"/>
      <c r="L63" s="20">
        <f t="shared" ref="L63:AL63" si="66">L$29*$D$63</f>
        <v>0.90625</v>
      </c>
      <c r="M63" s="21">
        <f t="shared" si="66"/>
        <v>1.8125</v>
      </c>
      <c r="N63" s="21">
        <f t="shared" si="66"/>
        <v>3.625</v>
      </c>
      <c r="O63" s="21">
        <f t="shared" si="66"/>
        <v>7.25</v>
      </c>
      <c r="P63" s="21">
        <f t="shared" si="66"/>
        <v>14.5</v>
      </c>
      <c r="Q63" s="21">
        <f t="shared" si="66"/>
        <v>29</v>
      </c>
      <c r="R63" s="21">
        <f t="shared" si="66"/>
        <v>58</v>
      </c>
      <c r="S63" s="21">
        <f t="shared" si="66"/>
        <v>116</v>
      </c>
      <c r="T63" s="21">
        <f t="shared" si="66"/>
        <v>232</v>
      </c>
      <c r="U63" s="21">
        <f t="shared" si="66"/>
        <v>464</v>
      </c>
      <c r="V63" s="21">
        <f t="shared" si="66"/>
        <v>928</v>
      </c>
      <c r="W63" s="21">
        <f t="shared" si="66"/>
        <v>1856</v>
      </c>
      <c r="X63" s="21">
        <f t="shared" si="66"/>
        <v>3712</v>
      </c>
      <c r="Y63" s="21">
        <f t="shared" si="66"/>
        <v>7424</v>
      </c>
      <c r="Z63" s="21">
        <f t="shared" si="66"/>
        <v>14848</v>
      </c>
      <c r="AA63" s="21">
        <f t="shared" si="66"/>
        <v>29696</v>
      </c>
      <c r="AB63" s="21">
        <f t="shared" si="66"/>
        <v>59392</v>
      </c>
      <c r="AC63" s="21">
        <f t="shared" si="66"/>
        <v>118784</v>
      </c>
      <c r="AD63" s="21">
        <f t="shared" si="66"/>
        <v>237568</v>
      </c>
      <c r="AE63" s="21">
        <f t="shared" si="66"/>
        <v>475136</v>
      </c>
      <c r="AF63" s="21">
        <f t="shared" si="66"/>
        <v>950272</v>
      </c>
      <c r="AG63" s="69">
        <f t="shared" si="66"/>
        <v>1900544</v>
      </c>
      <c r="AH63" s="20">
        <f t="shared" si="66"/>
        <v>3801088</v>
      </c>
      <c r="AI63" s="21">
        <f t="shared" si="66"/>
        <v>7602176</v>
      </c>
      <c r="AJ63" s="21">
        <f t="shared" si="66"/>
        <v>15204352</v>
      </c>
      <c r="AK63" s="21">
        <f t="shared" si="66"/>
        <v>30408704</v>
      </c>
      <c r="AL63" s="69">
        <f t="shared" si="66"/>
        <v>40372524</v>
      </c>
      <c r="AM63" s="45"/>
    </row>
    <row r="64" spans="1:39" x14ac:dyDescent="0.25">
      <c r="A64" s="41"/>
      <c r="B64" s="6"/>
      <c r="C64" s="10"/>
      <c r="D64" s="8"/>
      <c r="E64" s="27">
        <v>0.08</v>
      </c>
      <c r="F64" s="15">
        <v>0.13200000000000001</v>
      </c>
      <c r="G64" s="10"/>
      <c r="H64" s="10"/>
      <c r="I64" s="10"/>
      <c r="J64" s="15"/>
      <c r="K64" s="10"/>
      <c r="L64" s="29">
        <f t="shared" ref="L64:AL64" si="67">L$29*$D$63*$E$64</f>
        <v>7.2499999999999995E-2</v>
      </c>
      <c r="M64" s="30">
        <f t="shared" si="67"/>
        <v>0.14499999999999999</v>
      </c>
      <c r="N64" s="30">
        <f t="shared" si="67"/>
        <v>0.28999999999999998</v>
      </c>
      <c r="O64" s="30">
        <f t="shared" si="67"/>
        <v>0.57999999999999996</v>
      </c>
      <c r="P64" s="30">
        <f t="shared" si="67"/>
        <v>1.1599999999999999</v>
      </c>
      <c r="Q64" s="30">
        <f t="shared" si="67"/>
        <v>2.3199999999999998</v>
      </c>
      <c r="R64" s="30">
        <f t="shared" si="67"/>
        <v>4.6399999999999997</v>
      </c>
      <c r="S64" s="30">
        <f t="shared" si="67"/>
        <v>9.2799999999999994</v>
      </c>
      <c r="T64" s="30">
        <f t="shared" si="67"/>
        <v>18.559999999999999</v>
      </c>
      <c r="U64" s="30">
        <f t="shared" si="67"/>
        <v>37.119999999999997</v>
      </c>
      <c r="V64" s="30">
        <f t="shared" si="67"/>
        <v>74.239999999999995</v>
      </c>
      <c r="W64" s="30">
        <f t="shared" si="67"/>
        <v>148.47999999999999</v>
      </c>
      <c r="X64" s="30">
        <f t="shared" si="67"/>
        <v>296.95999999999998</v>
      </c>
      <c r="Y64" s="30">
        <f t="shared" si="67"/>
        <v>593.91999999999996</v>
      </c>
      <c r="Z64" s="30">
        <f t="shared" si="67"/>
        <v>1187.8399999999999</v>
      </c>
      <c r="AA64" s="30">
        <f t="shared" si="67"/>
        <v>2375.6799999999998</v>
      </c>
      <c r="AB64" s="30">
        <f t="shared" si="67"/>
        <v>4751.3599999999997</v>
      </c>
      <c r="AC64" s="30">
        <f t="shared" si="67"/>
        <v>9502.7199999999993</v>
      </c>
      <c r="AD64" s="30">
        <f t="shared" si="67"/>
        <v>19005.439999999999</v>
      </c>
      <c r="AE64" s="30">
        <f t="shared" si="67"/>
        <v>38010.879999999997</v>
      </c>
      <c r="AF64" s="30">
        <f t="shared" si="67"/>
        <v>76021.759999999995</v>
      </c>
      <c r="AG64" s="68">
        <f t="shared" si="67"/>
        <v>152043.51999999999</v>
      </c>
      <c r="AH64" s="29">
        <f t="shared" si="67"/>
        <v>304087.03999999998</v>
      </c>
      <c r="AI64" s="30">
        <f t="shared" si="67"/>
        <v>608174.07999999996</v>
      </c>
      <c r="AJ64" s="30">
        <f t="shared" si="67"/>
        <v>1216348.1599999999</v>
      </c>
      <c r="AK64" s="30">
        <f t="shared" si="67"/>
        <v>2432696.3199999998</v>
      </c>
      <c r="AL64" s="68">
        <f t="shared" si="67"/>
        <v>3229801.92</v>
      </c>
      <c r="AM64" s="45"/>
    </row>
    <row r="65" spans="1:39" x14ac:dyDescent="0.25">
      <c r="A65" s="41" t="s">
        <v>14</v>
      </c>
      <c r="B65" s="6">
        <f>'Population by Age - Wikipedia'!D16</f>
        <v>5.2953236529497287E-2</v>
      </c>
      <c r="C65" s="10">
        <f t="shared" si="65"/>
        <v>73719165.953958824</v>
      </c>
      <c r="D65" s="23">
        <f>'Infection Rate by Age'!B6</f>
        <v>0.121</v>
      </c>
      <c r="E65" s="17"/>
      <c r="F65" s="10"/>
      <c r="G65" s="10"/>
      <c r="H65" s="10"/>
      <c r="I65" s="10"/>
      <c r="J65" s="10"/>
      <c r="K65" s="10"/>
      <c r="L65" s="20">
        <f t="shared" ref="L65:AL65" si="68">L$29*$D$65</f>
        <v>3.78125</v>
      </c>
      <c r="M65" s="21">
        <f t="shared" si="68"/>
        <v>7.5625</v>
      </c>
      <c r="N65" s="21">
        <f t="shared" si="68"/>
        <v>15.125</v>
      </c>
      <c r="O65" s="21">
        <f t="shared" si="68"/>
        <v>30.25</v>
      </c>
      <c r="P65" s="21">
        <f t="shared" si="68"/>
        <v>60.5</v>
      </c>
      <c r="Q65" s="21">
        <f t="shared" si="68"/>
        <v>121</v>
      </c>
      <c r="R65" s="21">
        <f t="shared" si="68"/>
        <v>242</v>
      </c>
      <c r="S65" s="21">
        <f t="shared" si="68"/>
        <v>484</v>
      </c>
      <c r="T65" s="21">
        <f t="shared" si="68"/>
        <v>968</v>
      </c>
      <c r="U65" s="21">
        <f t="shared" si="68"/>
        <v>1936</v>
      </c>
      <c r="V65" s="21">
        <f t="shared" si="68"/>
        <v>3872</v>
      </c>
      <c r="W65" s="21">
        <f t="shared" si="68"/>
        <v>7744</v>
      </c>
      <c r="X65" s="21">
        <f t="shared" si="68"/>
        <v>15488</v>
      </c>
      <c r="Y65" s="21">
        <f t="shared" si="68"/>
        <v>30976</v>
      </c>
      <c r="Z65" s="21">
        <f t="shared" si="68"/>
        <v>61952</v>
      </c>
      <c r="AA65" s="21">
        <f t="shared" si="68"/>
        <v>123904</v>
      </c>
      <c r="AB65" s="21">
        <f t="shared" si="68"/>
        <v>247808</v>
      </c>
      <c r="AC65" s="21">
        <f t="shared" si="68"/>
        <v>495616</v>
      </c>
      <c r="AD65" s="21">
        <f t="shared" si="68"/>
        <v>991232</v>
      </c>
      <c r="AE65" s="21">
        <f t="shared" si="68"/>
        <v>1982464</v>
      </c>
      <c r="AF65" s="21">
        <f t="shared" si="68"/>
        <v>3964928</v>
      </c>
      <c r="AG65" s="69">
        <f t="shared" si="68"/>
        <v>7929856</v>
      </c>
      <c r="AH65" s="20">
        <f t="shared" si="68"/>
        <v>15859712</v>
      </c>
      <c r="AI65" s="21">
        <f t="shared" si="68"/>
        <v>31719424</v>
      </c>
      <c r="AJ65" s="21">
        <f t="shared" si="68"/>
        <v>63438848</v>
      </c>
      <c r="AK65" s="21">
        <f t="shared" si="68"/>
        <v>126877696</v>
      </c>
      <c r="AL65" s="69">
        <f t="shared" si="68"/>
        <v>168450876</v>
      </c>
      <c r="AM65" s="45"/>
    </row>
    <row r="66" spans="1:39" x14ac:dyDescent="0.25">
      <c r="A66" s="41"/>
      <c r="B66" s="6"/>
      <c r="C66" s="10"/>
      <c r="D66" s="8"/>
      <c r="E66" s="27">
        <v>3.5999999999999997E-2</v>
      </c>
      <c r="F66" s="15">
        <v>0.23699999999999999</v>
      </c>
      <c r="G66" s="10"/>
      <c r="H66" s="10"/>
      <c r="I66" s="10"/>
      <c r="J66" s="15"/>
      <c r="K66" s="10"/>
      <c r="L66" s="29">
        <f t="shared" ref="L66:AL66" si="69">L$29*$D$65*$E$66</f>
        <v>0.136125</v>
      </c>
      <c r="M66" s="30">
        <f t="shared" si="69"/>
        <v>0.27224999999999999</v>
      </c>
      <c r="N66" s="30">
        <f t="shared" si="69"/>
        <v>0.54449999999999998</v>
      </c>
      <c r="O66" s="30">
        <f t="shared" si="69"/>
        <v>1.089</v>
      </c>
      <c r="P66" s="30">
        <f t="shared" si="69"/>
        <v>2.1779999999999999</v>
      </c>
      <c r="Q66" s="30">
        <f t="shared" si="69"/>
        <v>4.3559999999999999</v>
      </c>
      <c r="R66" s="30">
        <f t="shared" si="69"/>
        <v>8.7119999999999997</v>
      </c>
      <c r="S66" s="30">
        <f t="shared" si="69"/>
        <v>17.423999999999999</v>
      </c>
      <c r="T66" s="30">
        <f t="shared" si="69"/>
        <v>34.847999999999999</v>
      </c>
      <c r="U66" s="30">
        <f t="shared" si="69"/>
        <v>69.695999999999998</v>
      </c>
      <c r="V66" s="30">
        <f t="shared" si="69"/>
        <v>139.392</v>
      </c>
      <c r="W66" s="30">
        <f t="shared" si="69"/>
        <v>278.78399999999999</v>
      </c>
      <c r="X66" s="30">
        <f t="shared" si="69"/>
        <v>557.56799999999998</v>
      </c>
      <c r="Y66" s="30">
        <f t="shared" si="69"/>
        <v>1115.136</v>
      </c>
      <c r="Z66" s="30">
        <f t="shared" si="69"/>
        <v>2230.2719999999999</v>
      </c>
      <c r="AA66" s="30">
        <f t="shared" si="69"/>
        <v>4460.5439999999999</v>
      </c>
      <c r="AB66" s="30">
        <f t="shared" si="69"/>
        <v>8921.0879999999997</v>
      </c>
      <c r="AC66" s="30">
        <f t="shared" si="69"/>
        <v>17842.175999999999</v>
      </c>
      <c r="AD66" s="30">
        <f t="shared" si="69"/>
        <v>35684.351999999999</v>
      </c>
      <c r="AE66" s="30">
        <f t="shared" si="69"/>
        <v>71368.703999999998</v>
      </c>
      <c r="AF66" s="30">
        <f t="shared" si="69"/>
        <v>142737.408</v>
      </c>
      <c r="AG66" s="68">
        <f t="shared" si="69"/>
        <v>285474.81599999999</v>
      </c>
      <c r="AH66" s="29">
        <f t="shared" si="69"/>
        <v>570949.63199999998</v>
      </c>
      <c r="AI66" s="30">
        <f t="shared" si="69"/>
        <v>1141899.264</v>
      </c>
      <c r="AJ66" s="30">
        <f t="shared" si="69"/>
        <v>2283798.5279999999</v>
      </c>
      <c r="AK66" s="30">
        <f t="shared" si="69"/>
        <v>4567597.0559999999</v>
      </c>
      <c r="AL66" s="68">
        <f t="shared" si="69"/>
        <v>6064231.5359999994</v>
      </c>
      <c r="AM66" s="45"/>
    </row>
    <row r="67" spans="1:39" x14ac:dyDescent="0.25">
      <c r="A67" s="41" t="s">
        <v>15</v>
      </c>
      <c r="B67" s="6">
        <f>'Population by Age - Wikipedia'!D14</f>
        <v>7.2853736141516481E-2</v>
      </c>
      <c r="C67" s="10">
        <f t="shared" si="65"/>
        <v>101423765.89182901</v>
      </c>
      <c r="D67" s="23">
        <f>'Infection Rate by Age'!B7</f>
        <v>0.159</v>
      </c>
      <c r="E67" s="17"/>
      <c r="F67" s="10"/>
      <c r="G67" s="10"/>
      <c r="H67" s="10"/>
      <c r="I67" s="10"/>
      <c r="J67" s="10"/>
      <c r="K67" s="10"/>
      <c r="L67" s="20">
        <f t="shared" ref="L67:AL67" si="70">L$29*$D$67</f>
        <v>4.96875</v>
      </c>
      <c r="M67" s="21">
        <f t="shared" si="70"/>
        <v>9.9375</v>
      </c>
      <c r="N67" s="21">
        <f t="shared" si="70"/>
        <v>19.875</v>
      </c>
      <c r="O67" s="21">
        <f t="shared" si="70"/>
        <v>39.75</v>
      </c>
      <c r="P67" s="21">
        <f t="shared" si="70"/>
        <v>79.5</v>
      </c>
      <c r="Q67" s="21">
        <f t="shared" si="70"/>
        <v>159</v>
      </c>
      <c r="R67" s="21">
        <f t="shared" si="70"/>
        <v>318</v>
      </c>
      <c r="S67" s="21">
        <f t="shared" si="70"/>
        <v>636</v>
      </c>
      <c r="T67" s="21">
        <f t="shared" si="70"/>
        <v>1272</v>
      </c>
      <c r="U67" s="21">
        <f t="shared" si="70"/>
        <v>2544</v>
      </c>
      <c r="V67" s="21">
        <f t="shared" si="70"/>
        <v>5088</v>
      </c>
      <c r="W67" s="21">
        <f t="shared" si="70"/>
        <v>10176</v>
      </c>
      <c r="X67" s="21">
        <f t="shared" si="70"/>
        <v>20352</v>
      </c>
      <c r="Y67" s="21">
        <f t="shared" si="70"/>
        <v>40704</v>
      </c>
      <c r="Z67" s="21">
        <f t="shared" si="70"/>
        <v>81408</v>
      </c>
      <c r="AA67" s="21">
        <f t="shared" si="70"/>
        <v>162816</v>
      </c>
      <c r="AB67" s="21">
        <f t="shared" si="70"/>
        <v>325632</v>
      </c>
      <c r="AC67" s="21">
        <f t="shared" si="70"/>
        <v>651264</v>
      </c>
      <c r="AD67" s="21">
        <f t="shared" si="70"/>
        <v>1302528</v>
      </c>
      <c r="AE67" s="21">
        <f t="shared" si="70"/>
        <v>2605056</v>
      </c>
      <c r="AF67" s="21">
        <f t="shared" si="70"/>
        <v>5210112</v>
      </c>
      <c r="AG67" s="69">
        <f t="shared" si="70"/>
        <v>10420224</v>
      </c>
      <c r="AH67" s="20">
        <f t="shared" si="70"/>
        <v>20840448</v>
      </c>
      <c r="AI67" s="21">
        <f t="shared" si="70"/>
        <v>41680896</v>
      </c>
      <c r="AJ67" s="21">
        <f t="shared" si="70"/>
        <v>83361792</v>
      </c>
      <c r="AK67" s="21">
        <f t="shared" si="70"/>
        <v>166723584</v>
      </c>
      <c r="AL67" s="69">
        <f t="shared" si="70"/>
        <v>221352804</v>
      </c>
      <c r="AM67" s="45"/>
    </row>
    <row r="68" spans="1:39" x14ac:dyDescent="0.25">
      <c r="A68" s="41"/>
      <c r="B68" s="6"/>
      <c r="C68" s="10"/>
      <c r="D68" s="8"/>
      <c r="E68" s="27">
        <v>1.2999999999999999E-2</v>
      </c>
      <c r="F68" s="15">
        <v>0.28899999999999998</v>
      </c>
      <c r="G68" s="10"/>
      <c r="H68" s="10"/>
      <c r="I68" s="10"/>
      <c r="J68" s="15"/>
      <c r="K68" s="10"/>
      <c r="L68" s="29">
        <f t="shared" ref="L68:AL68" si="71">L$29*$D$67*$E$68</f>
        <v>6.4593749999999991E-2</v>
      </c>
      <c r="M68" s="30">
        <f t="shared" si="71"/>
        <v>0.12918749999999998</v>
      </c>
      <c r="N68" s="30">
        <f t="shared" si="71"/>
        <v>0.25837499999999997</v>
      </c>
      <c r="O68" s="30">
        <f t="shared" si="71"/>
        <v>0.51674999999999993</v>
      </c>
      <c r="P68" s="30">
        <f t="shared" si="71"/>
        <v>1.0334999999999999</v>
      </c>
      <c r="Q68" s="30">
        <f t="shared" si="71"/>
        <v>2.0669999999999997</v>
      </c>
      <c r="R68" s="30">
        <f t="shared" si="71"/>
        <v>4.1339999999999995</v>
      </c>
      <c r="S68" s="30">
        <f t="shared" si="71"/>
        <v>8.2679999999999989</v>
      </c>
      <c r="T68" s="30">
        <f t="shared" si="71"/>
        <v>16.535999999999998</v>
      </c>
      <c r="U68" s="30">
        <f t="shared" si="71"/>
        <v>33.071999999999996</v>
      </c>
      <c r="V68" s="30">
        <f t="shared" si="71"/>
        <v>66.143999999999991</v>
      </c>
      <c r="W68" s="30">
        <f t="shared" si="71"/>
        <v>132.28799999999998</v>
      </c>
      <c r="X68" s="30">
        <f t="shared" si="71"/>
        <v>264.57599999999996</v>
      </c>
      <c r="Y68" s="30">
        <f t="shared" si="71"/>
        <v>529.15199999999993</v>
      </c>
      <c r="Z68" s="30">
        <f t="shared" si="71"/>
        <v>1058.3039999999999</v>
      </c>
      <c r="AA68" s="30">
        <f t="shared" si="71"/>
        <v>2116.6079999999997</v>
      </c>
      <c r="AB68" s="30">
        <f t="shared" si="71"/>
        <v>4233.2159999999994</v>
      </c>
      <c r="AC68" s="30">
        <f t="shared" si="71"/>
        <v>8466.4319999999989</v>
      </c>
      <c r="AD68" s="30">
        <f t="shared" si="71"/>
        <v>16932.863999999998</v>
      </c>
      <c r="AE68" s="30">
        <f t="shared" si="71"/>
        <v>33865.727999999996</v>
      </c>
      <c r="AF68" s="30">
        <f t="shared" si="71"/>
        <v>67731.455999999991</v>
      </c>
      <c r="AG68" s="68">
        <f t="shared" si="71"/>
        <v>135462.91199999998</v>
      </c>
      <c r="AH68" s="29">
        <f t="shared" si="71"/>
        <v>270925.82399999996</v>
      </c>
      <c r="AI68" s="30">
        <f t="shared" si="71"/>
        <v>541851.64799999993</v>
      </c>
      <c r="AJ68" s="30">
        <f t="shared" si="71"/>
        <v>1083703.2959999999</v>
      </c>
      <c r="AK68" s="30">
        <f t="shared" si="71"/>
        <v>2167406.5919999997</v>
      </c>
      <c r="AL68" s="68">
        <f t="shared" si="71"/>
        <v>2877586.452</v>
      </c>
      <c r="AM68" s="45"/>
    </row>
    <row r="69" spans="1:39" x14ac:dyDescent="0.25">
      <c r="A69" s="41" t="s">
        <v>16</v>
      </c>
      <c r="B69" s="6">
        <f>'Population by Age - Wikipedia'!D12</f>
        <v>0.11129032093824395</v>
      </c>
      <c r="C69" s="10">
        <f t="shared" si="65"/>
        <v>154933488.03610194</v>
      </c>
      <c r="D69" s="23">
        <f>'Infection Rate by Age'!B8</f>
        <v>0.17100000000000001</v>
      </c>
      <c r="E69" s="17"/>
      <c r="F69" s="10"/>
      <c r="G69" s="10"/>
      <c r="H69" s="10"/>
      <c r="I69" s="10"/>
      <c r="J69" s="10"/>
      <c r="K69" s="10"/>
      <c r="L69" s="20">
        <f t="shared" ref="L69:AL69" si="72">L$29*$D$69</f>
        <v>5.34375</v>
      </c>
      <c r="M69" s="21">
        <f t="shared" si="72"/>
        <v>10.6875</v>
      </c>
      <c r="N69" s="21">
        <f t="shared" si="72"/>
        <v>21.375</v>
      </c>
      <c r="O69" s="21">
        <f t="shared" si="72"/>
        <v>42.75</v>
      </c>
      <c r="P69" s="21">
        <f t="shared" si="72"/>
        <v>85.5</v>
      </c>
      <c r="Q69" s="21">
        <f t="shared" si="72"/>
        <v>171</v>
      </c>
      <c r="R69" s="21">
        <f t="shared" si="72"/>
        <v>342</v>
      </c>
      <c r="S69" s="21">
        <f t="shared" si="72"/>
        <v>684</v>
      </c>
      <c r="T69" s="21">
        <f t="shared" si="72"/>
        <v>1368</v>
      </c>
      <c r="U69" s="21">
        <f t="shared" si="72"/>
        <v>2736</v>
      </c>
      <c r="V69" s="21">
        <f t="shared" si="72"/>
        <v>5472</v>
      </c>
      <c r="W69" s="21">
        <f t="shared" si="72"/>
        <v>10944</v>
      </c>
      <c r="X69" s="21">
        <f t="shared" si="72"/>
        <v>21888</v>
      </c>
      <c r="Y69" s="21">
        <f t="shared" si="72"/>
        <v>43776</v>
      </c>
      <c r="Z69" s="21">
        <f t="shared" si="72"/>
        <v>87552</v>
      </c>
      <c r="AA69" s="21">
        <f t="shared" si="72"/>
        <v>175104</v>
      </c>
      <c r="AB69" s="21">
        <f t="shared" si="72"/>
        <v>350208</v>
      </c>
      <c r="AC69" s="21">
        <f t="shared" si="72"/>
        <v>700416</v>
      </c>
      <c r="AD69" s="21">
        <f t="shared" si="72"/>
        <v>1400832</v>
      </c>
      <c r="AE69" s="21">
        <f t="shared" si="72"/>
        <v>2801664</v>
      </c>
      <c r="AF69" s="21">
        <f t="shared" si="72"/>
        <v>5603328</v>
      </c>
      <c r="AG69" s="69">
        <f t="shared" si="72"/>
        <v>11206656</v>
      </c>
      <c r="AH69" s="20">
        <f t="shared" si="72"/>
        <v>22413312</v>
      </c>
      <c r="AI69" s="21">
        <f t="shared" si="72"/>
        <v>44826624</v>
      </c>
      <c r="AJ69" s="21">
        <f t="shared" si="72"/>
        <v>89653248</v>
      </c>
      <c r="AK69" s="21">
        <f t="shared" si="72"/>
        <v>179306496</v>
      </c>
      <c r="AL69" s="69">
        <f t="shared" si="72"/>
        <v>238058676.00000003</v>
      </c>
      <c r="AM69" s="45"/>
    </row>
    <row r="70" spans="1:39" x14ac:dyDescent="0.25">
      <c r="A70" s="41"/>
      <c r="B70" s="6"/>
      <c r="C70" s="10"/>
      <c r="D70" s="8"/>
      <c r="E70" s="27">
        <v>4.0000000000000001E-3</v>
      </c>
      <c r="F70" s="15">
        <v>0.21099999999999999</v>
      </c>
      <c r="G70" s="10"/>
      <c r="H70" s="10"/>
      <c r="I70" s="10"/>
      <c r="J70" s="15"/>
      <c r="K70" s="10"/>
      <c r="L70" s="29">
        <f t="shared" ref="L70:AL70" si="73">L$29*$D$69*$E$70</f>
        <v>2.1375000000000002E-2</v>
      </c>
      <c r="M70" s="30">
        <f t="shared" si="73"/>
        <v>4.2750000000000003E-2</v>
      </c>
      <c r="N70" s="30">
        <f t="shared" si="73"/>
        <v>8.5500000000000007E-2</v>
      </c>
      <c r="O70" s="30">
        <f t="shared" si="73"/>
        <v>0.17100000000000001</v>
      </c>
      <c r="P70" s="30">
        <f t="shared" si="73"/>
        <v>0.34200000000000003</v>
      </c>
      <c r="Q70" s="30">
        <f t="shared" si="73"/>
        <v>0.68400000000000005</v>
      </c>
      <c r="R70" s="30">
        <f t="shared" si="73"/>
        <v>1.3680000000000001</v>
      </c>
      <c r="S70" s="30">
        <f t="shared" si="73"/>
        <v>2.7360000000000002</v>
      </c>
      <c r="T70" s="30">
        <f t="shared" si="73"/>
        <v>5.4720000000000004</v>
      </c>
      <c r="U70" s="30">
        <f t="shared" si="73"/>
        <v>10.944000000000001</v>
      </c>
      <c r="V70" s="30">
        <f t="shared" si="73"/>
        <v>21.888000000000002</v>
      </c>
      <c r="W70" s="30">
        <f t="shared" si="73"/>
        <v>43.776000000000003</v>
      </c>
      <c r="X70" s="30">
        <f t="shared" si="73"/>
        <v>87.552000000000007</v>
      </c>
      <c r="Y70" s="30">
        <f t="shared" si="73"/>
        <v>175.10400000000001</v>
      </c>
      <c r="Z70" s="30">
        <f t="shared" si="73"/>
        <v>350.20800000000003</v>
      </c>
      <c r="AA70" s="30">
        <f t="shared" si="73"/>
        <v>700.41600000000005</v>
      </c>
      <c r="AB70" s="30">
        <f t="shared" si="73"/>
        <v>1400.8320000000001</v>
      </c>
      <c r="AC70" s="30">
        <f t="shared" si="73"/>
        <v>2801.6640000000002</v>
      </c>
      <c r="AD70" s="30">
        <f t="shared" si="73"/>
        <v>5603.3280000000004</v>
      </c>
      <c r="AE70" s="30">
        <f t="shared" si="73"/>
        <v>11206.656000000001</v>
      </c>
      <c r="AF70" s="30">
        <f t="shared" si="73"/>
        <v>22413.312000000002</v>
      </c>
      <c r="AG70" s="68">
        <f t="shared" si="73"/>
        <v>44826.624000000003</v>
      </c>
      <c r="AH70" s="29">
        <f t="shared" si="73"/>
        <v>89653.248000000007</v>
      </c>
      <c r="AI70" s="30">
        <f t="shared" si="73"/>
        <v>179306.49600000001</v>
      </c>
      <c r="AJ70" s="30">
        <f t="shared" si="73"/>
        <v>358612.99200000003</v>
      </c>
      <c r="AK70" s="30">
        <f t="shared" si="73"/>
        <v>717225.98400000005</v>
      </c>
      <c r="AL70" s="68">
        <f t="shared" si="73"/>
        <v>952234.70400000014</v>
      </c>
      <c r="AM70" s="45"/>
    </row>
    <row r="71" spans="1:39" x14ac:dyDescent="0.25">
      <c r="A71" s="41" t="s">
        <v>17</v>
      </c>
      <c r="B71" s="6">
        <f>'Population by Age - Wikipedia'!D10</f>
        <v>0.14348178625853722</v>
      </c>
      <c r="C71" s="10">
        <f t="shared" si="65"/>
        <v>199749029.63054013</v>
      </c>
      <c r="D71" s="23">
        <f>'Infection Rate by Age'!B9</f>
        <v>0.219</v>
      </c>
      <c r="E71" s="17"/>
      <c r="F71" s="10"/>
      <c r="G71" s="14"/>
      <c r="H71" s="14"/>
      <c r="I71" s="14"/>
      <c r="J71" s="10"/>
      <c r="K71" s="10"/>
      <c r="L71" s="20">
        <f t="shared" ref="L71:AL71" si="74">L$29*$D$71</f>
        <v>6.84375</v>
      </c>
      <c r="M71" s="21">
        <f t="shared" si="74"/>
        <v>13.6875</v>
      </c>
      <c r="N71" s="21">
        <f t="shared" si="74"/>
        <v>27.375</v>
      </c>
      <c r="O71" s="21">
        <f t="shared" si="74"/>
        <v>54.75</v>
      </c>
      <c r="P71" s="21">
        <f t="shared" si="74"/>
        <v>109.5</v>
      </c>
      <c r="Q71" s="21">
        <f t="shared" si="74"/>
        <v>219</v>
      </c>
      <c r="R71" s="21">
        <f t="shared" si="74"/>
        <v>438</v>
      </c>
      <c r="S71" s="21">
        <f t="shared" si="74"/>
        <v>876</v>
      </c>
      <c r="T71" s="21">
        <f t="shared" si="74"/>
        <v>1752</v>
      </c>
      <c r="U71" s="21">
        <f t="shared" si="74"/>
        <v>3504</v>
      </c>
      <c r="V71" s="21">
        <f t="shared" si="74"/>
        <v>7008</v>
      </c>
      <c r="W71" s="21">
        <f t="shared" si="74"/>
        <v>14016</v>
      </c>
      <c r="X71" s="21">
        <f t="shared" si="74"/>
        <v>28032</v>
      </c>
      <c r="Y71" s="21">
        <f t="shared" si="74"/>
        <v>56064</v>
      </c>
      <c r="Z71" s="21">
        <f t="shared" si="74"/>
        <v>112128</v>
      </c>
      <c r="AA71" s="21">
        <f t="shared" si="74"/>
        <v>224256</v>
      </c>
      <c r="AB71" s="21">
        <f t="shared" si="74"/>
        <v>448512</v>
      </c>
      <c r="AC71" s="21">
        <f t="shared" si="74"/>
        <v>897024</v>
      </c>
      <c r="AD71" s="21">
        <f t="shared" si="74"/>
        <v>1794048</v>
      </c>
      <c r="AE71" s="21">
        <f t="shared" si="74"/>
        <v>3588096</v>
      </c>
      <c r="AF71" s="21">
        <f t="shared" si="74"/>
        <v>7176192</v>
      </c>
      <c r="AG71" s="69">
        <f t="shared" si="74"/>
        <v>14352384</v>
      </c>
      <c r="AH71" s="20">
        <f t="shared" si="74"/>
        <v>28704768</v>
      </c>
      <c r="AI71" s="21">
        <f t="shared" si="74"/>
        <v>57409536</v>
      </c>
      <c r="AJ71" s="21">
        <f t="shared" si="74"/>
        <v>114819072</v>
      </c>
      <c r="AK71" s="21">
        <f t="shared" si="74"/>
        <v>229638144</v>
      </c>
      <c r="AL71" s="69">
        <f t="shared" si="74"/>
        <v>304882164</v>
      </c>
      <c r="AM71" s="45"/>
    </row>
    <row r="72" spans="1:39" x14ac:dyDescent="0.25">
      <c r="A72" s="41"/>
      <c r="B72" s="6"/>
      <c r="C72" s="10"/>
      <c r="D72" s="8"/>
      <c r="E72" s="27">
        <v>2E-3</v>
      </c>
      <c r="F72" s="15">
        <v>2.5999999999999999E-2</v>
      </c>
      <c r="G72" s="10"/>
      <c r="H72" s="10"/>
      <c r="I72" s="10"/>
      <c r="J72" s="15"/>
      <c r="K72" s="10"/>
      <c r="L72" s="29">
        <f t="shared" ref="L72:AL72" si="75">L$29*$D$71*$E$72</f>
        <v>1.36875E-2</v>
      </c>
      <c r="M72" s="30">
        <f t="shared" si="75"/>
        <v>2.7375E-2</v>
      </c>
      <c r="N72" s="30">
        <f t="shared" si="75"/>
        <v>5.475E-2</v>
      </c>
      <c r="O72" s="30">
        <f t="shared" si="75"/>
        <v>0.1095</v>
      </c>
      <c r="P72" s="30">
        <f t="shared" si="75"/>
        <v>0.219</v>
      </c>
      <c r="Q72" s="30">
        <f t="shared" si="75"/>
        <v>0.438</v>
      </c>
      <c r="R72" s="30">
        <f t="shared" si="75"/>
        <v>0.876</v>
      </c>
      <c r="S72" s="30">
        <f t="shared" si="75"/>
        <v>1.752</v>
      </c>
      <c r="T72" s="30">
        <f t="shared" si="75"/>
        <v>3.504</v>
      </c>
      <c r="U72" s="30">
        <f t="shared" si="75"/>
        <v>7.008</v>
      </c>
      <c r="V72" s="30">
        <f t="shared" si="75"/>
        <v>14.016</v>
      </c>
      <c r="W72" s="30">
        <f t="shared" si="75"/>
        <v>28.032</v>
      </c>
      <c r="X72" s="30">
        <f t="shared" si="75"/>
        <v>56.064</v>
      </c>
      <c r="Y72" s="30">
        <f t="shared" si="75"/>
        <v>112.128</v>
      </c>
      <c r="Z72" s="30">
        <f t="shared" si="75"/>
        <v>224.256</v>
      </c>
      <c r="AA72" s="30">
        <f t="shared" si="75"/>
        <v>448.512</v>
      </c>
      <c r="AB72" s="30">
        <f t="shared" si="75"/>
        <v>897.024</v>
      </c>
      <c r="AC72" s="30">
        <f t="shared" si="75"/>
        <v>1794.048</v>
      </c>
      <c r="AD72" s="30">
        <f t="shared" si="75"/>
        <v>3588.096</v>
      </c>
      <c r="AE72" s="30">
        <f t="shared" si="75"/>
        <v>7176.192</v>
      </c>
      <c r="AF72" s="30">
        <f t="shared" si="75"/>
        <v>14352.384</v>
      </c>
      <c r="AG72" s="68">
        <f t="shared" si="75"/>
        <v>28704.768</v>
      </c>
      <c r="AH72" s="29">
        <f t="shared" si="75"/>
        <v>57409.536</v>
      </c>
      <c r="AI72" s="30">
        <f t="shared" si="75"/>
        <v>114819.072</v>
      </c>
      <c r="AJ72" s="30">
        <f t="shared" si="75"/>
        <v>229638.144</v>
      </c>
      <c r="AK72" s="30">
        <f t="shared" si="75"/>
        <v>459276.288</v>
      </c>
      <c r="AL72" s="68">
        <f t="shared" si="75"/>
        <v>609764.32799999998</v>
      </c>
      <c r="AM72" s="45"/>
    </row>
    <row r="73" spans="1:39" x14ac:dyDescent="0.25">
      <c r="A73" s="41" t="s">
        <v>18</v>
      </c>
      <c r="B73" s="6">
        <f>'Population by Age - Wikipedia'!D8</f>
        <v>0.17577512670206416</v>
      </c>
      <c r="C73" s="10">
        <f t="shared" si="65"/>
        <v>244706397.28903884</v>
      </c>
      <c r="D73" s="23">
        <f>'Infection Rate by Age'!B10</f>
        <v>0.23200000000000001</v>
      </c>
      <c r="E73" s="17"/>
      <c r="F73" s="10"/>
      <c r="G73" s="10"/>
      <c r="H73" s="10"/>
      <c r="I73" s="10"/>
      <c r="J73" s="10"/>
      <c r="K73" s="10"/>
      <c r="L73" s="20">
        <f t="shared" ref="L73:AL73" si="76">L$29*$D$73</f>
        <v>7.25</v>
      </c>
      <c r="M73" s="21">
        <f t="shared" si="76"/>
        <v>14.5</v>
      </c>
      <c r="N73" s="21">
        <f t="shared" si="76"/>
        <v>29</v>
      </c>
      <c r="O73" s="21">
        <f t="shared" si="76"/>
        <v>58</v>
      </c>
      <c r="P73" s="21">
        <f t="shared" si="76"/>
        <v>116</v>
      </c>
      <c r="Q73" s="21">
        <f t="shared" si="76"/>
        <v>232</v>
      </c>
      <c r="R73" s="21">
        <f t="shared" si="76"/>
        <v>464</v>
      </c>
      <c r="S73" s="21">
        <f t="shared" si="76"/>
        <v>928</v>
      </c>
      <c r="T73" s="21">
        <f t="shared" si="76"/>
        <v>1856</v>
      </c>
      <c r="U73" s="21">
        <f t="shared" si="76"/>
        <v>3712</v>
      </c>
      <c r="V73" s="21">
        <f t="shared" si="76"/>
        <v>7424</v>
      </c>
      <c r="W73" s="21">
        <f t="shared" si="76"/>
        <v>14848</v>
      </c>
      <c r="X73" s="21">
        <f t="shared" si="76"/>
        <v>29696</v>
      </c>
      <c r="Y73" s="21">
        <f t="shared" si="76"/>
        <v>59392</v>
      </c>
      <c r="Z73" s="21">
        <f t="shared" si="76"/>
        <v>118784</v>
      </c>
      <c r="AA73" s="21">
        <f t="shared" si="76"/>
        <v>237568</v>
      </c>
      <c r="AB73" s="21">
        <f t="shared" si="76"/>
        <v>475136</v>
      </c>
      <c r="AC73" s="21">
        <f t="shared" si="76"/>
        <v>950272</v>
      </c>
      <c r="AD73" s="21">
        <f t="shared" si="76"/>
        <v>1900544</v>
      </c>
      <c r="AE73" s="21">
        <f t="shared" si="76"/>
        <v>3801088</v>
      </c>
      <c r="AF73" s="21">
        <f t="shared" si="76"/>
        <v>7602176</v>
      </c>
      <c r="AG73" s="69">
        <f t="shared" si="76"/>
        <v>15204352</v>
      </c>
      <c r="AH73" s="20">
        <f t="shared" si="76"/>
        <v>30408704</v>
      </c>
      <c r="AI73" s="21">
        <f t="shared" si="76"/>
        <v>60817408</v>
      </c>
      <c r="AJ73" s="21">
        <f t="shared" si="76"/>
        <v>121634816</v>
      </c>
      <c r="AK73" s="21">
        <f t="shared" si="76"/>
        <v>243269632</v>
      </c>
      <c r="AL73" s="69">
        <f t="shared" si="76"/>
        <v>322980192</v>
      </c>
      <c r="AM73" s="45"/>
    </row>
    <row r="74" spans="1:39" x14ac:dyDescent="0.25">
      <c r="A74" s="41"/>
      <c r="B74" s="6"/>
      <c r="C74" s="10"/>
      <c r="D74" s="8"/>
      <c r="E74" s="27">
        <v>2E-3</v>
      </c>
      <c r="F74" s="15">
        <v>2.5999999999999999E-2</v>
      </c>
      <c r="G74" s="10"/>
      <c r="H74" s="10"/>
      <c r="I74" s="10"/>
      <c r="J74" s="15"/>
      <c r="K74" s="10"/>
      <c r="L74" s="29">
        <f t="shared" ref="L74:AL74" si="77">L$29*$D$73*$E$74</f>
        <v>1.4500000000000001E-2</v>
      </c>
      <c r="M74" s="30">
        <f t="shared" si="77"/>
        <v>2.9000000000000001E-2</v>
      </c>
      <c r="N74" s="30">
        <f t="shared" si="77"/>
        <v>5.8000000000000003E-2</v>
      </c>
      <c r="O74" s="30">
        <f t="shared" si="77"/>
        <v>0.11600000000000001</v>
      </c>
      <c r="P74" s="30">
        <f t="shared" si="77"/>
        <v>0.23200000000000001</v>
      </c>
      <c r="Q74" s="30">
        <f t="shared" si="77"/>
        <v>0.46400000000000002</v>
      </c>
      <c r="R74" s="30">
        <f t="shared" si="77"/>
        <v>0.92800000000000005</v>
      </c>
      <c r="S74" s="30">
        <f t="shared" si="77"/>
        <v>1.8560000000000001</v>
      </c>
      <c r="T74" s="30">
        <f t="shared" si="77"/>
        <v>3.7120000000000002</v>
      </c>
      <c r="U74" s="30">
        <f t="shared" si="77"/>
        <v>7.4240000000000004</v>
      </c>
      <c r="V74" s="30">
        <f t="shared" si="77"/>
        <v>14.848000000000001</v>
      </c>
      <c r="W74" s="30">
        <f t="shared" si="77"/>
        <v>29.696000000000002</v>
      </c>
      <c r="X74" s="30">
        <f t="shared" si="77"/>
        <v>59.392000000000003</v>
      </c>
      <c r="Y74" s="30">
        <f t="shared" si="77"/>
        <v>118.78400000000001</v>
      </c>
      <c r="Z74" s="30">
        <f t="shared" si="77"/>
        <v>237.56800000000001</v>
      </c>
      <c r="AA74" s="30">
        <f t="shared" si="77"/>
        <v>475.13600000000002</v>
      </c>
      <c r="AB74" s="30">
        <f t="shared" si="77"/>
        <v>950.27200000000005</v>
      </c>
      <c r="AC74" s="30">
        <f t="shared" si="77"/>
        <v>1900.5440000000001</v>
      </c>
      <c r="AD74" s="30">
        <f t="shared" si="77"/>
        <v>3801.0880000000002</v>
      </c>
      <c r="AE74" s="30">
        <f t="shared" si="77"/>
        <v>7602.1760000000004</v>
      </c>
      <c r="AF74" s="30">
        <f t="shared" si="77"/>
        <v>15204.352000000001</v>
      </c>
      <c r="AG74" s="68">
        <f t="shared" si="77"/>
        <v>30408.704000000002</v>
      </c>
      <c r="AH74" s="29">
        <f t="shared" si="77"/>
        <v>60817.408000000003</v>
      </c>
      <c r="AI74" s="30">
        <f t="shared" si="77"/>
        <v>121634.81600000001</v>
      </c>
      <c r="AJ74" s="30">
        <f t="shared" si="77"/>
        <v>243269.63200000001</v>
      </c>
      <c r="AK74" s="30">
        <f t="shared" si="77"/>
        <v>486539.26400000002</v>
      </c>
      <c r="AL74" s="68">
        <f t="shared" si="77"/>
        <v>645960.38399999996</v>
      </c>
      <c r="AM74" s="45"/>
    </row>
    <row r="75" spans="1:39" x14ac:dyDescent="0.25">
      <c r="A75" s="42" t="s">
        <v>19</v>
      </c>
      <c r="B75" s="6">
        <f>'Population by Age - Wikipedia'!D6</f>
        <v>0.20913789496692137</v>
      </c>
      <c r="C75" s="10">
        <f t="shared" si="65"/>
        <v>291152575.30556941</v>
      </c>
      <c r="D75" s="23">
        <f>'Infection Rate by Age'!B11</f>
        <v>3.7999999999999999E-2</v>
      </c>
      <c r="E75" s="17"/>
      <c r="F75" s="10"/>
      <c r="G75" s="10"/>
      <c r="H75" s="10"/>
      <c r="I75" s="10"/>
      <c r="J75" s="10"/>
      <c r="K75" s="10"/>
      <c r="L75" s="20">
        <f t="shared" ref="L75:AL75" si="78">L$29*$D$75</f>
        <v>1.1875</v>
      </c>
      <c r="M75" s="21">
        <f t="shared" si="78"/>
        <v>2.375</v>
      </c>
      <c r="N75" s="21">
        <f t="shared" si="78"/>
        <v>4.75</v>
      </c>
      <c r="O75" s="21">
        <f t="shared" si="78"/>
        <v>9.5</v>
      </c>
      <c r="P75" s="21">
        <f t="shared" si="78"/>
        <v>19</v>
      </c>
      <c r="Q75" s="21">
        <f t="shared" si="78"/>
        <v>38</v>
      </c>
      <c r="R75" s="21">
        <f t="shared" si="78"/>
        <v>76</v>
      </c>
      <c r="S75" s="21">
        <f t="shared" si="78"/>
        <v>152</v>
      </c>
      <c r="T75" s="21">
        <f t="shared" si="78"/>
        <v>304</v>
      </c>
      <c r="U75" s="21">
        <f t="shared" si="78"/>
        <v>608</v>
      </c>
      <c r="V75" s="21">
        <f t="shared" si="78"/>
        <v>1216</v>
      </c>
      <c r="W75" s="21">
        <f t="shared" si="78"/>
        <v>2432</v>
      </c>
      <c r="X75" s="21">
        <f t="shared" si="78"/>
        <v>4864</v>
      </c>
      <c r="Y75" s="21">
        <f t="shared" si="78"/>
        <v>9728</v>
      </c>
      <c r="Z75" s="21">
        <f t="shared" si="78"/>
        <v>19456</v>
      </c>
      <c r="AA75" s="21">
        <f t="shared" si="78"/>
        <v>38912</v>
      </c>
      <c r="AB75" s="21">
        <f t="shared" si="78"/>
        <v>77824</v>
      </c>
      <c r="AC75" s="21">
        <f t="shared" si="78"/>
        <v>155648</v>
      </c>
      <c r="AD75" s="21">
        <f t="shared" si="78"/>
        <v>311296</v>
      </c>
      <c r="AE75" s="21">
        <f t="shared" si="78"/>
        <v>622592</v>
      </c>
      <c r="AF75" s="21">
        <f t="shared" si="78"/>
        <v>1245184</v>
      </c>
      <c r="AG75" s="69">
        <f t="shared" si="78"/>
        <v>2490368</v>
      </c>
      <c r="AH75" s="20">
        <f t="shared" si="78"/>
        <v>4980736</v>
      </c>
      <c r="AI75" s="21">
        <f t="shared" si="78"/>
        <v>9961472</v>
      </c>
      <c r="AJ75" s="21">
        <f t="shared" si="78"/>
        <v>19922944</v>
      </c>
      <c r="AK75" s="21">
        <f t="shared" si="78"/>
        <v>39845888</v>
      </c>
      <c r="AL75" s="69">
        <f t="shared" si="78"/>
        <v>52901928</v>
      </c>
      <c r="AM75" s="45"/>
    </row>
    <row r="76" spans="1:39" x14ac:dyDescent="0.25">
      <c r="A76" s="42"/>
      <c r="B76" s="6"/>
      <c r="C76" s="10"/>
      <c r="D76" s="8"/>
      <c r="E76" s="27">
        <v>2E-3</v>
      </c>
      <c r="F76" s="15"/>
      <c r="G76" s="10"/>
      <c r="H76" s="10"/>
      <c r="I76" s="10"/>
      <c r="J76" s="15"/>
      <c r="K76" s="10"/>
      <c r="L76" s="29">
        <f t="shared" ref="L76:AL76" si="79">L$29*$D$75*$E$76</f>
        <v>2.3749999999999999E-3</v>
      </c>
      <c r="M76" s="30">
        <f t="shared" si="79"/>
        <v>4.7499999999999999E-3</v>
      </c>
      <c r="N76" s="30">
        <f t="shared" si="79"/>
        <v>9.4999999999999998E-3</v>
      </c>
      <c r="O76" s="30">
        <f t="shared" si="79"/>
        <v>1.9E-2</v>
      </c>
      <c r="P76" s="30">
        <f t="shared" si="79"/>
        <v>3.7999999999999999E-2</v>
      </c>
      <c r="Q76" s="30">
        <f t="shared" si="79"/>
        <v>7.5999999999999998E-2</v>
      </c>
      <c r="R76" s="30">
        <f t="shared" si="79"/>
        <v>0.152</v>
      </c>
      <c r="S76" s="30">
        <f t="shared" si="79"/>
        <v>0.30399999999999999</v>
      </c>
      <c r="T76" s="30">
        <f t="shared" si="79"/>
        <v>0.60799999999999998</v>
      </c>
      <c r="U76" s="30">
        <f t="shared" si="79"/>
        <v>1.216</v>
      </c>
      <c r="V76" s="30">
        <f t="shared" si="79"/>
        <v>2.4319999999999999</v>
      </c>
      <c r="W76" s="30">
        <f t="shared" si="79"/>
        <v>4.8639999999999999</v>
      </c>
      <c r="X76" s="30">
        <f t="shared" si="79"/>
        <v>9.7279999999999998</v>
      </c>
      <c r="Y76" s="30">
        <f t="shared" si="79"/>
        <v>19.456</v>
      </c>
      <c r="Z76" s="30">
        <f t="shared" si="79"/>
        <v>38.911999999999999</v>
      </c>
      <c r="AA76" s="30">
        <f t="shared" si="79"/>
        <v>77.823999999999998</v>
      </c>
      <c r="AB76" s="30">
        <f t="shared" si="79"/>
        <v>155.648</v>
      </c>
      <c r="AC76" s="30">
        <f t="shared" si="79"/>
        <v>311.29599999999999</v>
      </c>
      <c r="AD76" s="30">
        <f t="shared" si="79"/>
        <v>622.59199999999998</v>
      </c>
      <c r="AE76" s="30">
        <f t="shared" si="79"/>
        <v>1245.184</v>
      </c>
      <c r="AF76" s="30">
        <f t="shared" si="79"/>
        <v>2490.3679999999999</v>
      </c>
      <c r="AG76" s="68">
        <f t="shared" si="79"/>
        <v>4980.7359999999999</v>
      </c>
      <c r="AH76" s="29">
        <f t="shared" si="79"/>
        <v>9961.4719999999998</v>
      </c>
      <c r="AI76" s="30">
        <f t="shared" si="79"/>
        <v>19922.944</v>
      </c>
      <c r="AJ76" s="30">
        <f t="shared" si="79"/>
        <v>39845.887999999999</v>
      </c>
      <c r="AK76" s="30">
        <f t="shared" si="79"/>
        <v>79691.775999999998</v>
      </c>
      <c r="AL76" s="68">
        <f t="shared" si="79"/>
        <v>105803.856</v>
      </c>
      <c r="AM76" s="45"/>
    </row>
    <row r="77" spans="1:39" x14ac:dyDescent="0.25">
      <c r="A77" s="42" t="s">
        <v>20</v>
      </c>
      <c r="B77" s="6">
        <f>'Population by Age - Wikipedia'!D4</f>
        <v>0.19798812289970874</v>
      </c>
      <c r="C77" s="10">
        <f t="shared" si="65"/>
        <v>275630353.22356695</v>
      </c>
      <c r="D77" s="23">
        <f>'Infection Rate by Age'!B12</f>
        <v>2.1000000000000001E-2</v>
      </c>
      <c r="E77" s="17"/>
      <c r="F77" s="10"/>
      <c r="G77" s="10"/>
      <c r="H77" s="10"/>
      <c r="I77" s="10"/>
      <c r="J77" s="10"/>
      <c r="K77" s="10"/>
      <c r="L77" s="20">
        <f t="shared" ref="L77:AL77" si="80">L$29*$D$77</f>
        <v>0.65625</v>
      </c>
      <c r="M77" s="21">
        <f t="shared" si="80"/>
        <v>1.3125</v>
      </c>
      <c r="N77" s="21">
        <f t="shared" si="80"/>
        <v>2.625</v>
      </c>
      <c r="O77" s="21">
        <f t="shared" si="80"/>
        <v>5.25</v>
      </c>
      <c r="P77" s="21">
        <f t="shared" si="80"/>
        <v>10.5</v>
      </c>
      <c r="Q77" s="21">
        <f t="shared" si="80"/>
        <v>21</v>
      </c>
      <c r="R77" s="21">
        <f t="shared" si="80"/>
        <v>42</v>
      </c>
      <c r="S77" s="21">
        <f t="shared" si="80"/>
        <v>84</v>
      </c>
      <c r="T77" s="21">
        <f t="shared" si="80"/>
        <v>168</v>
      </c>
      <c r="U77" s="21">
        <f t="shared" si="80"/>
        <v>336</v>
      </c>
      <c r="V77" s="21">
        <f t="shared" si="80"/>
        <v>672</v>
      </c>
      <c r="W77" s="21">
        <f t="shared" si="80"/>
        <v>1344</v>
      </c>
      <c r="X77" s="21">
        <f t="shared" si="80"/>
        <v>2688</v>
      </c>
      <c r="Y77" s="21">
        <f t="shared" si="80"/>
        <v>5376</v>
      </c>
      <c r="Z77" s="21">
        <f t="shared" si="80"/>
        <v>10752</v>
      </c>
      <c r="AA77" s="21">
        <f t="shared" si="80"/>
        <v>21504</v>
      </c>
      <c r="AB77" s="21">
        <f t="shared" si="80"/>
        <v>43008</v>
      </c>
      <c r="AC77" s="21">
        <f t="shared" si="80"/>
        <v>86016</v>
      </c>
      <c r="AD77" s="21">
        <f t="shared" si="80"/>
        <v>172032</v>
      </c>
      <c r="AE77" s="21">
        <f t="shared" si="80"/>
        <v>344064</v>
      </c>
      <c r="AF77" s="21">
        <f t="shared" si="80"/>
        <v>688128</v>
      </c>
      <c r="AG77" s="69">
        <f t="shared" si="80"/>
        <v>1376256</v>
      </c>
      <c r="AH77" s="20">
        <f t="shared" si="80"/>
        <v>2752512</v>
      </c>
      <c r="AI77" s="21">
        <f t="shared" si="80"/>
        <v>5505024</v>
      </c>
      <c r="AJ77" s="21">
        <f t="shared" si="80"/>
        <v>11010048</v>
      </c>
      <c r="AK77" s="21">
        <f t="shared" si="80"/>
        <v>22020096</v>
      </c>
      <c r="AL77" s="69">
        <f t="shared" si="80"/>
        <v>29235276</v>
      </c>
      <c r="AM77" s="45"/>
    </row>
    <row r="78" spans="1:39" x14ac:dyDescent="0.25">
      <c r="A78" s="42"/>
      <c r="B78" s="7"/>
      <c r="C78" s="11"/>
      <c r="D78" s="26"/>
      <c r="E78" s="28">
        <v>0</v>
      </c>
      <c r="F78" s="15"/>
      <c r="G78" s="10"/>
      <c r="H78" s="10"/>
      <c r="I78" s="10"/>
      <c r="J78" s="10"/>
      <c r="K78" s="10"/>
      <c r="L78" s="31">
        <f t="shared" ref="L78:AL78" si="81">L$29*$D$77*$E$78</f>
        <v>0</v>
      </c>
      <c r="M78" s="32">
        <f t="shared" si="81"/>
        <v>0</v>
      </c>
      <c r="N78" s="32">
        <f t="shared" si="81"/>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32">
        <f t="shared" si="81"/>
        <v>0</v>
      </c>
      <c r="AF78" s="32">
        <f t="shared" si="81"/>
        <v>0</v>
      </c>
      <c r="AG78" s="70">
        <f t="shared" si="81"/>
        <v>0</v>
      </c>
      <c r="AH78" s="29">
        <f t="shared" si="81"/>
        <v>0</v>
      </c>
      <c r="AI78" s="30">
        <f t="shared" si="81"/>
        <v>0</v>
      </c>
      <c r="AJ78" s="30">
        <f t="shared" si="81"/>
        <v>0</v>
      </c>
      <c r="AK78" s="30">
        <f t="shared" si="81"/>
        <v>0</v>
      </c>
      <c r="AL78" s="68">
        <f t="shared" si="81"/>
        <v>0</v>
      </c>
      <c r="AM78" s="45"/>
    </row>
    <row r="79" spans="1:39" x14ac:dyDescent="0.25">
      <c r="A79" s="41" t="s">
        <v>39</v>
      </c>
      <c r="B79" s="14"/>
      <c r="C79" s="10"/>
      <c r="D79" s="10"/>
      <c r="E79" s="15"/>
      <c r="F79" s="10"/>
      <c r="G79" s="10"/>
      <c r="H79" s="10"/>
      <c r="I79" s="10"/>
      <c r="J79" s="10"/>
      <c r="K79" s="10"/>
      <c r="L79" s="18">
        <f t="shared" ref="L79:AB79" si="82">SUM(L61,L63,L65,L67,L69,L71,L73,L75,L77)</f>
        <v>31.25</v>
      </c>
      <c r="M79" s="19">
        <f t="shared" si="82"/>
        <v>62.5</v>
      </c>
      <c r="N79" s="19">
        <f t="shared" si="82"/>
        <v>125</v>
      </c>
      <c r="O79" s="19">
        <f t="shared" si="82"/>
        <v>250</v>
      </c>
      <c r="P79" s="19">
        <f t="shared" si="82"/>
        <v>500</v>
      </c>
      <c r="Q79" s="19">
        <f>SUM(Q61,Q63,Q65,Q67,Q69,Q71,Q73,Q75,Q77)</f>
        <v>1000</v>
      </c>
      <c r="R79" s="19">
        <f t="shared" si="82"/>
        <v>2000</v>
      </c>
      <c r="S79" s="19">
        <f t="shared" si="82"/>
        <v>4000</v>
      </c>
      <c r="T79" s="19">
        <f t="shared" si="82"/>
        <v>8000</v>
      </c>
      <c r="U79" s="19">
        <f t="shared" si="82"/>
        <v>16000</v>
      </c>
      <c r="V79" s="19">
        <f t="shared" si="82"/>
        <v>32000</v>
      </c>
      <c r="W79" s="19">
        <f t="shared" si="82"/>
        <v>64000</v>
      </c>
      <c r="X79" s="19">
        <f t="shared" si="82"/>
        <v>128000</v>
      </c>
      <c r="Y79" s="19">
        <f t="shared" si="82"/>
        <v>256000</v>
      </c>
      <c r="Z79" s="19">
        <f t="shared" si="82"/>
        <v>512000</v>
      </c>
      <c r="AA79" s="19">
        <f t="shared" si="82"/>
        <v>1024000</v>
      </c>
      <c r="AB79" s="19">
        <f t="shared" si="82"/>
        <v>2048000</v>
      </c>
      <c r="AC79" s="19">
        <f t="shared" ref="AC79:AE80" si="83">SUM(AC61,AC63,AC65,AC67,AC69,AC71,AC73,AC75,AC77)</f>
        <v>4096000</v>
      </c>
      <c r="AD79" s="19">
        <f t="shared" si="83"/>
        <v>8192000</v>
      </c>
      <c r="AE79" s="19">
        <f t="shared" si="83"/>
        <v>16384000</v>
      </c>
      <c r="AF79" s="19">
        <f t="shared" ref="AF79:AL79" si="84">SUM(AF61,AF63,AF65,AF67,AF69,AF71,AF73,AF75,AF77)</f>
        <v>32768000</v>
      </c>
      <c r="AG79" s="19">
        <f t="shared" si="84"/>
        <v>65536000</v>
      </c>
      <c r="AH79" s="18">
        <f t="shared" si="84"/>
        <v>131072000</v>
      </c>
      <c r="AI79" s="19">
        <f t="shared" si="84"/>
        <v>262144000</v>
      </c>
      <c r="AJ79" s="19">
        <f t="shared" ref="AJ79" si="85">SUM(AJ61,AJ63,AJ65,AJ67,AJ69,AJ71,AJ73,AJ75,AJ77)</f>
        <v>524288000</v>
      </c>
      <c r="AK79" s="19">
        <f t="shared" si="84"/>
        <v>1048576000</v>
      </c>
      <c r="AL79" s="59">
        <f t="shared" si="84"/>
        <v>1392156000</v>
      </c>
      <c r="AM79" s="45"/>
    </row>
    <row r="80" spans="1:39" x14ac:dyDescent="0.25">
      <c r="A80" s="43" t="s">
        <v>38</v>
      </c>
      <c r="B80" s="44"/>
      <c r="C80" s="11"/>
      <c r="D80" s="11"/>
      <c r="E80" s="38"/>
      <c r="F80" s="11"/>
      <c r="G80" s="11"/>
      <c r="H80" s="11"/>
      <c r="I80" s="11"/>
      <c r="J80" s="11"/>
      <c r="K80" s="11"/>
      <c r="L80" s="31">
        <f>SUM(L62,L64,L66,L68,L70,L72,L74,L76,L78)</f>
        <v>0.37140624999999999</v>
      </c>
      <c r="M80" s="32">
        <f>SUM(M62,M64,M66,M68,M70,M72,M74,M76,M78)</f>
        <v>0.74281249999999999</v>
      </c>
      <c r="N80" s="32">
        <f t="shared" ref="N80:AB80" si="86">SUM(N62,N64,N66,N68,N70,N72,N74,N76,N78)</f>
        <v>1.485625</v>
      </c>
      <c r="O80" s="32">
        <f t="shared" si="86"/>
        <v>2.9712499999999999</v>
      </c>
      <c r="P80" s="32">
        <f t="shared" si="86"/>
        <v>5.9424999999999999</v>
      </c>
      <c r="Q80" s="32">
        <f t="shared" si="86"/>
        <v>11.885</v>
      </c>
      <c r="R80" s="32">
        <f t="shared" si="86"/>
        <v>23.77</v>
      </c>
      <c r="S80" s="32">
        <f t="shared" si="86"/>
        <v>47.54</v>
      </c>
      <c r="T80" s="32">
        <f t="shared" si="86"/>
        <v>95.08</v>
      </c>
      <c r="U80" s="32">
        <f t="shared" si="86"/>
        <v>190.16</v>
      </c>
      <c r="V80" s="32">
        <f t="shared" si="86"/>
        <v>380.32</v>
      </c>
      <c r="W80" s="32">
        <f t="shared" si="86"/>
        <v>760.64</v>
      </c>
      <c r="X80" s="32">
        <f t="shared" si="86"/>
        <v>1521.28</v>
      </c>
      <c r="Y80" s="32">
        <f t="shared" si="86"/>
        <v>3042.56</v>
      </c>
      <c r="Z80" s="32">
        <f t="shared" si="86"/>
        <v>6085.12</v>
      </c>
      <c r="AA80" s="32">
        <f t="shared" si="86"/>
        <v>12170.24</v>
      </c>
      <c r="AB80" s="32">
        <f t="shared" si="86"/>
        <v>24340.48</v>
      </c>
      <c r="AC80" s="32">
        <f t="shared" si="83"/>
        <v>48680.959999999999</v>
      </c>
      <c r="AD80" s="32">
        <f t="shared" si="83"/>
        <v>97361.919999999998</v>
      </c>
      <c r="AE80" s="32">
        <f t="shared" si="83"/>
        <v>194723.84</v>
      </c>
      <c r="AF80" s="32">
        <f t="shared" ref="AF80:AL80" si="87">SUM(AF62,AF64,AF66,AF68,AF70,AF72,AF74,AF76,AF78)</f>
        <v>389447.67999999999</v>
      </c>
      <c r="AG80" s="32">
        <f t="shared" si="87"/>
        <v>778895.35999999999</v>
      </c>
      <c r="AH80" s="31">
        <f t="shared" si="87"/>
        <v>1557790.72</v>
      </c>
      <c r="AI80" s="32">
        <f t="shared" si="87"/>
        <v>3115581.4399999999</v>
      </c>
      <c r="AJ80" s="32">
        <f t="shared" ref="AJ80" si="88">SUM(AJ62,AJ64,AJ66,AJ68,AJ70,AJ72,AJ74,AJ76,AJ78)</f>
        <v>6231162.8799999999</v>
      </c>
      <c r="AK80" s="32">
        <f t="shared" si="87"/>
        <v>12462325.76</v>
      </c>
      <c r="AL80" s="70">
        <f t="shared" si="87"/>
        <v>16545774.059999999</v>
      </c>
      <c r="AM80" s="45"/>
    </row>
    <row r="81" spans="1:39" x14ac:dyDescent="0.25">
      <c r="A81" s="42"/>
      <c r="B81" s="14"/>
      <c r="C81" s="10"/>
      <c r="D81" s="10"/>
      <c r="E81" s="15"/>
      <c r="F81" s="10"/>
      <c r="G81" s="10"/>
      <c r="H81" s="10"/>
      <c r="I81" s="10"/>
      <c r="J81" s="10"/>
      <c r="K81" s="10"/>
      <c r="L81" s="45"/>
      <c r="M81" s="45"/>
      <c r="N81" s="45"/>
      <c r="O81" s="45"/>
      <c r="P81" s="45"/>
      <c r="Q81" s="45"/>
      <c r="R81" s="45"/>
      <c r="S81" s="45"/>
      <c r="T81" s="45"/>
      <c r="U81" s="45"/>
      <c r="V81" s="45"/>
      <c r="W81" s="45"/>
      <c r="X81" s="45"/>
      <c r="Y81" s="45"/>
      <c r="Z81" s="45"/>
      <c r="AA81" s="45"/>
      <c r="AB81" s="45"/>
      <c r="AC81" s="45"/>
    </row>
    <row r="82" spans="1:39" x14ac:dyDescent="0.25">
      <c r="A82" s="53" t="s">
        <v>49</v>
      </c>
      <c r="B82" s="14"/>
      <c r="C82" s="10"/>
      <c r="D82" s="10"/>
      <c r="E82" s="15"/>
      <c r="F82" s="10"/>
      <c r="G82" s="10"/>
      <c r="H82" s="10"/>
      <c r="I82" s="10"/>
      <c r="J82" s="10"/>
      <c r="K82" s="10"/>
      <c r="L82" s="45"/>
      <c r="M82" s="45"/>
      <c r="N82" s="45"/>
      <c r="O82" s="45"/>
      <c r="P82" s="45"/>
      <c r="Q82" s="45"/>
      <c r="R82" s="45"/>
      <c r="S82" s="45"/>
      <c r="T82" s="45"/>
      <c r="U82" s="45"/>
      <c r="V82" s="45"/>
      <c r="W82" s="45"/>
      <c r="X82" s="45"/>
      <c r="Y82" s="45"/>
      <c r="Z82" s="45"/>
      <c r="AA82" s="45"/>
      <c r="AB82" s="45"/>
      <c r="AC82" s="45"/>
    </row>
    <row r="83" spans="1:39" x14ac:dyDescent="0.25">
      <c r="A83" s="4"/>
      <c r="B83" s="9" t="s">
        <v>5</v>
      </c>
      <c r="C83" s="9" t="s">
        <v>3</v>
      </c>
      <c r="D83" s="9"/>
      <c r="E83" s="58"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5"/>
      <c r="AM83" s="47"/>
    </row>
    <row r="84" spans="1:39" x14ac:dyDescent="0.25">
      <c r="A84" s="48" t="s">
        <v>1</v>
      </c>
      <c r="B84" s="24">
        <v>3.9E-2</v>
      </c>
      <c r="C84" s="10">
        <f>$B$15 * B84</f>
        <v>54294084</v>
      </c>
      <c r="D84" s="16"/>
      <c r="E84" s="16"/>
      <c r="F84" s="16"/>
      <c r="G84" s="16"/>
      <c r="H84" s="16"/>
      <c r="I84" s="16"/>
      <c r="J84" s="16"/>
      <c r="K84" s="16"/>
      <c r="L84" s="18">
        <f t="shared" ref="L84:AL84" si="89">L$29*$B$84</f>
        <v>1.21875</v>
      </c>
      <c r="M84" s="19">
        <f t="shared" si="89"/>
        <v>2.4375</v>
      </c>
      <c r="N84" s="19">
        <f t="shared" si="89"/>
        <v>4.875</v>
      </c>
      <c r="O84" s="19">
        <f t="shared" si="89"/>
        <v>9.75</v>
      </c>
      <c r="P84" s="19">
        <f t="shared" si="89"/>
        <v>19.5</v>
      </c>
      <c r="Q84" s="19">
        <f t="shared" si="89"/>
        <v>39</v>
      </c>
      <c r="R84" s="19">
        <f t="shared" si="89"/>
        <v>78</v>
      </c>
      <c r="S84" s="19">
        <f t="shared" si="89"/>
        <v>156</v>
      </c>
      <c r="T84" s="19">
        <f t="shared" si="89"/>
        <v>312</v>
      </c>
      <c r="U84" s="19">
        <f t="shared" si="89"/>
        <v>624</v>
      </c>
      <c r="V84" s="19">
        <f t="shared" si="89"/>
        <v>1248</v>
      </c>
      <c r="W84" s="19">
        <f t="shared" si="89"/>
        <v>2496</v>
      </c>
      <c r="X84" s="19">
        <f t="shared" si="89"/>
        <v>4992</v>
      </c>
      <c r="Y84" s="19">
        <f t="shared" si="89"/>
        <v>9984</v>
      </c>
      <c r="Z84" s="19">
        <f t="shared" si="89"/>
        <v>19968</v>
      </c>
      <c r="AA84" s="19">
        <f t="shared" si="89"/>
        <v>39936</v>
      </c>
      <c r="AB84" s="19">
        <f t="shared" si="89"/>
        <v>79872</v>
      </c>
      <c r="AC84" s="19">
        <f t="shared" si="89"/>
        <v>159744</v>
      </c>
      <c r="AD84" s="19">
        <f t="shared" si="89"/>
        <v>319488</v>
      </c>
      <c r="AE84" s="19">
        <f t="shared" si="89"/>
        <v>638976</v>
      </c>
      <c r="AF84" s="19">
        <f t="shared" si="89"/>
        <v>1277952</v>
      </c>
      <c r="AG84" s="19">
        <f t="shared" si="89"/>
        <v>2555904</v>
      </c>
      <c r="AH84" s="18">
        <f t="shared" si="89"/>
        <v>5111808</v>
      </c>
      <c r="AI84" s="19">
        <f t="shared" si="89"/>
        <v>10223616</v>
      </c>
      <c r="AJ84" s="19">
        <f t="shared" si="89"/>
        <v>20447232</v>
      </c>
      <c r="AK84" s="19">
        <f t="shared" si="89"/>
        <v>40894464</v>
      </c>
      <c r="AL84" s="59">
        <f t="shared" si="89"/>
        <v>54294084</v>
      </c>
      <c r="AM84" s="45"/>
    </row>
    <row r="85" spans="1:39" x14ac:dyDescent="0.25">
      <c r="A85" s="48"/>
      <c r="B85" s="16"/>
      <c r="C85" s="16"/>
      <c r="D85" s="25"/>
      <c r="E85" s="46">
        <v>0.105</v>
      </c>
      <c r="F85" s="16"/>
      <c r="G85" s="16"/>
      <c r="H85" s="16"/>
      <c r="I85" s="16"/>
      <c r="J85" s="16"/>
      <c r="K85" s="16"/>
      <c r="L85" s="29">
        <f>L84*$E$85</f>
        <v>0.12796874999999999</v>
      </c>
      <c r="M85" s="30">
        <f t="shared" ref="M85:AB85" si="90">M84*$E$85</f>
        <v>0.25593749999999998</v>
      </c>
      <c r="N85" s="30">
        <f t="shared" si="90"/>
        <v>0.51187499999999997</v>
      </c>
      <c r="O85" s="30">
        <f t="shared" si="90"/>
        <v>1.0237499999999999</v>
      </c>
      <c r="P85" s="30">
        <f t="shared" si="90"/>
        <v>2.0474999999999999</v>
      </c>
      <c r="Q85" s="30">
        <f t="shared" si="90"/>
        <v>4.0949999999999998</v>
      </c>
      <c r="R85" s="30">
        <f t="shared" si="90"/>
        <v>8.19</v>
      </c>
      <c r="S85" s="30">
        <f t="shared" si="90"/>
        <v>16.38</v>
      </c>
      <c r="T85" s="30">
        <f t="shared" si="90"/>
        <v>32.76</v>
      </c>
      <c r="U85" s="30">
        <f t="shared" si="90"/>
        <v>65.52</v>
      </c>
      <c r="V85" s="30">
        <f t="shared" si="90"/>
        <v>131.04</v>
      </c>
      <c r="W85" s="30">
        <f t="shared" si="90"/>
        <v>262.08</v>
      </c>
      <c r="X85" s="30">
        <f t="shared" si="90"/>
        <v>524.16</v>
      </c>
      <c r="Y85" s="30">
        <f t="shared" si="90"/>
        <v>1048.32</v>
      </c>
      <c r="Z85" s="30">
        <f t="shared" si="90"/>
        <v>2096.64</v>
      </c>
      <c r="AA85" s="30">
        <f t="shared" si="90"/>
        <v>4193.28</v>
      </c>
      <c r="AB85" s="30">
        <f t="shared" si="90"/>
        <v>8386.56</v>
      </c>
      <c r="AC85" s="30">
        <f>AC84*$E$85</f>
        <v>16773.12</v>
      </c>
      <c r="AD85" s="30">
        <f>AD84*$E$85</f>
        <v>33546.239999999998</v>
      </c>
      <c r="AE85" s="30">
        <f>AE84*$E$85</f>
        <v>67092.479999999996</v>
      </c>
      <c r="AF85" s="30">
        <f t="shared" ref="AF85:AL85" si="91">AF84*$E$85</f>
        <v>134184.95999999999</v>
      </c>
      <c r="AG85" s="30">
        <f t="shared" si="91"/>
        <v>268369.91999999998</v>
      </c>
      <c r="AH85" s="29">
        <f t="shared" si="91"/>
        <v>536739.83999999997</v>
      </c>
      <c r="AI85" s="30">
        <f t="shared" si="91"/>
        <v>1073479.6799999999</v>
      </c>
      <c r="AJ85" s="30">
        <f t="shared" ref="AJ85" si="92">AJ84*$E$85</f>
        <v>2146959.3599999999</v>
      </c>
      <c r="AK85" s="30">
        <f t="shared" si="91"/>
        <v>4293918.7199999997</v>
      </c>
      <c r="AL85" s="68">
        <f t="shared" si="91"/>
        <v>5700878.8199999994</v>
      </c>
      <c r="AM85" s="45"/>
    </row>
    <row r="86" spans="1:39" x14ac:dyDescent="0.25">
      <c r="A86" s="48" t="s">
        <v>4</v>
      </c>
      <c r="B86" s="24">
        <v>8.8999999999999996E-2</v>
      </c>
      <c r="C86" s="10">
        <f>$B$15 * B86</f>
        <v>123901884</v>
      </c>
      <c r="D86" s="47"/>
      <c r="E86" s="16"/>
      <c r="F86" s="16"/>
      <c r="G86" s="16"/>
      <c r="H86" s="16"/>
      <c r="I86" s="16"/>
      <c r="J86" s="16"/>
      <c r="K86" s="16"/>
      <c r="L86" s="20">
        <f t="shared" ref="L86:AL86" si="93">L$29*$B$86</f>
        <v>2.78125</v>
      </c>
      <c r="M86" s="21">
        <f t="shared" si="93"/>
        <v>5.5625</v>
      </c>
      <c r="N86" s="21">
        <f t="shared" si="93"/>
        <v>11.125</v>
      </c>
      <c r="O86" s="21">
        <f t="shared" si="93"/>
        <v>22.25</v>
      </c>
      <c r="P86" s="21">
        <f t="shared" si="93"/>
        <v>44.5</v>
      </c>
      <c r="Q86" s="21">
        <f t="shared" si="93"/>
        <v>89</v>
      </c>
      <c r="R86" s="21">
        <f t="shared" si="93"/>
        <v>178</v>
      </c>
      <c r="S86" s="21">
        <f t="shared" si="93"/>
        <v>356</v>
      </c>
      <c r="T86" s="21">
        <f t="shared" si="93"/>
        <v>712</v>
      </c>
      <c r="U86" s="21">
        <f t="shared" si="93"/>
        <v>1424</v>
      </c>
      <c r="V86" s="21">
        <f t="shared" si="93"/>
        <v>2848</v>
      </c>
      <c r="W86" s="21">
        <f t="shared" si="93"/>
        <v>5696</v>
      </c>
      <c r="X86" s="21">
        <f t="shared" si="93"/>
        <v>11392</v>
      </c>
      <c r="Y86" s="21">
        <f t="shared" si="93"/>
        <v>22784</v>
      </c>
      <c r="Z86" s="21">
        <f t="shared" si="93"/>
        <v>45568</v>
      </c>
      <c r="AA86" s="21">
        <f t="shared" si="93"/>
        <v>91136</v>
      </c>
      <c r="AB86" s="21">
        <f t="shared" si="93"/>
        <v>182272</v>
      </c>
      <c r="AC86" s="21">
        <f t="shared" si="93"/>
        <v>364544</v>
      </c>
      <c r="AD86" s="21">
        <f t="shared" si="93"/>
        <v>729088</v>
      </c>
      <c r="AE86" s="21">
        <f t="shared" si="93"/>
        <v>1458176</v>
      </c>
      <c r="AF86" s="21">
        <f t="shared" si="93"/>
        <v>2916352</v>
      </c>
      <c r="AG86" s="21">
        <f t="shared" si="93"/>
        <v>5832704</v>
      </c>
      <c r="AH86" s="20">
        <f t="shared" si="93"/>
        <v>11665408</v>
      </c>
      <c r="AI86" s="21">
        <f t="shared" si="93"/>
        <v>23330816</v>
      </c>
      <c r="AJ86" s="21">
        <f t="shared" si="93"/>
        <v>46661632</v>
      </c>
      <c r="AK86" s="21">
        <f t="shared" si="93"/>
        <v>93323264</v>
      </c>
      <c r="AL86" s="69">
        <f t="shared" si="93"/>
        <v>123901884</v>
      </c>
      <c r="AM86" s="45"/>
    </row>
    <row r="87" spans="1:39" x14ac:dyDescent="0.25">
      <c r="A87" s="48"/>
      <c r="B87" s="16"/>
      <c r="C87" s="16"/>
      <c r="D87" s="25"/>
      <c r="E87" s="46">
        <v>7.2999999999999995E-2</v>
      </c>
      <c r="F87" s="16"/>
      <c r="G87" s="16"/>
      <c r="H87" s="16"/>
      <c r="I87" s="16"/>
      <c r="J87" s="16"/>
      <c r="K87" s="16"/>
      <c r="L87" s="29">
        <f t="shared" ref="L87:AB87" si="94">L86*$E$87</f>
        <v>0.20303125</v>
      </c>
      <c r="M87" s="30">
        <f t="shared" si="94"/>
        <v>0.40606249999999999</v>
      </c>
      <c r="N87" s="30">
        <f t="shared" si="94"/>
        <v>0.81212499999999999</v>
      </c>
      <c r="O87" s="30">
        <f t="shared" si="94"/>
        <v>1.62425</v>
      </c>
      <c r="P87" s="30">
        <f t="shared" si="94"/>
        <v>3.2484999999999999</v>
      </c>
      <c r="Q87" s="30">
        <f t="shared" si="94"/>
        <v>6.4969999999999999</v>
      </c>
      <c r="R87" s="30">
        <f t="shared" si="94"/>
        <v>12.994</v>
      </c>
      <c r="S87" s="30">
        <f t="shared" si="94"/>
        <v>25.988</v>
      </c>
      <c r="T87" s="30">
        <f t="shared" si="94"/>
        <v>51.975999999999999</v>
      </c>
      <c r="U87" s="30">
        <f t="shared" si="94"/>
        <v>103.952</v>
      </c>
      <c r="V87" s="30">
        <f t="shared" si="94"/>
        <v>207.904</v>
      </c>
      <c r="W87" s="30">
        <f t="shared" si="94"/>
        <v>415.80799999999999</v>
      </c>
      <c r="X87" s="30">
        <f t="shared" si="94"/>
        <v>831.61599999999999</v>
      </c>
      <c r="Y87" s="30">
        <f t="shared" si="94"/>
        <v>1663.232</v>
      </c>
      <c r="Z87" s="30">
        <f t="shared" si="94"/>
        <v>3326.4639999999999</v>
      </c>
      <c r="AA87" s="30">
        <f t="shared" si="94"/>
        <v>6652.9279999999999</v>
      </c>
      <c r="AB87" s="30">
        <f t="shared" si="94"/>
        <v>13305.856</v>
      </c>
      <c r="AC87" s="30">
        <f>AC86*$E$87</f>
        <v>26611.712</v>
      </c>
      <c r="AD87" s="30">
        <f>AD86*$E$87</f>
        <v>53223.423999999999</v>
      </c>
      <c r="AE87" s="30">
        <f>AE86*$E$87</f>
        <v>106446.848</v>
      </c>
      <c r="AF87" s="30">
        <f t="shared" ref="AF87:AL87" si="95">AF86*$E$87</f>
        <v>212893.696</v>
      </c>
      <c r="AG87" s="30">
        <f t="shared" si="95"/>
        <v>425787.39199999999</v>
      </c>
      <c r="AH87" s="29">
        <f t="shared" si="95"/>
        <v>851574.78399999999</v>
      </c>
      <c r="AI87" s="30">
        <f t="shared" si="95"/>
        <v>1703149.568</v>
      </c>
      <c r="AJ87" s="30">
        <f t="shared" ref="AJ87" si="96">AJ86*$E$87</f>
        <v>3406299.1359999999</v>
      </c>
      <c r="AK87" s="30">
        <f t="shared" si="95"/>
        <v>6812598.2719999999</v>
      </c>
      <c r="AL87" s="68">
        <f t="shared" si="95"/>
        <v>9044837.5319999997</v>
      </c>
      <c r="AM87" s="45"/>
    </row>
    <row r="88" spans="1:39" x14ac:dyDescent="0.25">
      <c r="A88" s="48" t="s">
        <v>6</v>
      </c>
      <c r="B88" s="24">
        <v>0.2</v>
      </c>
      <c r="C88" s="10">
        <f>$B$15 * B88</f>
        <v>278431200</v>
      </c>
      <c r="D88" s="47"/>
      <c r="E88" s="16"/>
      <c r="F88" s="16"/>
      <c r="G88" s="16"/>
      <c r="H88" s="16"/>
      <c r="I88" s="16"/>
      <c r="J88" s="16"/>
      <c r="K88" s="16"/>
      <c r="L88" s="20">
        <f t="shared" ref="L88:AL88" si="97">L$29*$B$88</f>
        <v>6.25</v>
      </c>
      <c r="M88" s="21">
        <f t="shared" si="97"/>
        <v>12.5</v>
      </c>
      <c r="N88" s="21">
        <f t="shared" si="97"/>
        <v>25</v>
      </c>
      <c r="O88" s="21">
        <f t="shared" si="97"/>
        <v>50</v>
      </c>
      <c r="P88" s="21">
        <f t="shared" si="97"/>
        <v>100</v>
      </c>
      <c r="Q88" s="21">
        <f t="shared" si="97"/>
        <v>200</v>
      </c>
      <c r="R88" s="21">
        <f t="shared" si="97"/>
        <v>400</v>
      </c>
      <c r="S88" s="21">
        <f t="shared" si="97"/>
        <v>800</v>
      </c>
      <c r="T88" s="21">
        <f t="shared" si="97"/>
        <v>1600</v>
      </c>
      <c r="U88" s="21">
        <f t="shared" si="97"/>
        <v>3200</v>
      </c>
      <c r="V88" s="21">
        <f t="shared" si="97"/>
        <v>6400</v>
      </c>
      <c r="W88" s="21">
        <f t="shared" si="97"/>
        <v>12800</v>
      </c>
      <c r="X88" s="21">
        <f t="shared" si="97"/>
        <v>25600</v>
      </c>
      <c r="Y88" s="21">
        <f t="shared" si="97"/>
        <v>51200</v>
      </c>
      <c r="Z88" s="21">
        <f t="shared" si="97"/>
        <v>102400</v>
      </c>
      <c r="AA88" s="21">
        <f t="shared" si="97"/>
        <v>204800</v>
      </c>
      <c r="AB88" s="21">
        <f t="shared" si="97"/>
        <v>409600</v>
      </c>
      <c r="AC88" s="21">
        <f t="shared" si="97"/>
        <v>819200</v>
      </c>
      <c r="AD88" s="21">
        <f t="shared" si="97"/>
        <v>1638400</v>
      </c>
      <c r="AE88" s="21">
        <f t="shared" si="97"/>
        <v>3276800</v>
      </c>
      <c r="AF88" s="21">
        <f t="shared" si="97"/>
        <v>6553600</v>
      </c>
      <c r="AG88" s="21">
        <f t="shared" si="97"/>
        <v>13107200</v>
      </c>
      <c r="AH88" s="20">
        <f t="shared" si="97"/>
        <v>26214400</v>
      </c>
      <c r="AI88" s="21">
        <f t="shared" si="97"/>
        <v>52428800</v>
      </c>
      <c r="AJ88" s="21">
        <f t="shared" si="97"/>
        <v>104857600</v>
      </c>
      <c r="AK88" s="21">
        <f t="shared" si="97"/>
        <v>209715200</v>
      </c>
      <c r="AL88" s="69">
        <f t="shared" si="97"/>
        <v>278431200</v>
      </c>
      <c r="AM88" s="45"/>
    </row>
    <row r="89" spans="1:39" x14ac:dyDescent="0.25">
      <c r="A89" s="48"/>
      <c r="B89" s="16"/>
      <c r="C89" s="16"/>
      <c r="D89" s="25"/>
      <c r="E89" s="46">
        <v>6.3E-2</v>
      </c>
      <c r="F89" s="16"/>
      <c r="G89" s="16"/>
      <c r="H89" s="16"/>
      <c r="I89" s="16"/>
      <c r="J89" s="16"/>
      <c r="K89" s="16"/>
      <c r="L89" s="29">
        <f t="shared" ref="L89:AB89" si="98">L88*$E$89</f>
        <v>0.39374999999999999</v>
      </c>
      <c r="M89" s="30">
        <f t="shared" si="98"/>
        <v>0.78749999999999998</v>
      </c>
      <c r="N89" s="30">
        <f t="shared" si="98"/>
        <v>1.575</v>
      </c>
      <c r="O89" s="30">
        <f t="shared" si="98"/>
        <v>3.15</v>
      </c>
      <c r="P89" s="30">
        <f t="shared" si="98"/>
        <v>6.3</v>
      </c>
      <c r="Q89" s="30">
        <f t="shared" si="98"/>
        <v>12.6</v>
      </c>
      <c r="R89" s="30">
        <f t="shared" si="98"/>
        <v>25.2</v>
      </c>
      <c r="S89" s="30">
        <f t="shared" si="98"/>
        <v>50.4</v>
      </c>
      <c r="T89" s="30">
        <f t="shared" si="98"/>
        <v>100.8</v>
      </c>
      <c r="U89" s="30">
        <f t="shared" si="98"/>
        <v>201.6</v>
      </c>
      <c r="V89" s="30">
        <f t="shared" si="98"/>
        <v>403.2</v>
      </c>
      <c r="W89" s="30">
        <f t="shared" si="98"/>
        <v>806.4</v>
      </c>
      <c r="X89" s="30">
        <f t="shared" si="98"/>
        <v>1612.8</v>
      </c>
      <c r="Y89" s="30">
        <f t="shared" si="98"/>
        <v>3225.6</v>
      </c>
      <c r="Z89" s="30">
        <f t="shared" si="98"/>
        <v>6451.2</v>
      </c>
      <c r="AA89" s="30">
        <f t="shared" si="98"/>
        <v>12902.4</v>
      </c>
      <c r="AB89" s="30">
        <f t="shared" si="98"/>
        <v>25804.799999999999</v>
      </c>
      <c r="AC89" s="30">
        <f>AC88*$E$89</f>
        <v>51609.599999999999</v>
      </c>
      <c r="AD89" s="30">
        <f>AD88*$E$89</f>
        <v>103219.2</v>
      </c>
      <c r="AE89" s="30">
        <f>AE88*$E$89</f>
        <v>206438.39999999999</v>
      </c>
      <c r="AF89" s="30">
        <f t="shared" ref="AF89:AL89" si="99">AF88*$E$89</f>
        <v>412876.79999999999</v>
      </c>
      <c r="AG89" s="30">
        <f t="shared" si="99"/>
        <v>825753.59999999998</v>
      </c>
      <c r="AH89" s="29">
        <f>AH88*$E$89</f>
        <v>1651507.2</v>
      </c>
      <c r="AI89" s="30">
        <f t="shared" si="99"/>
        <v>3303014.3999999999</v>
      </c>
      <c r="AJ89" s="30">
        <f t="shared" ref="AJ89" si="100">AJ88*$E$89</f>
        <v>6606028.7999999998</v>
      </c>
      <c r="AK89" s="30">
        <f t="shared" si="99"/>
        <v>13212057.6</v>
      </c>
      <c r="AL89" s="68">
        <f t="shared" si="99"/>
        <v>17541165.600000001</v>
      </c>
      <c r="AM89" s="45"/>
    </row>
    <row r="90" spans="1:39" x14ac:dyDescent="0.25">
      <c r="A90" s="48" t="s">
        <v>7</v>
      </c>
      <c r="B90" s="24">
        <v>0.29799999999999999</v>
      </c>
      <c r="C90" s="10">
        <f>$B$15 * B90</f>
        <v>414862488</v>
      </c>
      <c r="D90" s="47"/>
      <c r="E90" s="16"/>
      <c r="F90" s="16"/>
      <c r="G90" s="16"/>
      <c r="H90" s="16"/>
      <c r="I90" s="16"/>
      <c r="J90" s="16"/>
      <c r="K90" s="16"/>
      <c r="L90" s="20">
        <f t="shared" ref="L90:AL90" si="101">L$29*$B$90</f>
        <v>9.3125</v>
      </c>
      <c r="M90" s="21">
        <f t="shared" si="101"/>
        <v>18.625</v>
      </c>
      <c r="N90" s="21">
        <f t="shared" si="101"/>
        <v>37.25</v>
      </c>
      <c r="O90" s="21">
        <f t="shared" si="101"/>
        <v>74.5</v>
      </c>
      <c r="P90" s="21">
        <f t="shared" si="101"/>
        <v>149</v>
      </c>
      <c r="Q90" s="21">
        <f t="shared" si="101"/>
        <v>298</v>
      </c>
      <c r="R90" s="21">
        <f t="shared" si="101"/>
        <v>596</v>
      </c>
      <c r="S90" s="21">
        <f t="shared" si="101"/>
        <v>1192</v>
      </c>
      <c r="T90" s="21">
        <f t="shared" si="101"/>
        <v>2384</v>
      </c>
      <c r="U90" s="21">
        <f t="shared" si="101"/>
        <v>4768</v>
      </c>
      <c r="V90" s="21">
        <f t="shared" si="101"/>
        <v>9536</v>
      </c>
      <c r="W90" s="21">
        <f t="shared" si="101"/>
        <v>19072</v>
      </c>
      <c r="X90" s="21">
        <f t="shared" si="101"/>
        <v>38144</v>
      </c>
      <c r="Y90" s="21">
        <f t="shared" si="101"/>
        <v>76288</v>
      </c>
      <c r="Z90" s="21">
        <f t="shared" si="101"/>
        <v>152576</v>
      </c>
      <c r="AA90" s="21">
        <f t="shared" si="101"/>
        <v>305152</v>
      </c>
      <c r="AB90" s="21">
        <f t="shared" si="101"/>
        <v>610304</v>
      </c>
      <c r="AC90" s="21">
        <f t="shared" si="101"/>
        <v>1220608</v>
      </c>
      <c r="AD90" s="21">
        <f t="shared" si="101"/>
        <v>2441216</v>
      </c>
      <c r="AE90" s="21">
        <f t="shared" si="101"/>
        <v>4882432</v>
      </c>
      <c r="AF90" s="21">
        <f t="shared" si="101"/>
        <v>9764864</v>
      </c>
      <c r="AG90" s="21">
        <f t="shared" si="101"/>
        <v>19529728</v>
      </c>
      <c r="AH90" s="20">
        <f t="shared" si="101"/>
        <v>39059456</v>
      </c>
      <c r="AI90" s="21">
        <f t="shared" si="101"/>
        <v>78118912</v>
      </c>
      <c r="AJ90" s="21">
        <f t="shared" si="101"/>
        <v>156237824</v>
      </c>
      <c r="AK90" s="21">
        <f t="shared" si="101"/>
        <v>312475648</v>
      </c>
      <c r="AL90" s="69">
        <f t="shared" si="101"/>
        <v>414862488</v>
      </c>
      <c r="AM90" s="45"/>
    </row>
    <row r="91" spans="1:39" x14ac:dyDescent="0.25">
      <c r="A91" s="48"/>
      <c r="B91" s="16"/>
      <c r="C91" s="16"/>
      <c r="D91" s="25"/>
      <c r="E91" s="46">
        <v>0.06</v>
      </c>
      <c r="F91" s="16"/>
      <c r="G91" s="16"/>
      <c r="H91" s="16"/>
      <c r="I91" s="16"/>
      <c r="J91" s="16"/>
      <c r="K91" s="16"/>
      <c r="L91" s="29">
        <f t="shared" ref="L91:AB91" si="102">L90*$E$91</f>
        <v>0.55874999999999997</v>
      </c>
      <c r="M91" s="30">
        <f t="shared" si="102"/>
        <v>1.1174999999999999</v>
      </c>
      <c r="N91" s="30">
        <f t="shared" si="102"/>
        <v>2.2349999999999999</v>
      </c>
      <c r="O91" s="30">
        <f t="shared" si="102"/>
        <v>4.47</v>
      </c>
      <c r="P91" s="30">
        <f t="shared" si="102"/>
        <v>8.94</v>
      </c>
      <c r="Q91" s="30">
        <f t="shared" si="102"/>
        <v>17.88</v>
      </c>
      <c r="R91" s="30">
        <f t="shared" si="102"/>
        <v>35.76</v>
      </c>
      <c r="S91" s="30">
        <f t="shared" si="102"/>
        <v>71.52</v>
      </c>
      <c r="T91" s="30">
        <f t="shared" si="102"/>
        <v>143.04</v>
      </c>
      <c r="U91" s="30">
        <f t="shared" si="102"/>
        <v>286.08</v>
      </c>
      <c r="V91" s="30">
        <f t="shared" si="102"/>
        <v>572.16</v>
      </c>
      <c r="W91" s="30">
        <f t="shared" si="102"/>
        <v>1144.32</v>
      </c>
      <c r="X91" s="30">
        <f t="shared" si="102"/>
        <v>2288.64</v>
      </c>
      <c r="Y91" s="30">
        <f t="shared" si="102"/>
        <v>4577.28</v>
      </c>
      <c r="Z91" s="30">
        <f t="shared" si="102"/>
        <v>9154.56</v>
      </c>
      <c r="AA91" s="30">
        <f t="shared" si="102"/>
        <v>18309.12</v>
      </c>
      <c r="AB91" s="30">
        <f t="shared" si="102"/>
        <v>36618.239999999998</v>
      </c>
      <c r="AC91" s="30">
        <f>AC90*$E$91</f>
        <v>73236.479999999996</v>
      </c>
      <c r="AD91" s="30">
        <f>AD90*$E$91</f>
        <v>146472.95999999999</v>
      </c>
      <c r="AE91" s="30">
        <f>AE90*$E$91</f>
        <v>292945.91999999998</v>
      </c>
      <c r="AF91" s="30">
        <f t="shared" ref="AF91:AL91" si="103">AF90*$E$91</f>
        <v>585891.83999999997</v>
      </c>
      <c r="AG91" s="30">
        <f t="shared" si="103"/>
        <v>1171783.6799999999</v>
      </c>
      <c r="AH91" s="29">
        <f t="shared" si="103"/>
        <v>2343567.3599999999</v>
      </c>
      <c r="AI91" s="30">
        <f t="shared" si="103"/>
        <v>4687134.7199999997</v>
      </c>
      <c r="AJ91" s="30">
        <f t="shared" ref="AJ91" si="104">AJ90*$E$91</f>
        <v>9374269.4399999995</v>
      </c>
      <c r="AK91" s="30">
        <f t="shared" si="103"/>
        <v>18748538.879999999</v>
      </c>
      <c r="AL91" s="68">
        <f t="shared" si="103"/>
        <v>24891749.279999997</v>
      </c>
      <c r="AM91" s="45"/>
    </row>
    <row r="92" spans="1:39" x14ac:dyDescent="0.25">
      <c r="A92" s="48" t="s">
        <v>8</v>
      </c>
      <c r="B92" s="24">
        <v>9.5E-4</v>
      </c>
      <c r="C92" s="10">
        <f>$B$15 * B92</f>
        <v>1322548.2</v>
      </c>
      <c r="D92" s="47"/>
      <c r="E92" s="16"/>
      <c r="F92" s="16"/>
      <c r="G92" s="16"/>
      <c r="H92" s="16"/>
      <c r="I92" s="16"/>
      <c r="J92" s="16"/>
      <c r="K92" s="16"/>
      <c r="L92" s="20">
        <f t="shared" ref="L92:AL92" si="105">L$29*$B$92</f>
        <v>2.9687499999999999E-2</v>
      </c>
      <c r="M92" s="21">
        <f t="shared" si="105"/>
        <v>5.9374999999999997E-2</v>
      </c>
      <c r="N92" s="21">
        <f t="shared" si="105"/>
        <v>0.11874999999999999</v>
      </c>
      <c r="O92" s="21">
        <f t="shared" si="105"/>
        <v>0.23749999999999999</v>
      </c>
      <c r="P92" s="21">
        <f t="shared" si="105"/>
        <v>0.47499999999999998</v>
      </c>
      <c r="Q92" s="21">
        <f t="shared" si="105"/>
        <v>0.95</v>
      </c>
      <c r="R92" s="21">
        <f t="shared" si="105"/>
        <v>1.9</v>
      </c>
      <c r="S92" s="21">
        <f t="shared" si="105"/>
        <v>3.8</v>
      </c>
      <c r="T92" s="21">
        <f t="shared" si="105"/>
        <v>7.6</v>
      </c>
      <c r="U92" s="21">
        <f t="shared" si="105"/>
        <v>15.2</v>
      </c>
      <c r="V92" s="21">
        <f t="shared" si="105"/>
        <v>30.4</v>
      </c>
      <c r="W92" s="21">
        <f t="shared" si="105"/>
        <v>60.8</v>
      </c>
      <c r="X92" s="21">
        <f t="shared" si="105"/>
        <v>121.6</v>
      </c>
      <c r="Y92" s="21">
        <f t="shared" si="105"/>
        <v>243.2</v>
      </c>
      <c r="Z92" s="21">
        <f t="shared" si="105"/>
        <v>486.4</v>
      </c>
      <c r="AA92" s="21">
        <f t="shared" si="105"/>
        <v>972.8</v>
      </c>
      <c r="AB92" s="21">
        <f t="shared" si="105"/>
        <v>1945.6</v>
      </c>
      <c r="AC92" s="21">
        <f t="shared" si="105"/>
        <v>3891.2</v>
      </c>
      <c r="AD92" s="21">
        <f t="shared" si="105"/>
        <v>7782.4</v>
      </c>
      <c r="AE92" s="21">
        <f t="shared" si="105"/>
        <v>15564.8</v>
      </c>
      <c r="AF92" s="21">
        <f t="shared" si="105"/>
        <v>31129.599999999999</v>
      </c>
      <c r="AG92" s="21">
        <f t="shared" si="105"/>
        <v>62259.199999999997</v>
      </c>
      <c r="AH92" s="20">
        <f t="shared" si="105"/>
        <v>124518.39999999999</v>
      </c>
      <c r="AI92" s="21">
        <f t="shared" si="105"/>
        <v>249036.79999999999</v>
      </c>
      <c r="AJ92" s="21">
        <f t="shared" si="105"/>
        <v>498073.59999999998</v>
      </c>
      <c r="AK92" s="21">
        <f t="shared" si="105"/>
        <v>996147.19999999995</v>
      </c>
      <c r="AL92" s="69">
        <f t="shared" si="105"/>
        <v>1322548.2</v>
      </c>
      <c r="AM92" s="45"/>
    </row>
    <row r="93" spans="1:39" x14ac:dyDescent="0.25">
      <c r="A93" s="48"/>
      <c r="B93" s="16"/>
      <c r="C93" s="16"/>
      <c r="D93" s="25"/>
      <c r="E93" s="46">
        <v>5.6000000000000001E-2</v>
      </c>
      <c r="F93" s="16"/>
      <c r="G93" s="16"/>
      <c r="H93" s="16"/>
      <c r="I93" s="16"/>
      <c r="J93" s="16"/>
      <c r="K93" s="16"/>
      <c r="L93" s="29">
        <f t="shared" ref="L93:AB93" si="106">L92*$E$93</f>
        <v>1.6624999999999999E-3</v>
      </c>
      <c r="M93" s="30">
        <f t="shared" si="106"/>
        <v>3.3249999999999998E-3</v>
      </c>
      <c r="N93" s="30">
        <f t="shared" si="106"/>
        <v>6.6499999999999997E-3</v>
      </c>
      <c r="O93" s="30">
        <f t="shared" si="106"/>
        <v>1.3299999999999999E-2</v>
      </c>
      <c r="P93" s="30">
        <f t="shared" si="106"/>
        <v>2.6599999999999999E-2</v>
      </c>
      <c r="Q93" s="30">
        <f t="shared" si="106"/>
        <v>5.3199999999999997E-2</v>
      </c>
      <c r="R93" s="30">
        <f t="shared" si="106"/>
        <v>0.10639999999999999</v>
      </c>
      <c r="S93" s="30">
        <f t="shared" si="106"/>
        <v>0.21279999999999999</v>
      </c>
      <c r="T93" s="30">
        <f t="shared" si="106"/>
        <v>0.42559999999999998</v>
      </c>
      <c r="U93" s="30">
        <f t="shared" si="106"/>
        <v>0.85119999999999996</v>
      </c>
      <c r="V93" s="30">
        <f t="shared" si="106"/>
        <v>1.7023999999999999</v>
      </c>
      <c r="W93" s="30">
        <f t="shared" si="106"/>
        <v>3.4047999999999998</v>
      </c>
      <c r="X93" s="30">
        <f t="shared" si="106"/>
        <v>6.8095999999999997</v>
      </c>
      <c r="Y93" s="30">
        <f t="shared" si="106"/>
        <v>13.619199999999999</v>
      </c>
      <c r="Z93" s="30">
        <f t="shared" si="106"/>
        <v>27.238399999999999</v>
      </c>
      <c r="AA93" s="30">
        <f t="shared" si="106"/>
        <v>54.476799999999997</v>
      </c>
      <c r="AB93" s="30">
        <f t="shared" si="106"/>
        <v>108.95359999999999</v>
      </c>
      <c r="AC93" s="30">
        <f>AC92*$E$93</f>
        <v>217.90719999999999</v>
      </c>
      <c r="AD93" s="30">
        <f>AD92*$E$93</f>
        <v>435.81439999999998</v>
      </c>
      <c r="AE93" s="30">
        <f>AE92*$E$93</f>
        <v>871.62879999999996</v>
      </c>
      <c r="AF93" s="30">
        <f t="shared" ref="AF93:AL93" si="107">AF92*$E$93</f>
        <v>1743.2575999999999</v>
      </c>
      <c r="AG93" s="30">
        <f t="shared" si="107"/>
        <v>3486.5151999999998</v>
      </c>
      <c r="AH93" s="29">
        <f t="shared" si="107"/>
        <v>6973.0303999999996</v>
      </c>
      <c r="AI93" s="30">
        <f t="shared" si="107"/>
        <v>13946.060799999999</v>
      </c>
      <c r="AJ93" s="30">
        <f t="shared" ref="AJ93" si="108">AJ92*$E$93</f>
        <v>27892.121599999999</v>
      </c>
      <c r="AK93" s="30">
        <f t="shared" si="107"/>
        <v>55784.243199999997</v>
      </c>
      <c r="AL93" s="68">
        <f t="shared" si="107"/>
        <v>74062.699200000003</v>
      </c>
      <c r="AM93" s="45"/>
    </row>
    <row r="94" spans="1:39" x14ac:dyDescent="0.25">
      <c r="A94" s="48" t="s">
        <v>9</v>
      </c>
      <c r="B94" s="24">
        <v>0.14000000000000001</v>
      </c>
      <c r="C94" s="10">
        <f>$B$15 * B94</f>
        <v>194901840.00000003</v>
      </c>
      <c r="D94" s="47"/>
      <c r="E94" s="16"/>
      <c r="F94" s="16"/>
      <c r="G94" s="16"/>
      <c r="H94" s="16"/>
      <c r="I94" s="16"/>
      <c r="J94" s="16"/>
      <c r="K94" s="16"/>
      <c r="L94" s="20">
        <f t="shared" ref="L94:AL94" si="109">L$29*$B$94</f>
        <v>4.375</v>
      </c>
      <c r="M94" s="21">
        <f t="shared" si="109"/>
        <v>8.75</v>
      </c>
      <c r="N94" s="21">
        <f t="shared" si="109"/>
        <v>17.5</v>
      </c>
      <c r="O94" s="21">
        <f t="shared" si="109"/>
        <v>35</v>
      </c>
      <c r="P94" s="21">
        <f t="shared" si="109"/>
        <v>70</v>
      </c>
      <c r="Q94" s="21">
        <f t="shared" si="109"/>
        <v>140</v>
      </c>
      <c r="R94" s="21">
        <f t="shared" si="109"/>
        <v>280</v>
      </c>
      <c r="S94" s="21">
        <f t="shared" si="109"/>
        <v>560</v>
      </c>
      <c r="T94" s="21">
        <f t="shared" si="109"/>
        <v>1120</v>
      </c>
      <c r="U94" s="21">
        <f t="shared" si="109"/>
        <v>2240</v>
      </c>
      <c r="V94" s="21">
        <f t="shared" si="109"/>
        <v>4480</v>
      </c>
      <c r="W94" s="21">
        <f t="shared" si="109"/>
        <v>8960</v>
      </c>
      <c r="X94" s="21">
        <f t="shared" si="109"/>
        <v>17920</v>
      </c>
      <c r="Y94" s="21">
        <f t="shared" si="109"/>
        <v>35840</v>
      </c>
      <c r="Z94" s="21">
        <f t="shared" si="109"/>
        <v>71680</v>
      </c>
      <c r="AA94" s="21">
        <f t="shared" si="109"/>
        <v>143360</v>
      </c>
      <c r="AB94" s="21">
        <f t="shared" si="109"/>
        <v>286720</v>
      </c>
      <c r="AC94" s="21">
        <f t="shared" si="109"/>
        <v>573440</v>
      </c>
      <c r="AD94" s="21">
        <f t="shared" si="109"/>
        <v>1146880</v>
      </c>
      <c r="AE94" s="21">
        <f t="shared" si="109"/>
        <v>2293760</v>
      </c>
      <c r="AF94" s="21">
        <f t="shared" si="109"/>
        <v>4587520</v>
      </c>
      <c r="AG94" s="21">
        <f t="shared" si="109"/>
        <v>9175040</v>
      </c>
      <c r="AH94" s="20">
        <f t="shared" si="109"/>
        <v>18350080</v>
      </c>
      <c r="AI94" s="21">
        <f t="shared" si="109"/>
        <v>36700160</v>
      </c>
      <c r="AJ94" s="21">
        <f t="shared" si="109"/>
        <v>73400320</v>
      </c>
      <c r="AK94" s="21">
        <f t="shared" si="109"/>
        <v>146800640</v>
      </c>
      <c r="AL94" s="69">
        <f t="shared" si="109"/>
        <v>194901840.00000003</v>
      </c>
      <c r="AM94" s="45"/>
    </row>
    <row r="95" spans="1:39" x14ac:dyDescent="0.25">
      <c r="A95" s="37"/>
      <c r="B95" s="39"/>
      <c r="C95" s="39"/>
      <c r="D95" s="54"/>
      <c r="E95" s="55" t="s">
        <v>10</v>
      </c>
      <c r="F95" s="39"/>
      <c r="G95" s="39"/>
      <c r="H95" s="39"/>
      <c r="I95" s="39"/>
      <c r="J95" s="39"/>
      <c r="K95" s="39"/>
      <c r="L95" s="29"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29" t="s">
        <v>10</v>
      </c>
      <c r="AI95" s="30" t="s">
        <v>10</v>
      </c>
      <c r="AJ95" s="30" t="s">
        <v>10</v>
      </c>
      <c r="AK95" s="30" t="s">
        <v>10</v>
      </c>
      <c r="AL95" s="68" t="s">
        <v>10</v>
      </c>
      <c r="AM95" s="45"/>
    </row>
    <row r="96" spans="1:39" x14ac:dyDescent="0.25">
      <c r="A96" s="41" t="s">
        <v>196</v>
      </c>
      <c r="B96" s="16"/>
      <c r="C96" s="16"/>
      <c r="D96" s="47"/>
      <c r="E96" s="16"/>
      <c r="F96" s="16"/>
      <c r="G96" s="16"/>
      <c r="H96" s="16"/>
      <c r="I96" s="16"/>
      <c r="J96" s="16"/>
      <c r="K96" s="16"/>
      <c r="L96" s="18">
        <f>SUM(L84,L86,L88,L90,L92,L94)</f>
        <v>23.967187500000001</v>
      </c>
      <c r="M96" s="19">
        <f t="shared" ref="M96:AB96" si="110">SUM(M84,M86,M88,M90,M92,M94)</f>
        <v>47.934375000000003</v>
      </c>
      <c r="N96" s="19">
        <f t="shared" si="110"/>
        <v>95.868750000000006</v>
      </c>
      <c r="O96" s="19">
        <f t="shared" si="110"/>
        <v>191.73750000000001</v>
      </c>
      <c r="P96" s="19">
        <f t="shared" si="110"/>
        <v>383.47500000000002</v>
      </c>
      <c r="Q96" s="19">
        <f t="shared" si="110"/>
        <v>766.95</v>
      </c>
      <c r="R96" s="19">
        <f>SUM(R84,R86,R88,R90,R92,R94)</f>
        <v>1533.9</v>
      </c>
      <c r="S96" s="19">
        <f t="shared" si="110"/>
        <v>3067.8</v>
      </c>
      <c r="T96" s="19">
        <f t="shared" si="110"/>
        <v>6135.6</v>
      </c>
      <c r="U96" s="19">
        <f t="shared" si="110"/>
        <v>12271.2</v>
      </c>
      <c r="V96" s="19">
        <f t="shared" si="110"/>
        <v>24542.400000000001</v>
      </c>
      <c r="W96" s="19">
        <f t="shared" si="110"/>
        <v>49084.800000000003</v>
      </c>
      <c r="X96" s="19">
        <f t="shared" si="110"/>
        <v>98169.600000000006</v>
      </c>
      <c r="Y96" s="19">
        <f t="shared" si="110"/>
        <v>196339.20000000001</v>
      </c>
      <c r="Z96" s="19">
        <f t="shared" si="110"/>
        <v>392678.40000000002</v>
      </c>
      <c r="AA96" s="19">
        <f t="shared" si="110"/>
        <v>785356.80000000005</v>
      </c>
      <c r="AB96" s="19">
        <f t="shared" si="110"/>
        <v>1570713.6000000001</v>
      </c>
      <c r="AC96" s="19">
        <f t="shared" ref="AC96:AE97" si="111">SUM(AC84,AC86,AC88,AC90,AC92,AC94)</f>
        <v>3141427.2000000002</v>
      </c>
      <c r="AD96" s="19">
        <f t="shared" si="111"/>
        <v>6282854.4000000004</v>
      </c>
      <c r="AE96" s="19">
        <f t="shared" si="111"/>
        <v>12565708.800000001</v>
      </c>
      <c r="AF96" s="19">
        <f t="shared" ref="AF96:AL96" si="112">SUM(AF84,AF86,AF88,AF90,AF92,AF94)</f>
        <v>25131417.600000001</v>
      </c>
      <c r="AG96" s="19">
        <f t="shared" si="112"/>
        <v>50262835.200000003</v>
      </c>
      <c r="AH96" s="18">
        <f t="shared" si="112"/>
        <v>100525670.40000001</v>
      </c>
      <c r="AI96" s="19">
        <f t="shared" si="112"/>
        <v>201051340.80000001</v>
      </c>
      <c r="AJ96" s="19">
        <f t="shared" ref="AJ96" si="113">SUM(AJ84,AJ86,AJ88,AJ90,AJ92,AJ94)</f>
        <v>402102681.60000002</v>
      </c>
      <c r="AK96" s="19">
        <f t="shared" si="112"/>
        <v>804205363.20000005</v>
      </c>
      <c r="AL96" s="59">
        <f t="shared" si="112"/>
        <v>1067714044.2</v>
      </c>
      <c r="AM96" s="45"/>
    </row>
    <row r="97" spans="1:39" x14ac:dyDescent="0.25">
      <c r="A97" s="37" t="s">
        <v>40</v>
      </c>
      <c r="B97" s="39"/>
      <c r="C97" s="39"/>
      <c r="D97" s="39"/>
      <c r="E97" s="39"/>
      <c r="F97" s="39"/>
      <c r="G97" s="39"/>
      <c r="H97" s="39"/>
      <c r="I97" s="39"/>
      <c r="J97" s="39"/>
      <c r="K97" s="39"/>
      <c r="L97" s="31">
        <f>SUM(L85,L87,L89,L91,L93,L95)</f>
        <v>1.2851625</v>
      </c>
      <c r="M97" s="32">
        <f t="shared" ref="M97:AB97" si="114">SUM(M85,M87,M89,M91,M93,M95)</f>
        <v>2.570325</v>
      </c>
      <c r="N97" s="32">
        <f t="shared" si="114"/>
        <v>5.1406499999999999</v>
      </c>
      <c r="O97" s="32">
        <f t="shared" si="114"/>
        <v>10.2813</v>
      </c>
      <c r="P97" s="32">
        <f t="shared" si="114"/>
        <v>20.5626</v>
      </c>
      <c r="Q97" s="32">
        <f t="shared" si="114"/>
        <v>41.1252</v>
      </c>
      <c r="R97" s="32">
        <f t="shared" si="114"/>
        <v>82.250399999999999</v>
      </c>
      <c r="S97" s="32">
        <f t="shared" si="114"/>
        <v>164.5008</v>
      </c>
      <c r="T97" s="32">
        <f t="shared" si="114"/>
        <v>329.0016</v>
      </c>
      <c r="U97" s="32">
        <f t="shared" si="114"/>
        <v>658.00319999999999</v>
      </c>
      <c r="V97" s="32">
        <f t="shared" si="114"/>
        <v>1316.0064</v>
      </c>
      <c r="W97" s="32">
        <f t="shared" si="114"/>
        <v>2632.0128</v>
      </c>
      <c r="X97" s="32">
        <f t="shared" si="114"/>
        <v>5264.0255999999999</v>
      </c>
      <c r="Y97" s="32">
        <f t="shared" si="114"/>
        <v>10528.0512</v>
      </c>
      <c r="Z97" s="32">
        <f t="shared" si="114"/>
        <v>21056.1024</v>
      </c>
      <c r="AA97" s="32">
        <f t="shared" si="114"/>
        <v>42112.2048</v>
      </c>
      <c r="AB97" s="32">
        <f t="shared" si="114"/>
        <v>84224.409599999999</v>
      </c>
      <c r="AC97" s="32">
        <f t="shared" si="111"/>
        <v>168448.8192</v>
      </c>
      <c r="AD97" s="32">
        <f t="shared" si="111"/>
        <v>336897.6384</v>
      </c>
      <c r="AE97" s="32">
        <f t="shared" si="111"/>
        <v>673795.27679999999</v>
      </c>
      <c r="AF97" s="32">
        <f t="shared" ref="AF97:AL97" si="115">SUM(AF85,AF87,AF89,AF91,AF93,AF95)</f>
        <v>1347590.5536</v>
      </c>
      <c r="AG97" s="32">
        <f t="shared" si="115"/>
        <v>2695181.1072</v>
      </c>
      <c r="AH97" s="31">
        <f t="shared" si="115"/>
        <v>5390362.2143999999</v>
      </c>
      <c r="AI97" s="32">
        <f t="shared" si="115"/>
        <v>10780724.4288</v>
      </c>
      <c r="AJ97" s="32">
        <f t="shared" ref="AJ97" si="116">SUM(AJ85,AJ87,AJ89,AJ91,AJ93,AJ95)</f>
        <v>21561448.8576</v>
      </c>
      <c r="AK97" s="32">
        <f t="shared" si="115"/>
        <v>43122897.7152</v>
      </c>
      <c r="AL97" s="70">
        <f t="shared" si="115"/>
        <v>57252693.93119999</v>
      </c>
      <c r="AM97" s="45"/>
    </row>
    <row r="101" spans="1:39" x14ac:dyDescent="0.25">
      <c r="E101" s="2"/>
    </row>
    <row r="102" spans="1:39" x14ac:dyDescent="0.25">
      <c r="E102" s="2"/>
    </row>
    <row r="104" spans="1:39" x14ac:dyDescent="0.25">
      <c r="E104" s="270"/>
    </row>
  </sheetData>
  <conditionalFormatting sqref="AH40:AM40 L40:AF40">
    <cfRule type="cellIs" dxfId="24" priority="34" operator="greaterThan">
      <formula>$C$19</formula>
    </cfRule>
  </conditionalFormatting>
  <conditionalFormatting sqref="L42:AL42">
    <cfRule type="cellIs" dxfId="23" priority="33" operator="greaterThan">
      <formula>$C$20</formula>
    </cfRule>
  </conditionalFormatting>
  <conditionalFormatting sqref="L61:AL61">
    <cfRule type="cellIs" dxfId="22" priority="32" operator="greaterThan">
      <formula>$C$61</formula>
    </cfRule>
  </conditionalFormatting>
  <conditionalFormatting sqref="L63:AL63">
    <cfRule type="cellIs" dxfId="21" priority="31" operator="greaterThan">
      <formula>$C$63</formula>
    </cfRule>
  </conditionalFormatting>
  <conditionalFormatting sqref="L65:AL65">
    <cfRule type="cellIs" dxfId="20" priority="30" operator="greaterThan">
      <formula>$C$65</formula>
    </cfRule>
  </conditionalFormatting>
  <conditionalFormatting sqref="L67:AL67">
    <cfRule type="cellIs" dxfId="19" priority="22" operator="greaterThan">
      <formula>$C$67</formula>
    </cfRule>
  </conditionalFormatting>
  <conditionalFormatting sqref="L69:AL69">
    <cfRule type="cellIs" dxfId="18" priority="21" operator="greaterThan">
      <formula>$C$69</formula>
    </cfRule>
  </conditionalFormatting>
  <conditionalFormatting sqref="L71:AL71">
    <cfRule type="cellIs" dxfId="17" priority="20" operator="greaterThan">
      <formula>$C$71</formula>
    </cfRule>
  </conditionalFormatting>
  <conditionalFormatting sqref="L73:AL73">
    <cfRule type="cellIs" dxfId="16" priority="19" operator="greaterThan">
      <formula>$C$73</formula>
    </cfRule>
  </conditionalFormatting>
  <conditionalFormatting sqref="L75:AL75">
    <cfRule type="cellIs" dxfId="15" priority="18" operator="greaterThan">
      <formula>$C$75</formula>
    </cfRule>
  </conditionalFormatting>
  <conditionalFormatting sqref="L77:AL77">
    <cfRule type="cellIs" dxfId="14" priority="17" operator="greaterThan">
      <formula>$C$77</formula>
    </cfRule>
  </conditionalFormatting>
  <conditionalFormatting sqref="L31:AL31">
    <cfRule type="cellIs" dxfId="13" priority="16" operator="equal">
      <formula>0</formula>
    </cfRule>
  </conditionalFormatting>
  <conditionalFormatting sqref="L38:AF38 AH38:AL38 AH40:AL40 M42:AL42 L40:AF40">
    <cfRule type="cellIs" dxfId="12" priority="15" operator="equal">
      <formula>0</formula>
    </cfRule>
  </conditionalFormatting>
  <conditionalFormatting sqref="D61">
    <cfRule type="cellIs" dxfId="11" priority="12" operator="greaterThan">
      <formula>$B$61</formula>
    </cfRule>
  </conditionalFormatting>
  <conditionalFormatting sqref="D63">
    <cfRule type="cellIs" dxfId="10" priority="11" operator="greaterThan">
      <formula>$B$63</formula>
    </cfRule>
  </conditionalFormatting>
  <conditionalFormatting sqref="D65">
    <cfRule type="cellIs" dxfId="9" priority="10" operator="greaterThan">
      <formula>$B$65</formula>
    </cfRule>
  </conditionalFormatting>
  <conditionalFormatting sqref="D67">
    <cfRule type="cellIs" dxfId="8" priority="9" operator="greaterThan">
      <formula>$B$67</formula>
    </cfRule>
  </conditionalFormatting>
  <conditionalFormatting sqref="D69">
    <cfRule type="cellIs" dxfId="7" priority="8" operator="greaterThan">
      <formula>$B$69</formula>
    </cfRule>
  </conditionalFormatting>
  <conditionalFormatting sqref="D71">
    <cfRule type="cellIs" dxfId="6" priority="7" operator="greaterThan">
      <formula>$B$71</formula>
    </cfRule>
  </conditionalFormatting>
  <conditionalFormatting sqref="D73">
    <cfRule type="cellIs" dxfId="5" priority="6" operator="greaterThan">
      <formula>$B$73</formula>
    </cfRule>
  </conditionalFormatting>
  <conditionalFormatting sqref="D75">
    <cfRule type="cellIs" dxfId="4" priority="5" operator="greaterThan">
      <formula>$B$75</formula>
    </cfRule>
  </conditionalFormatting>
  <conditionalFormatting sqref="D77">
    <cfRule type="cellIs" dxfId="3" priority="4" operator="greaterThan">
      <formula>$B$77</formula>
    </cfRule>
  </conditionalFormatting>
  <conditionalFormatting sqref="AG38">
    <cfRule type="cellIs" dxfId="2" priority="3" operator="equal">
      <formula>0</formula>
    </cfRule>
  </conditionalFormatting>
  <conditionalFormatting sqref="AG40">
    <cfRule type="cellIs" dxfId="1" priority="2" operator="greaterThan">
      <formula>$C$19</formula>
    </cfRule>
  </conditionalFormatting>
  <conditionalFormatting sqref="AG40">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F60" r:id="rId5" xr:uid="{503A7334-7FEF-4AE6-896F-53AD99C1BBA1}"/>
    <hyperlink ref="B17" r:id="rId6" display="https://cmmid.github.io/topics/covid19/severity/global_cfr_estimates.html" xr:uid="{BFBD0714-5129-4D5C-8C1E-3168F1985A4F}"/>
    <hyperlink ref="A16"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Projections!B15</f>
        <v>1392156000</v>
      </c>
      <c r="J3" s="2"/>
    </row>
    <row r="4" spans="2:10" x14ac:dyDescent="0.25">
      <c r="B4" s="169" t="s">
        <v>134</v>
      </c>
      <c r="C4" s="152">
        <f>Projections!L29</f>
        <v>31.25</v>
      </c>
      <c r="J4" s="2"/>
    </row>
    <row r="5" spans="2:10" x14ac:dyDescent="0.25">
      <c r="B5" s="169" t="s">
        <v>135</v>
      </c>
      <c r="C5" s="150">
        <f>Projections!L28</f>
        <v>43895</v>
      </c>
      <c r="J5" s="2"/>
    </row>
    <row r="6" spans="2:10" x14ac:dyDescent="0.25">
      <c r="B6" s="169" t="s">
        <v>118</v>
      </c>
      <c r="C6" s="152">
        <v>355060</v>
      </c>
    </row>
    <row r="7" spans="2:10" x14ac:dyDescent="0.25">
      <c r="B7" s="169" t="s">
        <v>120</v>
      </c>
      <c r="C7" s="150">
        <f ca="1">NOW()</f>
        <v>43999.841645370368</v>
      </c>
    </row>
    <row r="8" spans="2:10" x14ac:dyDescent="0.25">
      <c r="B8" s="169" t="s">
        <v>136</v>
      </c>
      <c r="C8" s="151">
        <f ca="1">C7-C5</f>
        <v>104.8416453703685</v>
      </c>
    </row>
    <row r="9" spans="2:10" x14ac:dyDescent="0.25">
      <c r="B9" s="169" t="s">
        <v>119</v>
      </c>
      <c r="C9" s="153">
        <f ca="1">C8/(LOG(C6/C4)/LOG(2))</f>
        <v>7.78223541429006</v>
      </c>
      <c r="D9" t="s">
        <v>97</v>
      </c>
      <c r="F9" t="s">
        <v>137</v>
      </c>
    </row>
    <row r="10" spans="2:10" x14ac:dyDescent="0.25">
      <c r="B10" s="169" t="s">
        <v>124</v>
      </c>
      <c r="C10" s="152">
        <f>Projections!C19</f>
        <v>689882.90580000007</v>
      </c>
    </row>
    <row r="11" spans="2:10" x14ac:dyDescent="0.25">
      <c r="B11" s="170" t="s">
        <v>125</v>
      </c>
      <c r="C11" s="157">
        <f>Projections!C20</f>
        <v>47959.774200000007</v>
      </c>
    </row>
    <row r="12" spans="2:10" s="66" customFormat="1" x14ac:dyDescent="0.25">
      <c r="B12" s="61" t="s">
        <v>165</v>
      </c>
      <c r="C12" s="158">
        <f>C6/Projections!B17</f>
        <v>722800.71428571432</v>
      </c>
    </row>
    <row r="13" spans="2:10" s="66" customFormat="1" x14ac:dyDescent="0.25">
      <c r="B13" s="48" t="s">
        <v>166</v>
      </c>
      <c r="C13" s="159">
        <f ca="1">(C4/Projections!B17)*(2^(((C7-21)-C5)/C9))</f>
        <v>111353.31301342264</v>
      </c>
    </row>
    <row r="14" spans="2:10" s="66" customFormat="1" x14ac:dyDescent="0.25">
      <c r="B14" s="49" t="s">
        <v>167</v>
      </c>
      <c r="C14" s="141">
        <f ca="1">C12-C13</f>
        <v>611447.40127229167</v>
      </c>
      <c r="E14" s="155"/>
      <c r="F14" s="156" t="s">
        <v>141</v>
      </c>
      <c r="G14" s="154"/>
    </row>
    <row r="15" spans="2:10" x14ac:dyDescent="0.25">
      <c r="B15" s="4" t="s">
        <v>138</v>
      </c>
      <c r="C15" s="63">
        <f>C6*Projections!B21</f>
        <v>287598.60000000003</v>
      </c>
      <c r="I15" s="149"/>
    </row>
    <row r="16" spans="2:10" x14ac:dyDescent="0.25">
      <c r="B16" s="41" t="s">
        <v>148</v>
      </c>
      <c r="C16" s="77">
        <f ca="1">(C4*Projections!B21)*(2^(((C7-21)-C5)/C9))</f>
        <v>44306.897177972372</v>
      </c>
      <c r="I16" s="149"/>
    </row>
    <row r="17" spans="2:9" x14ac:dyDescent="0.25">
      <c r="B17" s="41" t="s">
        <v>139</v>
      </c>
      <c r="C17" s="77">
        <f ca="1">C15-C16</f>
        <v>243291.70282202767</v>
      </c>
      <c r="F17" t="s">
        <v>142</v>
      </c>
      <c r="I17" s="149"/>
    </row>
    <row r="18" spans="2:9" x14ac:dyDescent="0.25">
      <c r="B18" s="4" t="s">
        <v>144</v>
      </c>
      <c r="C18" s="63">
        <f>C6*Projections!B22</f>
        <v>49708.4</v>
      </c>
    </row>
    <row r="19" spans="2:9" x14ac:dyDescent="0.25">
      <c r="B19" s="41" t="s">
        <v>149</v>
      </c>
      <c r="C19" s="77">
        <f ca="1">(C4*Projections!B22)*(2^(((C7-49)-C5)/C9))</f>
        <v>632.45133525161577</v>
      </c>
    </row>
    <row r="20" spans="2:9" x14ac:dyDescent="0.25">
      <c r="B20" s="41" t="s">
        <v>143</v>
      </c>
      <c r="C20" s="77">
        <f ca="1">C18-C19</f>
        <v>49075.948664748386</v>
      </c>
      <c r="F20" t="s">
        <v>147</v>
      </c>
    </row>
    <row r="21" spans="2:9" x14ac:dyDescent="0.25">
      <c r="B21" s="4" t="s">
        <v>145</v>
      </c>
      <c r="C21" s="63">
        <f>C6*Projections!B23</f>
        <v>17753</v>
      </c>
      <c r="I21" s="149"/>
    </row>
    <row r="22" spans="2:9" x14ac:dyDescent="0.25">
      <c r="B22" s="41" t="s">
        <v>150</v>
      </c>
      <c r="C22" s="77">
        <f ca="1">(C4*Projections!B23)*(2^(((C7-49)-C5)/C9))</f>
        <v>225.87547687557708</v>
      </c>
      <c r="I22" s="149"/>
    </row>
    <row r="23" spans="2:9" x14ac:dyDescent="0.25">
      <c r="B23" s="41" t="s">
        <v>146</v>
      </c>
      <c r="C23" s="77">
        <f ca="1">C21-C22</f>
        <v>17527.124523124425</v>
      </c>
      <c r="I23" s="149"/>
    </row>
    <row r="24" spans="2:9" x14ac:dyDescent="0.25">
      <c r="B24" s="4" t="s">
        <v>151</v>
      </c>
      <c r="C24" s="63">
        <f>C6*Projections!B24</f>
        <v>10119.210000000001</v>
      </c>
    </row>
    <row r="25" spans="2:9" x14ac:dyDescent="0.25">
      <c r="B25" s="37" t="s">
        <v>152</v>
      </c>
      <c r="C25" s="60">
        <f ca="1">(C4*Projections!B24)*(2^(((C7-42)-C5)/C9))</f>
        <v>240.16833552587531</v>
      </c>
      <c r="F25" t="s">
        <v>153</v>
      </c>
    </row>
    <row r="26" spans="2:9" x14ac:dyDescent="0.25">
      <c r="B26" s="41" t="s">
        <v>129</v>
      </c>
      <c r="C26" s="162">
        <f ca="1">C9*(LOG(C10/C21)/LOG(2))</f>
        <v>41.091889929774801</v>
      </c>
      <c r="D26" t="s">
        <v>97</v>
      </c>
      <c r="F26" s="66" t="s">
        <v>154</v>
      </c>
    </row>
    <row r="27" spans="2:9" x14ac:dyDescent="0.25">
      <c r="B27" s="37" t="s">
        <v>126</v>
      </c>
      <c r="C27" s="161">
        <f ca="1">C7+C26</f>
        <v>44040.933535300144</v>
      </c>
      <c r="F27" t="s">
        <v>155</v>
      </c>
    </row>
    <row r="28" spans="2:9" x14ac:dyDescent="0.25">
      <c r="B28" s="4" t="s">
        <v>130</v>
      </c>
      <c r="C28" s="160">
        <f ca="1">C9*(LOG(C11/C21)/LOG(2))</f>
        <v>11.157873619090921</v>
      </c>
      <c r="D28" t="s">
        <v>97</v>
      </c>
    </row>
    <row r="29" spans="2:9" x14ac:dyDescent="0.25">
      <c r="B29" s="37" t="s">
        <v>127</v>
      </c>
      <c r="C29" s="161">
        <f ca="1">C7+C28</f>
        <v>44010.999518989462</v>
      </c>
      <c r="F29" t="s">
        <v>155</v>
      </c>
    </row>
    <row r="30" spans="2:9" x14ac:dyDescent="0.25">
      <c r="B30" s="4" t="s">
        <v>131</v>
      </c>
      <c r="C30" s="160">
        <f ca="1">C9*(LOG((C3*0.6)/C12)/LOG(2))</f>
        <v>79.180118708507933</v>
      </c>
      <c r="D30" t="s">
        <v>97</v>
      </c>
    </row>
    <row r="31" spans="2:9" x14ac:dyDescent="0.25">
      <c r="B31" s="37" t="s">
        <v>128</v>
      </c>
      <c r="C31" s="161">
        <f ca="1">C7+C30</f>
        <v>44079.021764078876</v>
      </c>
    </row>
    <row r="34" spans="2:6" x14ac:dyDescent="0.25">
      <c r="B34" s="4" t="s">
        <v>132</v>
      </c>
      <c r="C34" s="150">
        <f ca="1">C7+30</f>
        <v>44029.841645370368</v>
      </c>
      <c r="F34" t="s">
        <v>168</v>
      </c>
    </row>
    <row r="35" spans="2:6" x14ac:dyDescent="0.25">
      <c r="B35" s="41" t="s">
        <v>133</v>
      </c>
      <c r="C35" s="77">
        <f ca="1">C6*(2^((C34-C7)/C9))</f>
        <v>5137506.2520302888</v>
      </c>
      <c r="F35" t="s">
        <v>140</v>
      </c>
    </row>
    <row r="36" spans="2:6" x14ac:dyDescent="0.25">
      <c r="B36" s="41" t="s">
        <v>174</v>
      </c>
      <c r="C36" s="77">
        <f ca="1">C35/Projections!B17</f>
        <v>10458494.870204518</v>
      </c>
    </row>
    <row r="37" spans="2:6" x14ac:dyDescent="0.25">
      <c r="B37" s="41" t="s">
        <v>73</v>
      </c>
      <c r="C37" s="77">
        <f ca="1">C35*Projections!B21</f>
        <v>4161380.0641445341</v>
      </c>
    </row>
    <row r="38" spans="2:6" x14ac:dyDescent="0.25">
      <c r="B38" s="41" t="s">
        <v>121</v>
      </c>
      <c r="C38" s="77">
        <f ca="1">C35*Projections!B22</f>
        <v>719250.87528424046</v>
      </c>
    </row>
    <row r="39" spans="2:6" x14ac:dyDescent="0.25">
      <c r="B39" s="41" t="s">
        <v>122</v>
      </c>
      <c r="C39" s="77">
        <f ca="1">C35*Projections!B23</f>
        <v>256875.31260151445</v>
      </c>
    </row>
    <row r="40" spans="2:6" x14ac:dyDescent="0.25">
      <c r="B40" s="37" t="s">
        <v>123</v>
      </c>
      <c r="C40" s="60">
        <f ca="1">C35*Projections!B24</f>
        <v>146418.92818286322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8" t="s">
        <v>183</v>
      </c>
      <c r="B2" t="s">
        <v>46</v>
      </c>
      <c r="D2" t="s">
        <v>185</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178</v>
      </c>
      <c r="B20" s="248">
        <v>2383167</v>
      </c>
      <c r="C20" s="248"/>
      <c r="D20" s="212"/>
    </row>
    <row r="21" spans="1:4" x14ac:dyDescent="0.25">
      <c r="A21" s="247" t="s">
        <v>179</v>
      </c>
      <c r="B21" s="248">
        <v>1446534</v>
      </c>
      <c r="C21" s="249"/>
      <c r="D21" s="17"/>
    </row>
    <row r="22" spans="1:4" x14ac:dyDescent="0.25">
      <c r="A22" s="247" t="s">
        <v>180</v>
      </c>
      <c r="B22" s="248">
        <v>633297</v>
      </c>
      <c r="C22" s="249"/>
      <c r="D22" s="17"/>
    </row>
    <row r="23" spans="1:4" x14ac:dyDescent="0.25">
      <c r="A23" s="244" t="s">
        <v>181</v>
      </c>
      <c r="B23" s="245">
        <v>605778</v>
      </c>
      <c r="C23" s="245">
        <f>SUM(B19:B23)</f>
        <v>11289005</v>
      </c>
      <c r="D23" s="246">
        <f>C23/$B$25</f>
        <v>9.323168516819004E-3</v>
      </c>
    </row>
    <row r="24" spans="1:4" x14ac:dyDescent="0.25">
      <c r="A24" s="244" t="s">
        <v>182</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2020-06-17T10:12:35Z</dcterms:modified>
</cp:coreProperties>
</file>