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1C94CC1-1FC3-435B-AB20-3DCF29AC3C6F}" xr6:coauthVersionLast="45" xr6:coauthVersionMax="45" xr10:uidLastSave="{00000000-0000-0000-0000-000000000000}"/>
  <bookViews>
    <workbookView xWindow="22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5" i="1" l="1"/>
  <c r="T45" i="1" l="1"/>
  <c r="V42" i="1"/>
  <c r="W42" i="1"/>
  <c r="X42" i="1"/>
  <c r="Y42" i="1"/>
  <c r="Z42" i="1"/>
  <c r="AA42" i="1"/>
  <c r="AB42" i="1"/>
  <c r="AC42" i="1"/>
  <c r="AD42" i="1"/>
  <c r="AE42" i="1"/>
  <c r="S45" i="1" l="1"/>
  <c r="J21" i="1" l="1"/>
  <c r="K45" i="1"/>
  <c r="L45" i="1"/>
  <c r="M45" i="1"/>
  <c r="N45" i="1"/>
  <c r="O45" i="1"/>
  <c r="P45" i="1"/>
  <c r="Q45" i="1"/>
  <c r="R45" i="1"/>
  <c r="J45" i="1"/>
  <c r="E34" i="4" l="1"/>
  <c r="C45" i="4"/>
  <c r="F4" i="1"/>
  <c r="C21" i="5" l="1"/>
  <c r="D9" i="1"/>
  <c r="C9" i="1"/>
  <c r="C8" i="1"/>
  <c r="B14" i="3"/>
  <c r="AH22" i="1"/>
  <c r="AH24" i="1" s="1"/>
  <c r="AH23" i="1"/>
  <c r="J41" i="1"/>
  <c r="B66" i="1"/>
  <c r="B64" i="1"/>
  <c r="B62" i="1"/>
  <c r="B60" i="1"/>
  <c r="B58" i="1"/>
  <c r="B56" i="1"/>
  <c r="B54" i="1"/>
  <c r="B52" i="1"/>
  <c r="B50" i="1"/>
  <c r="C23" i="2"/>
  <c r="D23" i="2" s="1"/>
  <c r="D24" i="2"/>
  <c r="D18" i="2"/>
  <c r="D16" i="2"/>
  <c r="D14" i="2"/>
  <c r="D12" i="2"/>
  <c r="D10" i="2"/>
  <c r="D8" i="2"/>
  <c r="D6" i="2"/>
  <c r="D4" i="2"/>
  <c r="C18" i="2"/>
  <c r="C16" i="2"/>
  <c r="C14" i="2"/>
  <c r="C12" i="2"/>
  <c r="C10" i="2"/>
  <c r="C8" i="2"/>
  <c r="C6" i="2"/>
  <c r="C4" i="2"/>
  <c r="B25" i="2"/>
  <c r="AK22" i="1" l="1"/>
  <c r="AK18" i="1"/>
  <c r="AK26" i="1" s="1"/>
  <c r="AK19" i="1"/>
  <c r="AG22" i="1"/>
  <c r="AI22" i="1"/>
  <c r="AK24" i="1" l="1"/>
  <c r="AK23" i="1"/>
  <c r="C5" i="5"/>
  <c r="C4" i="5"/>
  <c r="K17" i="1"/>
  <c r="L17" i="1" l="1"/>
  <c r="M17" i="1" s="1"/>
  <c r="K43" i="1"/>
  <c r="N17" i="1" l="1"/>
  <c r="K41" i="1"/>
  <c r="J43" i="1"/>
  <c r="J40" i="1"/>
  <c r="O17" i="1" l="1"/>
  <c r="L41" i="1"/>
  <c r="J28" i="1"/>
  <c r="J29" i="1" s="1"/>
  <c r="J30" i="1"/>
  <c r="J31" i="1" s="1"/>
  <c r="AF42" i="1"/>
  <c r="AG42" i="1" s="1"/>
  <c r="AI42" i="1" l="1"/>
  <c r="AH42" i="1"/>
  <c r="P17" i="1"/>
  <c r="M41" i="1"/>
  <c r="J26" i="1"/>
  <c r="J27" i="1" s="1"/>
  <c r="J22" i="1"/>
  <c r="J24" i="1" s="1"/>
  <c r="J25" i="1" s="1"/>
  <c r="C12" i="5"/>
  <c r="C7" i="5"/>
  <c r="C8" i="5" s="1"/>
  <c r="C9" i="5" s="1"/>
  <c r="C18" i="5"/>
  <c r="C15" i="5"/>
  <c r="C24" i="5"/>
  <c r="C3" i="5"/>
  <c r="Q17" i="1" l="1"/>
  <c r="C30" i="5"/>
  <c r="J23" i="1"/>
  <c r="N41" i="1"/>
  <c r="J20" i="1"/>
  <c r="C34" i="5"/>
  <c r="R17" i="1" l="1"/>
  <c r="R43" i="1" s="1"/>
  <c r="O41" i="1"/>
  <c r="C13" i="5"/>
  <c r="C14" i="5" s="1"/>
  <c r="AJ18" i="1"/>
  <c r="J36" i="1"/>
  <c r="J34" i="1"/>
  <c r="J37" i="1"/>
  <c r="J35" i="1"/>
  <c r="S17" i="1" l="1"/>
  <c r="AJ75" i="1"/>
  <c r="AJ76" i="1" s="1"/>
  <c r="AJ73" i="1"/>
  <c r="AJ79" i="1"/>
  <c r="AJ80" i="1" s="1"/>
  <c r="AJ83" i="1"/>
  <c r="AJ77" i="1"/>
  <c r="AJ78" i="1" s="1"/>
  <c r="AJ81" i="1"/>
  <c r="AJ82"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4" i="1"/>
  <c r="AJ86" i="1" s="1"/>
  <c r="AJ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3" i="1"/>
  <c r="J74" i="1" s="1"/>
  <c r="V17" i="1" l="1"/>
  <c r="E19" i="4"/>
  <c r="Q20" i="4"/>
  <c r="H18" i="4"/>
  <c r="N22" i="4" s="1"/>
  <c r="K17" i="4"/>
  <c r="Y24" i="4"/>
  <c r="W17" i="1" l="1"/>
  <c r="H19" i="4"/>
  <c r="T20" i="4"/>
  <c r="K18" i="4"/>
  <c r="K19" i="4" s="1"/>
  <c r="N21" i="4"/>
  <c r="AB24" i="4" s="1"/>
  <c r="N17" i="4"/>
  <c r="X17" i="1" l="1"/>
  <c r="Q17" i="4"/>
  <c r="T17" i="4" s="1"/>
  <c r="W20" i="4"/>
  <c r="N18" i="4"/>
  <c r="N19" i="4" s="1"/>
  <c r="Q21" i="4"/>
  <c r="AE24" i="4" s="1"/>
  <c r="Q22" i="4"/>
  <c r="Y17" i="1" l="1"/>
  <c r="Z17" i="1" s="1"/>
  <c r="AA17" i="1" s="1"/>
  <c r="AB17" i="1" s="1"/>
  <c r="AC17" i="1" s="1"/>
  <c r="AD17" i="1" s="1"/>
  <c r="AE17" i="1" s="1"/>
  <c r="D14"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3" i="1"/>
  <c r="C81" i="1"/>
  <c r="C79" i="1"/>
  <c r="C77" i="1"/>
  <c r="C75" i="1"/>
  <c r="C73" i="1"/>
  <c r="J32" i="1"/>
  <c r="D52" i="1"/>
  <c r="AF17" i="1" l="1"/>
  <c r="AE40" i="1"/>
  <c r="AE41" i="1"/>
  <c r="AE43" i="1"/>
  <c r="Z18" i="4"/>
  <c r="Z19" i="4" s="1"/>
  <c r="AI20" i="4"/>
  <c r="AJ52" i="1"/>
  <c r="AJ53" i="1"/>
  <c r="AC21" i="4"/>
  <c r="AC22" i="4"/>
  <c r="AC23" i="4"/>
  <c r="AC17" i="4"/>
  <c r="AJ32" i="1"/>
  <c r="D56" i="1"/>
  <c r="D50" i="1"/>
  <c r="D66" i="1"/>
  <c r="D64" i="1"/>
  <c r="D62" i="1"/>
  <c r="D60" i="1"/>
  <c r="D58" i="1"/>
  <c r="D54" i="1"/>
  <c r="C10" i="5"/>
  <c r="C26" i="5" s="1"/>
  <c r="C27" i="5" s="1"/>
  <c r="C11" i="5"/>
  <c r="J53" i="1"/>
  <c r="J83" i="1"/>
  <c r="J81" i="1"/>
  <c r="J79" i="1"/>
  <c r="J80" i="1" s="1"/>
  <c r="J77" i="1"/>
  <c r="J78" i="1" s="1"/>
  <c r="J75" i="1"/>
  <c r="J76" i="1" s="1"/>
  <c r="C52" i="1"/>
  <c r="C54" i="1"/>
  <c r="C56" i="1"/>
  <c r="C58" i="1"/>
  <c r="C60" i="1"/>
  <c r="C62" i="1"/>
  <c r="C64" i="1"/>
  <c r="C66" i="1"/>
  <c r="C50" i="1"/>
  <c r="J19" i="1"/>
  <c r="K18" i="1"/>
  <c r="C28" i="5" l="1"/>
  <c r="C29" i="5" s="1"/>
  <c r="AG17" i="1"/>
  <c r="AH17" i="1" s="1"/>
  <c r="AF40" i="1"/>
  <c r="AF41" i="1"/>
  <c r="AF43" i="1"/>
  <c r="AJ50" i="1"/>
  <c r="AJ51" i="1"/>
  <c r="AL20" i="4"/>
  <c r="AC18" i="4"/>
  <c r="AC19" i="4" s="1"/>
  <c r="AJ62" i="1"/>
  <c r="AJ63" i="1"/>
  <c r="AJ55" i="1"/>
  <c r="AJ54" i="1"/>
  <c r="AJ58" i="1"/>
  <c r="AJ59" i="1"/>
  <c r="AJ65" i="1"/>
  <c r="AJ64" i="1"/>
  <c r="AJ57" i="1"/>
  <c r="AJ56" i="1"/>
  <c r="AJ61" i="1"/>
  <c r="AJ60" i="1"/>
  <c r="J67" i="1"/>
  <c r="AJ67" i="1"/>
  <c r="AJ66" i="1"/>
  <c r="K28" i="1"/>
  <c r="K30" i="1"/>
  <c r="K31" i="1" s="1"/>
  <c r="K26" i="1"/>
  <c r="K27" i="1" s="1"/>
  <c r="K34" i="1"/>
  <c r="K37" i="1"/>
  <c r="K40" i="1"/>
  <c r="K35" i="1"/>
  <c r="K36" i="1"/>
  <c r="K22" i="1"/>
  <c r="AF22" i="4"/>
  <c r="AF23" i="4"/>
  <c r="AF21" i="4"/>
  <c r="AF17" i="4"/>
  <c r="J51" i="1"/>
  <c r="J50" i="1"/>
  <c r="J59" i="1"/>
  <c r="J58" i="1"/>
  <c r="J62" i="1"/>
  <c r="J61" i="1"/>
  <c r="J64" i="1"/>
  <c r="J54" i="1"/>
  <c r="L18" i="1"/>
  <c r="L26" i="1" s="1"/>
  <c r="L27" i="1" s="1"/>
  <c r="K77" i="1"/>
  <c r="K78" i="1" s="1"/>
  <c r="J55" i="1"/>
  <c r="K66" i="1"/>
  <c r="K75" i="1"/>
  <c r="K76" i="1" s="1"/>
  <c r="J63" i="1"/>
  <c r="K64" i="1"/>
  <c r="K83" i="1"/>
  <c r="J52" i="1"/>
  <c r="J60" i="1"/>
  <c r="K81" i="1"/>
  <c r="K82" i="1" s="1"/>
  <c r="K79" i="1"/>
  <c r="K80" i="1" s="1"/>
  <c r="K62" i="1"/>
  <c r="K55" i="1"/>
  <c r="K59" i="1"/>
  <c r="K63" i="1"/>
  <c r="K67" i="1"/>
  <c r="J85" i="1"/>
  <c r="K73" i="1"/>
  <c r="K74" i="1" s="1"/>
  <c r="J56" i="1"/>
  <c r="K52" i="1"/>
  <c r="J57" i="1"/>
  <c r="J65" i="1"/>
  <c r="K56" i="1"/>
  <c r="K53" i="1"/>
  <c r="K60" i="1"/>
  <c r="J66" i="1"/>
  <c r="K50" i="1"/>
  <c r="K57" i="1"/>
  <c r="K61" i="1"/>
  <c r="K65" i="1"/>
  <c r="K54" i="1"/>
  <c r="K51" i="1"/>
  <c r="K58" i="1"/>
  <c r="J82" i="1"/>
  <c r="J86" i="1" s="1"/>
  <c r="K19" i="1"/>
  <c r="K32" i="1"/>
  <c r="AH40" i="1" l="1"/>
  <c r="AH43" i="1"/>
  <c r="AH41" i="1"/>
  <c r="AI17" i="1"/>
  <c r="AG40" i="1"/>
  <c r="AG41" i="1"/>
  <c r="AG43" i="1"/>
  <c r="AO20" i="4"/>
  <c r="AF18" i="4"/>
  <c r="AF19" i="4" s="1"/>
  <c r="AJ69" i="1"/>
  <c r="AJ68" i="1"/>
  <c r="K29" i="1"/>
  <c r="K20" i="1" s="1"/>
  <c r="K21" i="1" s="1"/>
  <c r="L75" i="1"/>
  <c r="L76" i="1" s="1"/>
  <c r="L56" i="1"/>
  <c r="L30" i="1"/>
  <c r="L31" i="1" s="1"/>
  <c r="L81" i="1"/>
  <c r="L82" i="1" s="1"/>
  <c r="L52" i="1"/>
  <c r="L51" i="1"/>
  <c r="L73" i="1"/>
  <c r="L74" i="1" s="1"/>
  <c r="L53" i="1"/>
  <c r="L19" i="1"/>
  <c r="K23" i="1"/>
  <c r="K24" i="1"/>
  <c r="K25" i="1" s="1"/>
  <c r="L43" i="1"/>
  <c r="M18" i="1"/>
  <c r="M26" i="1" s="1"/>
  <c r="L22" i="1"/>
  <c r="L32" i="1"/>
  <c r="L66" i="1"/>
  <c r="L65" i="1"/>
  <c r="L77" i="1"/>
  <c r="L78" i="1" s="1"/>
  <c r="L61" i="1"/>
  <c r="L60" i="1"/>
  <c r="L36" i="1"/>
  <c r="L34" i="1"/>
  <c r="L37" i="1"/>
  <c r="L40" i="1"/>
  <c r="L35" i="1"/>
  <c r="AI23" i="4"/>
  <c r="AI21" i="4"/>
  <c r="AI22" i="4"/>
  <c r="AI17" i="4"/>
  <c r="AI18" i="4" s="1"/>
  <c r="J69" i="1"/>
  <c r="K69" i="1"/>
  <c r="L63" i="1"/>
  <c r="L62" i="1"/>
  <c r="L58" i="1"/>
  <c r="L55" i="1"/>
  <c r="L57" i="1"/>
  <c r="L50" i="1"/>
  <c r="L59" i="1"/>
  <c r="L64" i="1"/>
  <c r="L83" i="1"/>
  <c r="L54" i="1"/>
  <c r="L79" i="1"/>
  <c r="L80" i="1" s="1"/>
  <c r="L67" i="1"/>
  <c r="K85" i="1"/>
  <c r="J68" i="1"/>
  <c r="K68" i="1"/>
  <c r="K86" i="1"/>
  <c r="AJ17" i="1" l="1"/>
  <c r="AJ40" i="1" s="1"/>
  <c r="AI43" i="1"/>
  <c r="AI40" i="1"/>
  <c r="AI41" i="1"/>
  <c r="M57" i="1"/>
  <c r="M55" i="1"/>
  <c r="M53" i="1"/>
  <c r="M67" i="1"/>
  <c r="M75" i="1"/>
  <c r="M76" i="1" s="1"/>
  <c r="M63" i="1"/>
  <c r="M62" i="1"/>
  <c r="M54" i="1"/>
  <c r="M65" i="1"/>
  <c r="M60" i="1"/>
  <c r="M83" i="1"/>
  <c r="M50" i="1"/>
  <c r="M61" i="1"/>
  <c r="M59" i="1"/>
  <c r="M52" i="1"/>
  <c r="M73" i="1"/>
  <c r="M74" i="1" s="1"/>
  <c r="M56" i="1"/>
  <c r="N18" i="1"/>
  <c r="N62" i="1" s="1"/>
  <c r="M66" i="1"/>
  <c r="M64" i="1"/>
  <c r="M32" i="1"/>
  <c r="M77" i="1"/>
  <c r="M78" i="1" s="1"/>
  <c r="L86" i="1"/>
  <c r="M51" i="1"/>
  <c r="M79" i="1"/>
  <c r="M80" i="1" s="1"/>
  <c r="M81" i="1"/>
  <c r="M82" i="1" s="1"/>
  <c r="M19" i="1"/>
  <c r="M58" i="1"/>
  <c r="M43" i="1"/>
  <c r="L23" i="1"/>
  <c r="L24" i="1"/>
  <c r="L25" i="1" s="1"/>
  <c r="M35" i="1"/>
  <c r="M36" i="1"/>
  <c r="M37" i="1"/>
  <c r="M40" i="1"/>
  <c r="M34" i="1"/>
  <c r="L85" i="1"/>
  <c r="M22" i="1"/>
  <c r="AL22" i="4"/>
  <c r="AL21" i="4"/>
  <c r="AL23" i="4"/>
  <c r="AL17" i="4"/>
  <c r="AL18" i="4" s="1"/>
  <c r="AI19" i="4"/>
  <c r="L68" i="1"/>
  <c r="L69" i="1"/>
  <c r="N66" i="1" l="1"/>
  <c r="N63" i="1"/>
  <c r="N75" i="1"/>
  <c r="N76" i="1" s="1"/>
  <c r="N60" i="1"/>
  <c r="N61" i="1"/>
  <c r="N52" i="1"/>
  <c r="N58" i="1"/>
  <c r="N73" i="1"/>
  <c r="N74" i="1" s="1"/>
  <c r="M69" i="1"/>
  <c r="N59" i="1"/>
  <c r="N51" i="1"/>
  <c r="N81" i="1"/>
  <c r="N82" i="1" s="1"/>
  <c r="N65" i="1"/>
  <c r="N57" i="1"/>
  <c r="N64" i="1"/>
  <c r="N79" i="1"/>
  <c r="N80" i="1" s="1"/>
  <c r="M86" i="1"/>
  <c r="N26" i="1"/>
  <c r="N19" i="1"/>
  <c r="N53" i="1"/>
  <c r="N54" i="1"/>
  <c r="N77" i="1"/>
  <c r="N78" i="1" s="1"/>
  <c r="N22" i="1"/>
  <c r="N24" i="1" s="1"/>
  <c r="N32" i="1"/>
  <c r="N56" i="1"/>
  <c r="O18" i="1"/>
  <c r="O63" i="1" s="1"/>
  <c r="N67" i="1"/>
  <c r="M68" i="1"/>
  <c r="N55" i="1"/>
  <c r="N83" i="1"/>
  <c r="M85" i="1"/>
  <c r="N50" i="1"/>
  <c r="N43" i="1"/>
  <c r="M23" i="1"/>
  <c r="M24" i="1"/>
  <c r="N35" i="1"/>
  <c r="N40" i="1"/>
  <c r="N36" i="1"/>
  <c r="N37" i="1"/>
  <c r="N34" i="1"/>
  <c r="AO21" i="4"/>
  <c r="AO22" i="4"/>
  <c r="AO23" i="4"/>
  <c r="AO17" i="4"/>
  <c r="AO18" i="4" s="1"/>
  <c r="AO19" i="4" s="1"/>
  <c r="AL19" i="4"/>
  <c r="O60" i="1"/>
  <c r="O50" i="1"/>
  <c r="O53" i="1" l="1"/>
  <c r="N68" i="1"/>
  <c r="N86" i="1"/>
  <c r="O66" i="1"/>
  <c r="O32" i="1"/>
  <c r="P18" i="1"/>
  <c r="P64" i="1" s="1"/>
  <c r="O55" i="1"/>
  <c r="O81" i="1"/>
  <c r="O82" i="1" s="1"/>
  <c r="O61" i="1"/>
  <c r="O62" i="1"/>
  <c r="N85" i="1"/>
  <c r="O58" i="1"/>
  <c r="N69" i="1"/>
  <c r="O19" i="1"/>
  <c r="O56" i="1"/>
  <c r="O79" i="1"/>
  <c r="O80" i="1" s="1"/>
  <c r="O26" i="1"/>
  <c r="O75" i="1"/>
  <c r="O76" i="1" s="1"/>
  <c r="O57" i="1"/>
  <c r="O22" i="1"/>
  <c r="O23" i="1" s="1"/>
  <c r="O65" i="1"/>
  <c r="O64" i="1"/>
  <c r="O59" i="1"/>
  <c r="O77" i="1"/>
  <c r="O78" i="1" s="1"/>
  <c r="O52" i="1"/>
  <c r="O73" i="1"/>
  <c r="O74" i="1" s="1"/>
  <c r="O83" i="1"/>
  <c r="O54" i="1"/>
  <c r="N23" i="1"/>
  <c r="O51" i="1"/>
  <c r="O67" i="1"/>
  <c r="P22" i="1"/>
  <c r="P26" i="1"/>
  <c r="O43" i="1"/>
  <c r="O35" i="1"/>
  <c r="O36" i="1"/>
  <c r="O34" i="1"/>
  <c r="O37" i="1"/>
  <c r="O40" i="1"/>
  <c r="P32" i="1" l="1"/>
  <c r="P61" i="1"/>
  <c r="P73" i="1"/>
  <c r="P74" i="1" s="1"/>
  <c r="P83" i="1"/>
  <c r="P58" i="1"/>
  <c r="P59" i="1"/>
  <c r="P51" i="1"/>
  <c r="P65" i="1"/>
  <c r="P52" i="1"/>
  <c r="P50" i="1"/>
  <c r="P55" i="1"/>
  <c r="P62" i="1"/>
  <c r="P63" i="1"/>
  <c r="P19" i="1"/>
  <c r="P75" i="1"/>
  <c r="P76" i="1" s="1"/>
  <c r="P60" i="1"/>
  <c r="P53" i="1"/>
  <c r="P79" i="1"/>
  <c r="P80" i="1" s="1"/>
  <c r="P77" i="1"/>
  <c r="P78" i="1" s="1"/>
  <c r="P57" i="1"/>
  <c r="P56" i="1"/>
  <c r="Q18" i="1"/>
  <c r="Q60" i="1" s="1"/>
  <c r="P67" i="1"/>
  <c r="P66" i="1"/>
  <c r="P81" i="1"/>
  <c r="P82" i="1" s="1"/>
  <c r="P54" i="1"/>
  <c r="O86" i="1"/>
  <c r="O69" i="1"/>
  <c r="O85" i="1"/>
  <c r="O68" i="1"/>
  <c r="O24" i="1"/>
  <c r="P43" i="1"/>
  <c r="P23" i="1"/>
  <c r="P24" i="1"/>
  <c r="P35" i="1"/>
  <c r="P36" i="1"/>
  <c r="P37" i="1"/>
  <c r="P34" i="1"/>
  <c r="P40" i="1"/>
  <c r="Q63" i="1" l="1"/>
  <c r="Q75" i="1"/>
  <c r="Q76" i="1" s="1"/>
  <c r="Q50" i="1"/>
  <c r="Q73" i="1"/>
  <c r="Q74" i="1" s="1"/>
  <c r="Q32" i="1"/>
  <c r="Q61" i="1"/>
  <c r="Q66" i="1"/>
  <c r="Q83" i="1"/>
  <c r="Q55" i="1"/>
  <c r="R18" i="1"/>
  <c r="R26" i="1" s="1"/>
  <c r="Q62" i="1"/>
  <c r="Q67" i="1"/>
  <c r="Q51" i="1"/>
  <c r="P68" i="1"/>
  <c r="Q57" i="1"/>
  <c r="P69" i="1"/>
  <c r="P85" i="1"/>
  <c r="Q53" i="1"/>
  <c r="Q64" i="1"/>
  <c r="Q59" i="1"/>
  <c r="Q58" i="1"/>
  <c r="Q77" i="1"/>
  <c r="Q78" i="1" s="1"/>
  <c r="P86" i="1"/>
  <c r="Q22" i="1"/>
  <c r="Q23" i="1" s="1"/>
  <c r="Q79" i="1"/>
  <c r="Q80" i="1" s="1"/>
  <c r="Q26" i="1"/>
  <c r="Q19" i="1"/>
  <c r="Q52" i="1"/>
  <c r="Q54" i="1"/>
  <c r="Q65" i="1"/>
  <c r="Q81" i="1"/>
  <c r="Q82" i="1" s="1"/>
  <c r="Q56" i="1"/>
  <c r="Q43" i="1"/>
  <c r="Q41" i="1"/>
  <c r="Q40" i="1"/>
  <c r="Q35" i="1"/>
  <c r="Q37" i="1"/>
  <c r="Q36" i="1"/>
  <c r="Q34" i="1"/>
  <c r="R63" i="1" l="1"/>
  <c r="R66" i="1"/>
  <c r="R67" i="1"/>
  <c r="R19" i="1"/>
  <c r="R81" i="1"/>
  <c r="R82" i="1" s="1"/>
  <c r="R79" i="1"/>
  <c r="R80" i="1" s="1"/>
  <c r="R77" i="1"/>
  <c r="R78" i="1" s="1"/>
  <c r="R58" i="1"/>
  <c r="R75" i="1"/>
  <c r="R76" i="1" s="1"/>
  <c r="R61" i="1"/>
  <c r="R53" i="1"/>
  <c r="R51" i="1"/>
  <c r="R50" i="1"/>
  <c r="R59" i="1"/>
  <c r="R65" i="1"/>
  <c r="R32" i="1"/>
  <c r="R52" i="1"/>
  <c r="R60" i="1"/>
  <c r="R64" i="1"/>
  <c r="R73" i="1"/>
  <c r="R74" i="1" s="1"/>
  <c r="R57" i="1"/>
  <c r="R62" i="1"/>
  <c r="R56" i="1"/>
  <c r="R55" i="1"/>
  <c r="S18" i="1"/>
  <c r="S32" i="1" s="1"/>
  <c r="R54" i="1"/>
  <c r="R83" i="1"/>
  <c r="R22" i="1"/>
  <c r="R23" i="1" s="1"/>
  <c r="Q69" i="1"/>
  <c r="Q24" i="1"/>
  <c r="Q68" i="1"/>
  <c r="Q85" i="1"/>
  <c r="Q86" i="1"/>
  <c r="R40" i="1"/>
  <c r="R41" i="1"/>
  <c r="R35" i="1"/>
  <c r="R37" i="1"/>
  <c r="R34" i="1"/>
  <c r="R36" i="1"/>
  <c r="S22" i="1" l="1"/>
  <c r="S19" i="1"/>
  <c r="S56" i="1"/>
  <c r="S79" i="1"/>
  <c r="S80" i="1" s="1"/>
  <c r="S83" i="1"/>
  <c r="R86" i="1"/>
  <c r="R85" i="1"/>
  <c r="R69" i="1"/>
  <c r="R68" i="1"/>
  <c r="S53" i="1"/>
  <c r="S55" i="1"/>
  <c r="S63" i="1"/>
  <c r="S50" i="1"/>
  <c r="T18" i="1"/>
  <c r="T26" i="1" s="1"/>
  <c r="S64" i="1"/>
  <c r="S77" i="1"/>
  <c r="S78" i="1" s="1"/>
  <c r="S73" i="1"/>
  <c r="S74" i="1" s="1"/>
  <c r="S66" i="1"/>
  <c r="S75" i="1"/>
  <c r="S76" i="1" s="1"/>
  <c r="S61" i="1"/>
  <c r="S57" i="1"/>
  <c r="S62" i="1"/>
  <c r="S52" i="1"/>
  <c r="S26" i="1"/>
  <c r="S60" i="1"/>
  <c r="S58" i="1"/>
  <c r="S51" i="1"/>
  <c r="S67" i="1"/>
  <c r="S59" i="1"/>
  <c r="S81" i="1"/>
  <c r="S82" i="1" s="1"/>
  <c r="S65" i="1"/>
  <c r="S54" i="1"/>
  <c r="R24" i="1"/>
  <c r="S23" i="1"/>
  <c r="S24" i="1"/>
  <c r="S43" i="1"/>
  <c r="S41" i="1"/>
  <c r="S40" i="1"/>
  <c r="S36" i="1"/>
  <c r="S37" i="1"/>
  <c r="S34" i="1"/>
  <c r="S35" i="1"/>
  <c r="T55" i="1" l="1"/>
  <c r="T60" i="1"/>
  <c r="T58" i="1"/>
  <c r="T75" i="1"/>
  <c r="T76" i="1" s="1"/>
  <c r="T62" i="1"/>
  <c r="S68" i="1"/>
  <c r="T66" i="1"/>
  <c r="T73" i="1"/>
  <c r="T74" i="1" s="1"/>
  <c r="T52" i="1"/>
  <c r="T59" i="1"/>
  <c r="T32" i="1"/>
  <c r="T77" i="1"/>
  <c r="T78" i="1" s="1"/>
  <c r="T64" i="1"/>
  <c r="T61" i="1"/>
  <c r="T67" i="1"/>
  <c r="T53" i="1"/>
  <c r="T57" i="1"/>
  <c r="T79" i="1"/>
  <c r="T80" i="1" s="1"/>
  <c r="T65" i="1"/>
  <c r="U18" i="1"/>
  <c r="U19" i="1" s="1"/>
  <c r="T50" i="1"/>
  <c r="T22" i="1"/>
  <c r="T24" i="1" s="1"/>
  <c r="S69" i="1"/>
  <c r="T63" i="1"/>
  <c r="T56" i="1"/>
  <c r="T81" i="1"/>
  <c r="T82" i="1" s="1"/>
  <c r="T51" i="1"/>
  <c r="T54" i="1"/>
  <c r="T83" i="1"/>
  <c r="T19" i="1"/>
  <c r="S85" i="1"/>
  <c r="S86" i="1"/>
  <c r="T43" i="1"/>
  <c r="T41" i="1"/>
  <c r="T40" i="1"/>
  <c r="T23" i="1"/>
  <c r="T37" i="1"/>
  <c r="T34" i="1"/>
  <c r="T36" i="1"/>
  <c r="T35" i="1"/>
  <c r="U64" i="1" l="1"/>
  <c r="U77" i="1"/>
  <c r="U78" i="1" s="1"/>
  <c r="U62" i="1"/>
  <c r="U55" i="1"/>
  <c r="U81" i="1"/>
  <c r="U82" i="1" s="1"/>
  <c r="U83" i="1"/>
  <c r="U67" i="1"/>
  <c r="U57" i="1"/>
  <c r="U58" i="1"/>
  <c r="U56" i="1"/>
  <c r="U53" i="1"/>
  <c r="U66" i="1"/>
  <c r="U50" i="1"/>
  <c r="T85" i="1"/>
  <c r="T68" i="1"/>
  <c r="U60" i="1"/>
  <c r="U65" i="1"/>
  <c r="U32" i="1"/>
  <c r="U63" i="1"/>
  <c r="U26" i="1"/>
  <c r="U54" i="1"/>
  <c r="U52" i="1"/>
  <c r="V18" i="1"/>
  <c r="V26" i="1" s="1"/>
  <c r="U51" i="1"/>
  <c r="U22" i="1"/>
  <c r="U24" i="1" s="1"/>
  <c r="U61" i="1"/>
  <c r="U79" i="1"/>
  <c r="U80" i="1" s="1"/>
  <c r="U59" i="1"/>
  <c r="T69" i="1"/>
  <c r="T86" i="1"/>
  <c r="U75" i="1"/>
  <c r="U76" i="1" s="1"/>
  <c r="U73" i="1"/>
  <c r="U74" i="1" s="1"/>
  <c r="U41" i="1"/>
  <c r="U43" i="1"/>
  <c r="U34" i="1"/>
  <c r="U36" i="1"/>
  <c r="U40" i="1"/>
  <c r="U35" i="1"/>
  <c r="U37" i="1"/>
  <c r="V75" i="1" l="1"/>
  <c r="V76" i="1" s="1"/>
  <c r="V64" i="1"/>
  <c r="V57" i="1"/>
  <c r="V54" i="1"/>
  <c r="V60" i="1"/>
  <c r="V83" i="1"/>
  <c r="V19" i="1"/>
  <c r="V77" i="1"/>
  <c r="V78" i="1" s="1"/>
  <c r="V53" i="1"/>
  <c r="V22" i="1"/>
  <c r="V23" i="1" s="1"/>
  <c r="U69" i="1"/>
  <c r="V61" i="1"/>
  <c r="V58" i="1"/>
  <c r="U68" i="1"/>
  <c r="V50" i="1"/>
  <c r="V51" i="1"/>
  <c r="V59" i="1"/>
  <c r="V55" i="1"/>
  <c r="V52" i="1"/>
  <c r="V62" i="1"/>
  <c r="V79" i="1"/>
  <c r="V80" i="1" s="1"/>
  <c r="V65" i="1"/>
  <c r="V56" i="1"/>
  <c r="U23" i="1"/>
  <c r="V66" i="1"/>
  <c r="W18" i="1"/>
  <c r="W26" i="1" s="1"/>
  <c r="V81" i="1"/>
  <c r="V82" i="1" s="1"/>
  <c r="U85" i="1"/>
  <c r="V73" i="1"/>
  <c r="V74" i="1" s="1"/>
  <c r="V63" i="1"/>
  <c r="V67" i="1"/>
  <c r="V32" i="1"/>
  <c r="U86" i="1"/>
  <c r="V41" i="1"/>
  <c r="V43" i="1"/>
  <c r="V34" i="1"/>
  <c r="V36" i="1"/>
  <c r="V37" i="1"/>
  <c r="V40" i="1"/>
  <c r="V35" i="1"/>
  <c r="V68" i="1" l="1"/>
  <c r="V24" i="1"/>
  <c r="W56" i="1"/>
  <c r="V86" i="1"/>
  <c r="W54" i="1"/>
  <c r="W60" i="1"/>
  <c r="W55" i="1"/>
  <c r="X18" i="1"/>
  <c r="X67" i="1" s="1"/>
  <c r="W22" i="1"/>
  <c r="W24" i="1" s="1"/>
  <c r="W77" i="1"/>
  <c r="W78" i="1" s="1"/>
  <c r="W62" i="1"/>
  <c r="W32" i="1"/>
  <c r="W63" i="1"/>
  <c r="W57" i="1"/>
  <c r="W66" i="1"/>
  <c r="W52" i="1"/>
  <c r="W64" i="1"/>
  <c r="V69" i="1"/>
  <c r="W53" i="1"/>
  <c r="W75" i="1"/>
  <c r="W76" i="1" s="1"/>
  <c r="W19" i="1"/>
  <c r="W67" i="1"/>
  <c r="W50" i="1"/>
  <c r="W61" i="1"/>
  <c r="W83" i="1"/>
  <c r="W51" i="1"/>
  <c r="W59" i="1"/>
  <c r="V85" i="1"/>
  <c r="W73" i="1"/>
  <c r="W58" i="1"/>
  <c r="W65" i="1"/>
  <c r="W81" i="1"/>
  <c r="W82" i="1" s="1"/>
  <c r="W79" i="1"/>
  <c r="W80" i="1" s="1"/>
  <c r="W41" i="1"/>
  <c r="W43" i="1"/>
  <c r="X22" i="1"/>
  <c r="X26" i="1"/>
  <c r="W37" i="1"/>
  <c r="W36" i="1"/>
  <c r="W34" i="1"/>
  <c r="W40" i="1"/>
  <c r="W35" i="1"/>
  <c r="Y18" i="1"/>
  <c r="X53" i="1"/>
  <c r="X56" i="1"/>
  <c r="X58" i="1"/>
  <c r="X57" i="1"/>
  <c r="X54" i="1"/>
  <c r="X75" i="1"/>
  <c r="X76" i="1" s="1"/>
  <c r="X63" i="1"/>
  <c r="X83" i="1"/>
  <c r="X51" i="1"/>
  <c r="X61" i="1"/>
  <c r="X52" i="1"/>
  <c r="X50" i="1"/>
  <c r="X66" i="1"/>
  <c r="X65" i="1"/>
  <c r="X62" i="1"/>
  <c r="AH28" i="1" l="1"/>
  <c r="AH30" i="1"/>
  <c r="AH25" i="1"/>
  <c r="X77" i="1"/>
  <c r="X78" i="1" s="1"/>
  <c r="X59" i="1"/>
  <c r="W23" i="1"/>
  <c r="W69"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5" i="1"/>
  <c r="W68" i="1"/>
  <c r="X19" i="1"/>
  <c r="X64" i="1"/>
  <c r="W74" i="1"/>
  <c r="W86" i="1" s="1"/>
  <c r="X55" i="1"/>
  <c r="X60" i="1"/>
  <c r="X68" i="1" s="1"/>
  <c r="X32" i="1"/>
  <c r="X73" i="1"/>
  <c r="X74" i="1" s="1"/>
  <c r="X79" i="1"/>
  <c r="X80" i="1" s="1"/>
  <c r="X81" i="1"/>
  <c r="X82" i="1" s="1"/>
  <c r="S25" i="1"/>
  <c r="T25" i="1"/>
  <c r="R25" i="1"/>
  <c r="U25" i="1"/>
  <c r="V25" i="1"/>
  <c r="W25" i="1"/>
  <c r="N28" i="1"/>
  <c r="T27" i="1"/>
  <c r="O28" i="1"/>
  <c r="O29" i="1" s="1"/>
  <c r="T30" i="1"/>
  <c r="T31" i="1" s="1"/>
  <c r="R27" i="1"/>
  <c r="S28" i="1"/>
  <c r="S30" i="1"/>
  <c r="S31" i="1" s="1"/>
  <c r="Q28" i="1"/>
  <c r="Q29" i="1" s="1"/>
  <c r="S27" i="1"/>
  <c r="R30" i="1"/>
  <c r="R31" i="1" s="1"/>
  <c r="R28" i="1"/>
  <c r="R29" i="1" s="1"/>
  <c r="P28" i="1"/>
  <c r="P29" i="1" s="1"/>
  <c r="T28" i="1"/>
  <c r="Y22" i="1"/>
  <c r="Y26" i="1"/>
  <c r="X41" i="1"/>
  <c r="X43" i="1"/>
  <c r="X23" i="1"/>
  <c r="X24" i="1"/>
  <c r="X25" i="1" s="1"/>
  <c r="X37" i="1"/>
  <c r="X34" i="1"/>
  <c r="X36" i="1"/>
  <c r="X40" i="1"/>
  <c r="X35" i="1"/>
  <c r="Y32" i="1"/>
  <c r="X69"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S29" i="1" l="1"/>
  <c r="S20" i="1" s="1"/>
  <c r="S21" i="1" s="1"/>
  <c r="L20" i="1"/>
  <c r="L21" i="1" s="1"/>
  <c r="T29" i="1"/>
  <c r="T20" i="1" s="1"/>
  <c r="T21" i="1" s="1"/>
  <c r="X85" i="1"/>
  <c r="M20" i="1"/>
  <c r="M21" i="1" s="1"/>
  <c r="X86" i="1"/>
  <c r="N29" i="1"/>
  <c r="N20" i="1" s="1"/>
  <c r="N21" i="1" s="1"/>
  <c r="O20" i="1"/>
  <c r="O21" i="1" s="1"/>
  <c r="P20" i="1"/>
  <c r="P21" i="1" s="1"/>
  <c r="R20" i="1"/>
  <c r="R21" i="1" s="1"/>
  <c r="Q20" i="1"/>
  <c r="Q21" i="1" s="1"/>
  <c r="Y43" i="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AA22" i="1" l="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C22" i="1" s="1"/>
  <c r="AC24" i="1" s="1"/>
  <c r="AB19" i="1"/>
  <c r="AB52" i="1"/>
  <c r="AB58" i="1"/>
  <c r="AB54" i="1"/>
  <c r="AB67" i="1"/>
  <c r="AB51" i="1"/>
  <c r="AB59" i="1"/>
  <c r="AB55" i="1"/>
  <c r="AB61" i="1"/>
  <c r="AB66" i="1"/>
  <c r="AB57" i="1"/>
  <c r="AB50" i="1"/>
  <c r="AB60" i="1"/>
  <c r="AB62" i="1"/>
  <c r="AB56" i="1"/>
  <c r="AB65" i="1"/>
  <c r="AB64" i="1"/>
  <c r="AB63" i="1"/>
  <c r="V29" i="1" l="1"/>
  <c r="V20" i="1" s="1"/>
  <c r="V21" i="1" s="1"/>
  <c r="U29" i="1"/>
  <c r="U20" i="1" s="1"/>
  <c r="U21" i="1" s="1"/>
  <c r="W29" i="1"/>
  <c r="W20" i="1" s="1"/>
  <c r="W21" i="1" s="1"/>
  <c r="AC23" i="1"/>
  <c r="AC62" i="1"/>
  <c r="AD18" i="1"/>
  <c r="Y27" i="1"/>
  <c r="AB41" i="1"/>
  <c r="AB43" i="1"/>
  <c r="AC32" i="1"/>
  <c r="AC26" i="1"/>
  <c r="AB23"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AG28" i="1" l="1"/>
  <c r="AB25" i="1"/>
  <c r="AC25" i="1"/>
  <c r="AD22" i="1"/>
  <c r="AD24" i="1" s="1"/>
  <c r="AD77" i="1"/>
  <c r="AD78" i="1" s="1"/>
  <c r="AD81" i="1"/>
  <c r="AD82" i="1" s="1"/>
  <c r="AD50" i="1"/>
  <c r="AD52" i="1"/>
  <c r="AD54" i="1"/>
  <c r="AD56" i="1"/>
  <c r="AD58" i="1"/>
  <c r="AD60" i="1"/>
  <c r="AD62" i="1"/>
  <c r="AD64" i="1"/>
  <c r="AD66" i="1"/>
  <c r="AD75" i="1"/>
  <c r="AD76" i="1" s="1"/>
  <c r="AD73" i="1"/>
  <c r="AD79" i="1"/>
  <c r="AD80" i="1" s="1"/>
  <c r="AD83" i="1"/>
  <c r="AD51" i="1"/>
  <c r="AD53" i="1"/>
  <c r="AD55" i="1"/>
  <c r="AD57" i="1"/>
  <c r="AD59" i="1"/>
  <c r="AD61" i="1"/>
  <c r="AD63" i="1"/>
  <c r="AD65" i="1"/>
  <c r="AD67" i="1"/>
  <c r="AD33" i="1"/>
  <c r="AE18" i="1"/>
  <c r="AD19" i="1"/>
  <c r="AD26" i="1"/>
  <c r="AD32" i="1"/>
  <c r="AC41" i="1"/>
  <c r="AD25" i="1" s="1"/>
  <c r="AC43" i="1"/>
  <c r="AI33" i="1" s="1"/>
  <c r="AC37" i="1"/>
  <c r="AC34" i="1"/>
  <c r="AC40" i="1"/>
  <c r="AC35" i="1"/>
  <c r="AC36" i="1"/>
  <c r="AC69" i="1"/>
  <c r="AC68" i="1"/>
  <c r="AC74" i="1"/>
  <c r="AC86" i="1" s="1"/>
  <c r="AC85" i="1"/>
  <c r="AH31" i="1" l="1"/>
  <c r="AH29" i="1" s="1"/>
  <c r="AH33" i="1"/>
  <c r="AI30" i="1"/>
  <c r="AI31" i="1" s="1"/>
  <c r="AG30" i="1"/>
  <c r="AG31" i="1" s="1"/>
  <c r="AG29" i="1" s="1"/>
  <c r="AF28" i="1"/>
  <c r="AD68" i="1"/>
  <c r="AD69" i="1"/>
  <c r="AE83" i="1"/>
  <c r="AE51" i="1"/>
  <c r="AE53" i="1"/>
  <c r="AE55" i="1"/>
  <c r="AE57" i="1"/>
  <c r="AE59" i="1"/>
  <c r="AE61" i="1"/>
  <c r="AE63" i="1"/>
  <c r="AE65" i="1"/>
  <c r="AE67" i="1"/>
  <c r="AE22" i="1"/>
  <c r="AE77" i="1"/>
  <c r="AE78" i="1" s="1"/>
  <c r="AE81" i="1"/>
  <c r="AE82" i="1" s="1"/>
  <c r="AE50" i="1"/>
  <c r="AE52" i="1"/>
  <c r="AE54" i="1"/>
  <c r="AE56" i="1"/>
  <c r="AE58" i="1"/>
  <c r="AE60" i="1"/>
  <c r="AE62" i="1"/>
  <c r="AE64" i="1"/>
  <c r="AE66" i="1"/>
  <c r="AE75" i="1"/>
  <c r="AE76" i="1" s="1"/>
  <c r="AE73" i="1"/>
  <c r="AE79" i="1"/>
  <c r="AE80" i="1" s="1"/>
  <c r="AD74" i="1"/>
  <c r="AD86" i="1" s="1"/>
  <c r="AD85" i="1"/>
  <c r="AD23" i="1"/>
  <c r="AD27" i="1"/>
  <c r="AD30" i="1"/>
  <c r="AD31" i="1" s="1"/>
  <c r="AE33" i="1"/>
  <c r="AG33" i="1"/>
  <c r="AF33" i="1"/>
  <c r="AE19" i="1"/>
  <c r="AE32" i="1"/>
  <c r="AE26" i="1"/>
  <c r="AE27" i="1" s="1"/>
  <c r="AF18" i="1"/>
  <c r="AF22" i="1" s="1"/>
  <c r="AF23" i="1" s="1"/>
  <c r="AF30" i="1"/>
  <c r="AF31" i="1" s="1"/>
  <c r="AD28" i="1"/>
  <c r="AE30" i="1"/>
  <c r="AE31" i="1" s="1"/>
  <c r="AE28" i="1"/>
  <c r="X28" i="1"/>
  <c r="X29" i="1" s="1"/>
  <c r="AA33" i="1"/>
  <c r="AB33" i="1"/>
  <c r="AC33" i="1"/>
  <c r="AC28" i="1"/>
  <c r="AJ41" i="1"/>
  <c r="AJ25" i="1" s="1"/>
  <c r="AJ43" i="1"/>
  <c r="AJ28" i="1" s="1"/>
  <c r="AJ37" i="1"/>
  <c r="AJ34" i="1"/>
  <c r="AK17" i="1"/>
  <c r="AJ36" i="1"/>
  <c r="AJ35" i="1"/>
  <c r="AF29" i="1" l="1"/>
  <c r="AE69" i="1"/>
  <c r="AE68" i="1"/>
  <c r="AE74" i="1"/>
  <c r="AE86" i="1" s="1"/>
  <c r="AE85" i="1"/>
  <c r="AF73" i="1"/>
  <c r="AF79" i="1"/>
  <c r="AF80" i="1" s="1"/>
  <c r="AF64" i="1"/>
  <c r="AF83" i="1"/>
  <c r="AF51" i="1"/>
  <c r="AF53" i="1"/>
  <c r="AF55" i="1"/>
  <c r="AF57" i="1"/>
  <c r="AF59" i="1"/>
  <c r="AF61" i="1"/>
  <c r="AF63" i="1"/>
  <c r="AF65" i="1"/>
  <c r="AF67" i="1"/>
  <c r="AF54" i="1"/>
  <c r="AF66" i="1"/>
  <c r="AF50" i="1"/>
  <c r="AF58" i="1"/>
  <c r="AF77" i="1"/>
  <c r="AF78" i="1" s="1"/>
  <c r="AF81" i="1"/>
  <c r="AF82" i="1" s="1"/>
  <c r="AF56" i="1"/>
  <c r="AF52" i="1"/>
  <c r="AF75" i="1"/>
  <c r="AF76" i="1" s="1"/>
  <c r="AF62" i="1"/>
  <c r="AF60" i="1"/>
  <c r="AE23" i="1"/>
  <c r="AE24" i="1"/>
  <c r="AE25" i="1" s="1"/>
  <c r="AD29" i="1"/>
  <c r="AD20" i="1" s="1"/>
  <c r="AD21" i="1" s="1"/>
  <c r="X20" i="1"/>
  <c r="X21" i="1" s="1"/>
  <c r="AB27" i="1"/>
  <c r="AE29" i="1"/>
  <c r="AE20" i="1" s="1"/>
  <c r="AE21"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H51" i="1" l="1"/>
  <c r="AH63" i="1"/>
  <c r="AH52" i="1"/>
  <c r="AH64" i="1"/>
  <c r="AH53" i="1"/>
  <c r="AH65" i="1"/>
  <c r="AH60" i="1"/>
  <c r="AH54" i="1"/>
  <c r="AH66" i="1"/>
  <c r="AH67" i="1"/>
  <c r="AH77" i="1"/>
  <c r="AH78" i="1" s="1"/>
  <c r="AH61" i="1"/>
  <c r="AH73" i="1"/>
  <c r="AH55" i="1"/>
  <c r="AH75" i="1"/>
  <c r="AH76" i="1" s="1"/>
  <c r="AH56" i="1"/>
  <c r="AH57" i="1"/>
  <c r="AH50" i="1"/>
  <c r="AH62" i="1"/>
  <c r="AH79" i="1"/>
  <c r="AH80" i="1" s="1"/>
  <c r="AH58" i="1"/>
  <c r="AH81" i="1"/>
  <c r="AH82" i="1" s="1"/>
  <c r="AH59" i="1"/>
  <c r="AH83" i="1"/>
  <c r="AI18" i="1"/>
  <c r="AH19" i="1"/>
  <c r="AH26" i="1"/>
  <c r="AH27" i="1" s="1"/>
  <c r="AH20" i="1" s="1"/>
  <c r="AH21" i="1" s="1"/>
  <c r="AH32" i="1"/>
  <c r="AF68" i="1"/>
  <c r="AF69" i="1"/>
  <c r="AF74" i="1"/>
  <c r="AF86" i="1" s="1"/>
  <c r="AF85" i="1"/>
  <c r="AF24" i="1"/>
  <c r="AF25" i="1" s="1"/>
  <c r="AG73" i="1"/>
  <c r="AG79" i="1"/>
  <c r="AG80" i="1" s="1"/>
  <c r="AG77" i="1"/>
  <c r="AG78" i="1" s="1"/>
  <c r="AG83" i="1"/>
  <c r="AG51" i="1"/>
  <c r="AG53" i="1"/>
  <c r="AG55" i="1"/>
  <c r="AG57" i="1"/>
  <c r="AG59" i="1"/>
  <c r="AG61" i="1"/>
  <c r="AG63" i="1"/>
  <c r="AG65" i="1"/>
  <c r="AG67" i="1"/>
  <c r="AG81" i="1"/>
  <c r="AG82" i="1" s="1"/>
  <c r="AG50" i="1"/>
  <c r="AG52" i="1"/>
  <c r="AG54" i="1"/>
  <c r="AG56" i="1"/>
  <c r="AG58" i="1"/>
  <c r="AG60" i="1"/>
  <c r="AG62" i="1"/>
  <c r="AG64" i="1"/>
  <c r="AG66" i="1"/>
  <c r="AG75" i="1"/>
  <c r="AG76" i="1" s="1"/>
  <c r="Y20" i="1"/>
  <c r="Y21" i="1" s="1"/>
  <c r="AJ20" i="1"/>
  <c r="AJ21" i="1" s="1"/>
  <c r="AG19" i="1"/>
  <c r="AG32" i="1"/>
  <c r="AG26" i="1"/>
  <c r="AG27" i="1" s="1"/>
  <c r="AG20" i="1" s="1"/>
  <c r="AG21" i="1" s="1"/>
  <c r="AF27" i="1"/>
  <c r="AF20" i="1" s="1"/>
  <c r="AF21" i="1" s="1"/>
  <c r="AA29" i="1"/>
  <c r="AA20" i="1" s="1"/>
  <c r="AA21" i="1" s="1"/>
  <c r="Z29" i="1"/>
  <c r="Z20" i="1" s="1"/>
  <c r="Z21" i="1" s="1"/>
  <c r="AB29" i="1"/>
  <c r="AB20" i="1" s="1"/>
  <c r="AB21" i="1" s="1"/>
  <c r="AC20" i="1"/>
  <c r="AC21" i="1" s="1"/>
  <c r="AH68" i="1" l="1"/>
  <c r="AH74" i="1"/>
  <c r="AH86" i="1" s="1"/>
  <c r="AH85" i="1"/>
  <c r="AH69" i="1"/>
  <c r="AG69" i="1"/>
  <c r="AI75" i="1"/>
  <c r="AI76" i="1" s="1"/>
  <c r="AI73" i="1"/>
  <c r="AI79" i="1"/>
  <c r="AI80" i="1" s="1"/>
  <c r="AI83" i="1"/>
  <c r="AI51" i="1"/>
  <c r="AI53" i="1"/>
  <c r="AI55" i="1"/>
  <c r="AI57" i="1"/>
  <c r="AI59" i="1"/>
  <c r="AI61" i="1"/>
  <c r="AI63" i="1"/>
  <c r="AI65" i="1"/>
  <c r="AI67" i="1"/>
  <c r="AI77" i="1"/>
  <c r="AI78" i="1" s="1"/>
  <c r="AI81" i="1"/>
  <c r="AI82" i="1" s="1"/>
  <c r="AI50" i="1"/>
  <c r="AI52" i="1"/>
  <c r="AI54" i="1"/>
  <c r="AI56" i="1"/>
  <c r="AI58" i="1"/>
  <c r="AI60" i="1"/>
  <c r="AI62" i="1"/>
  <c r="AI64" i="1"/>
  <c r="AI66" i="1"/>
  <c r="AG24" i="1"/>
  <c r="AG25" i="1" s="1"/>
  <c r="AG23" i="1"/>
  <c r="AG74" i="1"/>
  <c r="AG86" i="1" s="1"/>
  <c r="AG85" i="1"/>
  <c r="AG68" i="1"/>
  <c r="AI32" i="1"/>
  <c r="AI19" i="1"/>
  <c r="AI26" i="1"/>
  <c r="AI27" i="1" s="1"/>
  <c r="AI20" i="1" s="1"/>
  <c r="AI21" i="1" s="1"/>
  <c r="AI68" i="1" l="1"/>
  <c r="AI69" i="1"/>
  <c r="AI23" i="1"/>
  <c r="AI24" i="1"/>
  <c r="AI25" i="1" s="1"/>
  <c r="AI74" i="1"/>
  <c r="AI86" i="1" s="1"/>
  <c r="AI85" i="1"/>
</calcChain>
</file>

<file path=xl/sharedStrings.xml><?xml version="1.0" encoding="utf-8"?>
<sst xmlns="http://schemas.openxmlformats.org/spreadsheetml/2006/main" count="285" uniqueCount="212">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</sst>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4" fontId="0" fillId="0" borderId="21"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Projections!$J$18:$AJ$18</c15:sqref>
                  </c15:fullRef>
                </c:ext>
              </c:extLst>
              <c:f>Projections!$J$18:$V$18</c:f>
              <c:numCache>
                <c:formatCode>#,##0_ ;[Red]\-#,##0\ </c:formatCode>
                <c:ptCount val="1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Projections!$J$42:$AJ$42</c15:sqref>
                  </c15:fullRef>
                </c:ext>
              </c:extLst>
              <c:f>Projections!$J$42:$V$42</c:f>
              <c:numCache>
                <c:formatCode>General</c:formatCode>
                <c:ptCount val="13"/>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Projections!$J$32:$AJ$32</c15:sqref>
                  </c15:fullRef>
                </c:ext>
              </c:extLst>
              <c:f>Projections!$J$32:$V$32</c:f>
              <c:numCache>
                <c:formatCode>#,##0_ ;[Red]\-#,##0\ </c:formatCode>
                <c:ptCount val="13"/>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Projections!$J$46:$AJ$46</c15:sqref>
                  </c15:fullRef>
                </c:ext>
              </c:extLst>
              <c:f>Projections!$J$46:$V$46</c:f>
              <c:numCache>
                <c:formatCode>General</c:formatCode>
                <c:ptCount val="13"/>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3302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21214.342512393083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16253.294688980874</c:v>
                </c:pt>
                <c:pt idx="13">
                  <c:v>30113.387472642062</c:v>
                </c:pt>
                <c:pt idx="14">
                  <c:v>59765.705434412695</c:v>
                </c:pt>
                <c:pt idx="15">
                  <c:v>117507.48739795474</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8909.9657432892236</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5816.7250987403604</c:v>
                </c:pt>
                <c:pt idx="14">
                  <c:v>10469.633173694136</c:v>
                </c:pt>
                <c:pt idx="15">
                  <c:v>20346.19815275693</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34816</c:v>
                </c:pt>
                <c:pt idx="16">
                  <c:v>69632</c:v>
                </c:pt>
                <c:pt idx="17">
                  <c:v>139264</c:v>
                </c:pt>
                <c:pt idx="18">
                  <c:v>278528</c:v>
                </c:pt>
                <c:pt idx="19">
                  <c:v>557056</c:v>
                </c:pt>
                <c:pt idx="20">
                  <c:v>1114112</c:v>
                </c:pt>
                <c:pt idx="21">
                  <c:v>2228224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Projections!$J$18:$AJ$18</c15:sqref>
                  </c15:fullRef>
                </c:ext>
              </c:extLst>
              <c:f>Projections!$J$18:$V$18</c:f>
              <c:numCache>
                <c:formatCode>#,##0_ ;[Red]\-#,##0\ </c:formatCode>
                <c:ptCount val="1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Projections!$J$42:$AJ$42</c15:sqref>
                  </c15:fullRef>
                </c:ext>
              </c:extLst>
              <c:f>Projections!$J$42:$V$42</c:f>
              <c:numCache>
                <c:formatCode>General</c:formatCode>
                <c:ptCount val="13"/>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Projections!$J$32:$AJ$32</c15:sqref>
                  </c15:fullRef>
                </c:ext>
              </c:extLst>
              <c:f>Projections!$J$32:$V$32</c:f>
              <c:numCache>
                <c:formatCode>#,##0_ ;[Red]\-#,##0\ </c:formatCode>
                <c:ptCount val="13"/>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Projections!$J$17:$V$17</c:f>
              <c:numCache>
                <c:formatCode>m/d/yyyy</c:formatCode>
                <c:ptCount val="13"/>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numCache>
            </c:numRef>
          </c:cat>
          <c:val>
            <c:numRef>
              <c:extLst>
                <c:ext xmlns:c15="http://schemas.microsoft.com/office/drawing/2012/chart" uri="{02D57815-91ED-43cb-92C2-25804820EDAC}">
                  <c15:fullRef>
                    <c15:sqref>Projections!$J$46:$AJ$46</c15:sqref>
                  </c15:fullRef>
                </c:ext>
              </c:extLst>
              <c:f>Projections!$J$46:$V$46</c:f>
              <c:numCache>
                <c:formatCode>General</c:formatCode>
                <c:ptCount val="13"/>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3302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43931.496979745367</c:v>
                </c:pt>
                <c:pt idx="1">
                  <c:v>43934.496979745367</c:v>
                </c:pt>
                <c:pt idx="2">
                  <c:v>43937.496979745367</c:v>
                </c:pt>
                <c:pt idx="3">
                  <c:v>43940.496979745367</c:v>
                </c:pt>
                <c:pt idx="4">
                  <c:v>43943.496979745367</c:v>
                </c:pt>
                <c:pt idx="5">
                  <c:v>43946.496979745367</c:v>
                </c:pt>
                <c:pt idx="6">
                  <c:v>43949.496979745367</c:v>
                </c:pt>
                <c:pt idx="7">
                  <c:v>43952.496979745367</c:v>
                </c:pt>
                <c:pt idx="8">
                  <c:v>43955.496979745367</c:v>
                </c:pt>
                <c:pt idx="9">
                  <c:v>43958.496979745367</c:v>
                </c:pt>
                <c:pt idx="10">
                  <c:v>43961.496979745367</c:v>
                </c:pt>
                <c:pt idx="11">
                  <c:v>43964.496979745367</c:v>
                </c:pt>
                <c:pt idx="12">
                  <c:v>43967.496979745367</c:v>
                </c:pt>
                <c:pt idx="13">
                  <c:v>43970.496979745367</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21214.342512393083</c:v>
                </c:pt>
                <c:pt idx="13">
                  <c:v>39108.249274687521</c:v>
                </c:pt>
                <c:pt idx="14">
                  <c:v>76455.643390981801</c:v>
                </c:pt>
                <c:pt idx="15">
                  <c:v>150227.08358775231</c:v>
                </c:pt>
                <c:pt idx="16">
                  <c:v>296227.37249479553</c:v>
                </c:pt>
                <c:pt idx="17">
                  <c:v>585626.70440654701</c:v>
                </c:pt>
                <c:pt idx="18">
                  <c:v>1159993.6440792591</c:v>
                </c:pt>
                <c:pt idx="19">
                  <c:v>2301101.4780300218</c:v>
                </c:pt>
                <c:pt idx="20">
                  <c:v>4570072.10492115</c:v>
                </c:pt>
                <c:pt idx="21">
                  <c:v>9084813.7562164143</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16253.294688980874</c:v>
                </c:pt>
                <c:pt idx="13">
                  <c:v>30113.387472642062</c:v>
                </c:pt>
                <c:pt idx="14">
                  <c:v>59765.705434412695</c:v>
                </c:pt>
                <c:pt idx="15">
                  <c:v>117507.48739795474</c:v>
                </c:pt>
                <c:pt idx="16">
                  <c:v>232135.43449410607</c:v>
                </c:pt>
                <c:pt idx="17">
                  <c:v>459473.86783722229</c:v>
                </c:pt>
                <c:pt idx="18">
                  <c:v>911090.04505530442</c:v>
                </c:pt>
                <c:pt idx="19">
                  <c:v>1809040.6820518086</c:v>
                </c:pt>
                <c:pt idx="20">
                  <c:v>3595751.7548641833</c:v>
                </c:pt>
                <c:pt idx="21">
                  <c:v>7153052.7473400291</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4770.1370327878922</c:v>
                </c:pt>
                <c:pt idx="13">
                  <c:v>8909.9657432892236</c:v>
                </c:pt>
                <c:pt idx="14">
                  <c:v>15887.692119090347</c:v>
                </c:pt>
                <c:pt idx="15">
                  <c:v>30360.796778024534</c:v>
                </c:pt>
                <c:pt idx="16">
                  <c:v>58608.491975280944</c:v>
                </c:pt>
                <c:pt idx="17">
                  <c:v>113942.16094421357</c:v>
                </c:pt>
                <c:pt idx="18">
                  <c:v>222661.85741478167</c:v>
                </c:pt>
                <c:pt idx="19">
                  <c:v>436802.69248970173</c:v>
                </c:pt>
                <c:pt idx="20">
                  <c:v>859440.14221433003</c:v>
                </c:pt>
                <c:pt idx="21">
                  <c:v>1694962.9158515644</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3774.4387613726794</c:v>
                </c:pt>
                <c:pt idx="13">
                  <c:v>5816.7250987403604</c:v>
                </c:pt>
                <c:pt idx="14">
                  <c:v>10469.633173694136</c:v>
                </c:pt>
                <c:pt idx="15">
                  <c:v>20346.19815275693</c:v>
                </c:pt>
                <c:pt idx="16">
                  <c:v>40899.052131611999</c:v>
                </c:pt>
                <c:pt idx="17">
                  <c:v>80292.168706868557</c:v>
                </c:pt>
                <c:pt idx="18">
                  <c:v>157990.86526131653</c:v>
                </c:pt>
                <c:pt idx="19">
                  <c:v>311518.82047854696</c:v>
                </c:pt>
                <c:pt idx="20">
                  <c:v>615323.17516519222</c:v>
                </c:pt>
                <c:pt idx="21">
                  <c:v>1217226.1885069676</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1.0625</c:v>
                </c:pt>
                <c:pt idx="1">
                  <c:v>2.125</c:v>
                </c:pt>
                <c:pt idx="2">
                  <c:v>4.25</c:v>
                </c:pt>
                <c:pt idx="3">
                  <c:v>8.5</c:v>
                </c:pt>
                <c:pt idx="4">
                  <c:v>17</c:v>
                </c:pt>
                <c:pt idx="5">
                  <c:v>34</c:v>
                </c:pt>
                <c:pt idx="6">
                  <c:v>68</c:v>
                </c:pt>
                <c:pt idx="7">
                  <c:v>136</c:v>
                </c:pt>
                <c:pt idx="8">
                  <c:v>272</c:v>
                </c:pt>
                <c:pt idx="9">
                  <c:v>544</c:v>
                </c:pt>
                <c:pt idx="10">
                  <c:v>1088</c:v>
                </c:pt>
                <c:pt idx="11">
                  <c:v>2176</c:v>
                </c:pt>
                <c:pt idx="12">
                  <c:v>4352</c:v>
                </c:pt>
                <c:pt idx="13">
                  <c:v>8704</c:v>
                </c:pt>
                <c:pt idx="14">
                  <c:v>17408</c:v>
                </c:pt>
                <c:pt idx="15">
                  <c:v>34816</c:v>
                </c:pt>
                <c:pt idx="16">
                  <c:v>69632</c:v>
                </c:pt>
                <c:pt idx="17">
                  <c:v>139264</c:v>
                </c:pt>
                <c:pt idx="18">
                  <c:v>278528</c:v>
                </c:pt>
                <c:pt idx="19">
                  <c:v>557056</c:v>
                </c:pt>
                <c:pt idx="20">
                  <c:v>1114112</c:v>
                </c:pt>
                <c:pt idx="21">
                  <c:v>2228224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43972</c:v>
                </c:pt>
                <c:pt idx="13">
                  <c:v>43983</c:v>
                </c:pt>
                <c:pt idx="14">
                  <c:v>43994</c:v>
                </c:pt>
                <c:pt idx="15">
                  <c:v>44005</c:v>
                </c:pt>
                <c:pt idx="16">
                  <c:v>44016</c:v>
                </c:pt>
                <c:pt idx="17">
                  <c:v>44027</c:v>
                </c:pt>
                <c:pt idx="18">
                  <c:v>44038</c:v>
                </c:pt>
                <c:pt idx="19">
                  <c:v>44049</c:v>
                </c:pt>
                <c:pt idx="20">
                  <c:v>44060</c:v>
                </c:pt>
                <c:pt idx="21">
                  <c:v>44071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76</xdr:row>
      <xdr:rowOff>5814</xdr:rowOff>
    </xdr:from>
    <xdr:to>
      <xdr:col>50</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100</xdr:row>
      <xdr:rowOff>10576</xdr:rowOff>
    </xdr:from>
    <xdr:to>
      <xdr:col>50</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117</xdr:row>
      <xdr:rowOff>182025</xdr:rowOff>
    </xdr:from>
    <xdr:to>
      <xdr:col>50</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135</xdr:row>
      <xdr:rowOff>10575</xdr:rowOff>
    </xdr:from>
    <xdr:to>
      <xdr:col>50</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59</xdr:row>
      <xdr:rowOff>2721</xdr:rowOff>
    </xdr:from>
    <xdr:to>
      <xdr:col>49</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75</xdr:row>
      <xdr:rowOff>177264</xdr:rowOff>
    </xdr:from>
    <xdr:to>
      <xdr:col>63</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100</xdr:row>
      <xdr:rowOff>1051</xdr:rowOff>
    </xdr:from>
    <xdr:to>
      <xdr:col>63</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117</xdr:row>
      <xdr:rowOff>182025</xdr:rowOff>
    </xdr:from>
    <xdr:to>
      <xdr:col>63</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135</xdr:row>
      <xdr:rowOff>10575</xdr:rowOff>
    </xdr:from>
    <xdr:to>
      <xdr:col>63</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59</xdr:row>
      <xdr:rowOff>2721</xdr:rowOff>
    </xdr:from>
    <xdr:to>
      <xdr:col>63</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/Projections!B6</f>
        <v>291.54518950437313</v>
      </c>
      <c r="C17" s="97"/>
      <c r="D17" s="98"/>
      <c r="E17" s="92">
        <f>B17*2</f>
        <v>583.09037900874625</v>
      </c>
      <c r="F17" s="97"/>
      <c r="G17" s="92"/>
      <c r="H17" s="92">
        <f>E17*2</f>
        <v>1166.1807580174925</v>
      </c>
      <c r="I17" s="97"/>
      <c r="J17" s="98"/>
      <c r="K17" s="89">
        <f>H17*2</f>
        <v>2332.361516034985</v>
      </c>
      <c r="L17" s="87"/>
      <c r="M17" s="88"/>
      <c r="N17" s="89">
        <f>K17*2</f>
        <v>4664.72303206997</v>
      </c>
      <c r="O17" s="87"/>
      <c r="P17" s="88"/>
      <c r="Q17" s="89">
        <f>N17*2</f>
        <v>9329.4460641399401</v>
      </c>
      <c r="R17" s="87"/>
      <c r="S17" s="88"/>
      <c r="T17" s="89">
        <f>Q17*2</f>
        <v>18658.89212827988</v>
      </c>
      <c r="U17" s="87"/>
      <c r="V17" s="88"/>
      <c r="W17" s="89">
        <f>T17*2</f>
        <v>37317.78425655976</v>
      </c>
      <c r="X17" s="87"/>
      <c r="Y17" s="88"/>
      <c r="Z17" s="89">
        <f>W17*2</f>
        <v>74635.568513119521</v>
      </c>
      <c r="AA17" s="87"/>
      <c r="AB17" s="88"/>
      <c r="AC17" s="89">
        <f>Z17*2</f>
        <v>149271.13702623904</v>
      </c>
      <c r="AD17" s="87"/>
      <c r="AE17" s="88"/>
      <c r="AF17" s="89">
        <f>AC17*2</f>
        <v>298542.27405247808</v>
      </c>
      <c r="AG17" s="87"/>
      <c r="AH17" s="88"/>
      <c r="AI17" s="89">
        <f>AF17*2</f>
        <v>597084.54810495616</v>
      </c>
      <c r="AJ17" s="87"/>
      <c r="AK17" s="88"/>
      <c r="AL17" s="89">
        <f>AI17*2</f>
        <v>1194169.0962099123</v>
      </c>
      <c r="AM17" s="87"/>
      <c r="AN17" s="88"/>
      <c r="AO17" s="89">
        <f>AL17*2</f>
        <v>2388338.1924198247</v>
      </c>
      <c r="AP17" s="92"/>
      <c r="AQ17" t="s">
        <v>91</v>
      </c>
    </row>
    <row r="18" spans="1:43" s="66" customFormat="1" x14ac:dyDescent="0.25">
      <c r="A18" t="s">
        <v>166</v>
      </c>
      <c r="B18" s="82">
        <f>B17*$E$34</f>
        <v>262.97376093294457</v>
      </c>
      <c r="C18" s="99"/>
      <c r="D18" s="99"/>
      <c r="E18" s="99">
        <f>E17*$E$34</f>
        <v>525.94752186588914</v>
      </c>
      <c r="F18" s="99"/>
      <c r="G18" s="33"/>
      <c r="H18" s="99">
        <f>H17*$E$34</f>
        <v>1051.8950437317783</v>
      </c>
      <c r="I18" s="99"/>
      <c r="J18" s="99"/>
      <c r="K18" s="99">
        <f>K17*$E$34</f>
        <v>2103.7900874635566</v>
      </c>
      <c r="L18" s="99"/>
      <c r="M18" s="99"/>
      <c r="N18" s="99">
        <f>N17*$E$34</f>
        <v>4207.5801749271131</v>
      </c>
      <c r="O18" s="99"/>
      <c r="P18" s="99"/>
      <c r="Q18" s="99">
        <f>Q17*$E$34</f>
        <v>8415.1603498542263</v>
      </c>
      <c r="R18" s="99"/>
      <c r="S18" s="99"/>
      <c r="T18" s="99">
        <f>T17*$E$34</f>
        <v>16830.320699708453</v>
      </c>
      <c r="U18" s="99"/>
      <c r="V18" s="99"/>
      <c r="W18" s="99">
        <f>W17*$E$34</f>
        <v>33660.641399416905</v>
      </c>
      <c r="X18" s="99"/>
      <c r="Y18" s="99"/>
      <c r="Z18" s="99">
        <f>Z17*$E$34</f>
        <v>67321.28279883381</v>
      </c>
      <c r="AA18" s="99"/>
      <c r="AB18" s="99"/>
      <c r="AC18" s="99">
        <f>AC17*$E$34</f>
        <v>134642.56559766762</v>
      </c>
      <c r="AD18" s="99"/>
      <c r="AE18" s="99"/>
      <c r="AF18" s="99">
        <f>AF17*$E$34</f>
        <v>269285.13119533524</v>
      </c>
      <c r="AG18" s="99"/>
      <c r="AH18" s="99"/>
      <c r="AI18" s="99">
        <f>AI17*$E$34</f>
        <v>538570.26239067048</v>
      </c>
      <c r="AJ18" s="99"/>
      <c r="AK18" s="99"/>
      <c r="AL18" s="99">
        <f>AL17*$E$34</f>
        <v>1077140.524781341</v>
      </c>
      <c r="AM18" s="99"/>
      <c r="AN18" s="99"/>
      <c r="AO18" s="99">
        <f>AO17*$E$34</f>
        <v>2154281.0495626819</v>
      </c>
      <c r="AP18" s="33"/>
      <c r="AQ18" t="s">
        <v>166</v>
      </c>
    </row>
    <row r="19" spans="1:43" s="66" customFormat="1" x14ac:dyDescent="0.25">
      <c r="A19" t="s">
        <v>168</v>
      </c>
      <c r="B19" s="80">
        <f>B18</f>
        <v>262.97376093294457</v>
      </c>
      <c r="C19" s="81"/>
      <c r="D19" s="81"/>
      <c r="E19" s="81">
        <f>E18</f>
        <v>525.94752186588914</v>
      </c>
      <c r="F19" s="81"/>
      <c r="G19" s="34"/>
      <c r="H19" s="81">
        <f>H18</f>
        <v>1051.8950437317783</v>
      </c>
      <c r="I19" s="81"/>
      <c r="J19" s="81"/>
      <c r="K19" s="81">
        <f>K18</f>
        <v>2103.7900874635566</v>
      </c>
      <c r="L19" s="81"/>
      <c r="M19" s="81"/>
      <c r="N19" s="81">
        <f>N18</f>
        <v>4207.5801749271131</v>
      </c>
      <c r="O19" s="81"/>
      <c r="P19" s="81"/>
      <c r="Q19" s="81">
        <f>Q18</f>
        <v>8415.1603498542263</v>
      </c>
      <c r="R19" s="81"/>
      <c r="S19" s="81"/>
      <c r="T19" s="81">
        <f>T18</f>
        <v>16830.320699708453</v>
      </c>
      <c r="U19" s="81"/>
      <c r="V19" s="81"/>
      <c r="W19" s="115">
        <f>W18-B18</f>
        <v>33397.667638483959</v>
      </c>
      <c r="X19" s="115"/>
      <c r="Y19" s="115"/>
      <c r="Z19" s="115">
        <f>Z18-E18</f>
        <v>66795.335276967919</v>
      </c>
      <c r="AA19" s="115"/>
      <c r="AB19" s="115"/>
      <c r="AC19" s="115">
        <f>AC18-H18</f>
        <v>133590.67055393584</v>
      </c>
      <c r="AD19" s="115"/>
      <c r="AE19" s="115"/>
      <c r="AF19" s="115">
        <f>AF18-K18</f>
        <v>267181.34110787167</v>
      </c>
      <c r="AG19" s="115"/>
      <c r="AH19" s="115"/>
      <c r="AI19" s="115">
        <f>AI18-N18</f>
        <v>534362.68221574335</v>
      </c>
      <c r="AJ19" s="115"/>
      <c r="AK19" s="115"/>
      <c r="AL19" s="115">
        <f>AL18-Q18</f>
        <v>1068725.3644314867</v>
      </c>
      <c r="AM19" s="115"/>
      <c r="AN19" s="115"/>
      <c r="AO19" s="115">
        <f>AO18-T18</f>
        <v>2137450.7288629734</v>
      </c>
      <c r="AP19" s="116"/>
      <c r="AQ19" t="s">
        <v>168</v>
      </c>
    </row>
    <row r="20" spans="1:43" s="66" customFormat="1" x14ac:dyDescent="0.25">
      <c r="A20" t="s">
        <v>92</v>
      </c>
      <c r="B20" s="82"/>
      <c r="C20" s="99"/>
      <c r="D20" s="99"/>
      <c r="E20" s="99"/>
      <c r="F20" s="99"/>
      <c r="G20" s="33"/>
      <c r="H20" s="100"/>
      <c r="I20" s="101"/>
      <c r="J20" s="102"/>
      <c r="K20" s="125">
        <f>B17*(1-$E$34)</f>
        <v>28.571428571428559</v>
      </c>
      <c r="L20" s="122"/>
      <c r="M20" s="123"/>
      <c r="N20" s="124">
        <f>E17*(1-$E$34)</f>
        <v>57.142857142857117</v>
      </c>
      <c r="O20" s="122"/>
      <c r="P20" s="123"/>
      <c r="Q20" s="124">
        <f>H17*(1-$E$34)</f>
        <v>114.28571428571423</v>
      </c>
      <c r="R20" s="122"/>
      <c r="S20" s="123"/>
      <c r="T20" s="124">
        <f>K17*(1-$E$34)</f>
        <v>228.57142857142847</v>
      </c>
      <c r="U20" s="122"/>
      <c r="V20" s="123"/>
      <c r="W20" s="124">
        <f>N17*(1-$E$34)</f>
        <v>457.14285714285694</v>
      </c>
      <c r="X20" s="122"/>
      <c r="Y20" s="123"/>
      <c r="Z20" s="124">
        <f>Q17*(1-$E$34)</f>
        <v>914.28571428571388</v>
      </c>
      <c r="AA20" s="122"/>
      <c r="AB20" s="123"/>
      <c r="AC20" s="124">
        <f>T17*(1-$E$34)</f>
        <v>1828.5714285714278</v>
      </c>
      <c r="AD20" s="122"/>
      <c r="AE20" s="123"/>
      <c r="AF20" s="124">
        <f>W17*(1-$E$34)</f>
        <v>3657.1428571428555</v>
      </c>
      <c r="AG20" s="122"/>
      <c r="AH20" s="123"/>
      <c r="AI20" s="124">
        <f>Z17*(1-$E$34)</f>
        <v>7314.285714285711</v>
      </c>
      <c r="AJ20" s="122"/>
      <c r="AK20" s="123"/>
      <c r="AL20" s="124">
        <f>AC17*(1-$E$34)</f>
        <v>14628.571428571422</v>
      </c>
      <c r="AM20" s="122"/>
      <c r="AN20" s="123"/>
      <c r="AO20" s="124">
        <f>AF17*(1-$E$34)</f>
        <v>29257.142857142844</v>
      </c>
      <c r="AP20" s="73"/>
      <c r="AQ20" t="s">
        <v>92</v>
      </c>
    </row>
    <row r="21" spans="1:43" s="66" customFormat="1" x14ac:dyDescent="0.25">
      <c r="A21" s="66" t="s">
        <v>73</v>
      </c>
      <c r="B21" s="74"/>
      <c r="C21" s="75"/>
      <c r="D21" s="75"/>
      <c r="E21" s="75"/>
      <c r="F21" s="75"/>
      <c r="G21" s="76"/>
      <c r="H21" s="117">
        <f>B17-B18</f>
        <v>28.571428571428555</v>
      </c>
      <c r="I21" s="117"/>
      <c r="J21" s="117"/>
      <c r="K21" s="117">
        <f>E17-E18</f>
        <v>57.14285714285711</v>
      </c>
      <c r="L21" s="117"/>
      <c r="M21" s="117"/>
      <c r="N21" s="117">
        <f>(H17-H18)*$E$35</f>
        <v>92.571428571428527</v>
      </c>
      <c r="O21" s="117"/>
      <c r="P21" s="117"/>
      <c r="Q21" s="117">
        <f>(K17-K18)*$E$35</f>
        <v>185.14285714285705</v>
      </c>
      <c r="R21" s="117"/>
      <c r="S21" s="117"/>
      <c r="T21" s="117">
        <f>(N17-N18)*$E$35</f>
        <v>370.28571428571411</v>
      </c>
      <c r="U21" s="117"/>
      <c r="V21" s="117"/>
      <c r="W21" s="117">
        <f>((Q17-Q18)*$E$35)-(H21*$E$35)</f>
        <v>717.4285714285711</v>
      </c>
      <c r="X21" s="117"/>
      <c r="Y21" s="117"/>
      <c r="Z21" s="117">
        <f>((T17-T18)*$E$35)-(K21*$E$35)</f>
        <v>1434.8571428571422</v>
      </c>
      <c r="AA21" s="117"/>
      <c r="AB21" s="117"/>
      <c r="AC21" s="117">
        <f>((W17-W18)*$E$35)-N21</f>
        <v>2869.7142857142844</v>
      </c>
      <c r="AD21" s="117"/>
      <c r="AE21" s="117"/>
      <c r="AF21" s="117">
        <f>((Z17-Z18)*$E$35)-Q21</f>
        <v>5739.4285714285688</v>
      </c>
      <c r="AG21" s="117"/>
      <c r="AH21" s="117"/>
      <c r="AI21" s="117">
        <f>((AC17-AC18)*$E$35)-T21</f>
        <v>11478.857142857138</v>
      </c>
      <c r="AJ21" s="117"/>
      <c r="AK21" s="117"/>
      <c r="AL21" s="117">
        <f>((AF17-AF18)*$E$35)-W21</f>
        <v>22980.85714285713</v>
      </c>
      <c r="AM21" s="117"/>
      <c r="AN21" s="117"/>
      <c r="AO21" s="117">
        <f>((AI17-AI18)*$E$35)-Z21</f>
        <v>45961.714285714261</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21.714285714285701</v>
      </c>
      <c r="O22" s="119"/>
      <c r="P22" s="119"/>
      <c r="Q22" s="119">
        <f>(K17-K18)*($E$36+$E$37)</f>
        <v>43.428571428571402</v>
      </c>
      <c r="R22" s="119"/>
      <c r="S22" s="119"/>
      <c r="T22" s="119">
        <f>(N17-N18)*$E$36</f>
        <v>63.999999999999972</v>
      </c>
      <c r="U22" s="119"/>
      <c r="V22" s="119"/>
      <c r="W22" s="119">
        <f>(Q17-Q18)*$E$36</f>
        <v>127.99999999999994</v>
      </c>
      <c r="X22" s="119"/>
      <c r="Y22" s="119"/>
      <c r="Z22" s="119">
        <f>(T17-T18)*$E$36</f>
        <v>255.99999999999989</v>
      </c>
      <c r="AA22" s="119"/>
      <c r="AB22" s="119"/>
      <c r="AC22" s="119">
        <f>(W17-W18)*$E$36</f>
        <v>511.99999999999977</v>
      </c>
      <c r="AD22" s="119"/>
      <c r="AE22" s="119"/>
      <c r="AF22" s="119">
        <f>(Z17-Z18)*$E$36</f>
        <v>1023.9999999999995</v>
      </c>
      <c r="AG22" s="119"/>
      <c r="AH22" s="119"/>
      <c r="AI22" s="119">
        <f>(AC17-AC18)*$E$36</f>
        <v>2047.9999999999991</v>
      </c>
      <c r="AJ22" s="119"/>
      <c r="AK22" s="119"/>
      <c r="AL22" s="119">
        <f>(AF17-AF18)*$E$36</f>
        <v>4095.9999999999982</v>
      </c>
      <c r="AM22" s="119"/>
      <c r="AN22" s="119"/>
      <c r="AO22" s="119">
        <f>(AI17-AI18)*$E$36</f>
        <v>8191.9999999999964</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23.142857142857132</v>
      </c>
      <c r="W24" s="103"/>
      <c r="X24" s="103"/>
      <c r="Y24" s="103">
        <f>K21*$E$35</f>
        <v>46.285714285714263</v>
      </c>
      <c r="Z24" s="103"/>
      <c r="AA24" s="103"/>
      <c r="AB24" s="103">
        <f>N21</f>
        <v>92.571428571428527</v>
      </c>
      <c r="AC24" s="103"/>
      <c r="AD24" s="103"/>
      <c r="AE24" s="103">
        <f>Q21</f>
        <v>185.14285714285705</v>
      </c>
      <c r="AF24" s="103"/>
      <c r="AG24" s="103"/>
      <c r="AH24" s="103">
        <f>T21</f>
        <v>370.28571428571411</v>
      </c>
      <c r="AI24" s="103"/>
      <c r="AJ24" s="103"/>
      <c r="AK24" s="103">
        <f>W21</f>
        <v>717.4285714285711</v>
      </c>
      <c r="AL24" s="103"/>
      <c r="AM24" s="103"/>
      <c r="AN24" s="103">
        <f>Z21</f>
        <v>1434.8571428571422</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43931.496979745367</v>
      </c>
      <c r="C26" s="84">
        <f t="shared" ca="1" si="0"/>
        <v>43932.496979745367</v>
      </c>
      <c r="D26" s="84">
        <f t="shared" ca="1" si="0"/>
        <v>43933.496979745367</v>
      </c>
      <c r="E26" s="84">
        <f t="shared" ca="1" si="0"/>
        <v>43934.496979745367</v>
      </c>
      <c r="F26" s="84">
        <f t="shared" ca="1" si="0"/>
        <v>43935.496979745367</v>
      </c>
      <c r="G26" s="85">
        <f t="shared" ca="1" si="0"/>
        <v>43936.496979745367</v>
      </c>
      <c r="H26" s="84">
        <f t="shared" ref="H26:U26" ca="1" si="1">I26-1</f>
        <v>43937.496979745367</v>
      </c>
      <c r="I26" s="84">
        <f t="shared" ca="1" si="1"/>
        <v>43938.496979745367</v>
      </c>
      <c r="J26" s="84">
        <f t="shared" ca="1" si="1"/>
        <v>43939.496979745367</v>
      </c>
      <c r="K26" s="84">
        <f t="shared" ca="1" si="1"/>
        <v>43940.496979745367</v>
      </c>
      <c r="L26" s="84">
        <f t="shared" ca="1" si="1"/>
        <v>43941.496979745367</v>
      </c>
      <c r="M26" s="84">
        <f t="shared" ca="1" si="1"/>
        <v>43942.496979745367</v>
      </c>
      <c r="N26" s="85">
        <f t="shared" ca="1" si="1"/>
        <v>43943.496979745367</v>
      </c>
      <c r="O26" s="83">
        <f t="shared" ca="1" si="1"/>
        <v>43944.496979745367</v>
      </c>
      <c r="P26" s="84">
        <f t="shared" ca="1" si="1"/>
        <v>43945.496979745367</v>
      </c>
      <c r="Q26" s="84">
        <f t="shared" ca="1" si="1"/>
        <v>43946.496979745367</v>
      </c>
      <c r="R26" s="84">
        <f t="shared" ca="1" si="1"/>
        <v>43947.496979745367</v>
      </c>
      <c r="S26" s="84">
        <f t="shared" ca="1" si="1"/>
        <v>43948.496979745367</v>
      </c>
      <c r="T26" s="84">
        <f t="shared" ca="1" si="1"/>
        <v>43949.496979745367</v>
      </c>
      <c r="U26" s="85">
        <f t="shared" ca="1" si="1"/>
        <v>43950.496979745367</v>
      </c>
      <c r="V26" s="83">
        <f t="shared" ref="V26:AN26" ca="1" si="2">W26-1</f>
        <v>43951.496979745367</v>
      </c>
      <c r="W26" s="84">
        <f t="shared" ca="1" si="2"/>
        <v>43952.496979745367</v>
      </c>
      <c r="X26" s="84">
        <f t="shared" ca="1" si="2"/>
        <v>43953.496979745367</v>
      </c>
      <c r="Y26" s="84">
        <f t="shared" ca="1" si="2"/>
        <v>43954.496979745367</v>
      </c>
      <c r="Z26" s="84">
        <f t="shared" ca="1" si="2"/>
        <v>43955.496979745367</v>
      </c>
      <c r="AA26" s="84">
        <f t="shared" ca="1" si="2"/>
        <v>43956.496979745367</v>
      </c>
      <c r="AB26" s="85">
        <f t="shared" ca="1" si="2"/>
        <v>43957.496979745367</v>
      </c>
      <c r="AC26" s="83">
        <f t="shared" ca="1" si="2"/>
        <v>43958.496979745367</v>
      </c>
      <c r="AD26" s="84">
        <f t="shared" ca="1" si="2"/>
        <v>43959.496979745367</v>
      </c>
      <c r="AE26" s="84">
        <f t="shared" ca="1" si="2"/>
        <v>43960.496979745367</v>
      </c>
      <c r="AF26" s="84">
        <f t="shared" ca="1" si="2"/>
        <v>43961.496979745367</v>
      </c>
      <c r="AG26" s="84">
        <f t="shared" ca="1" si="2"/>
        <v>43962.496979745367</v>
      </c>
      <c r="AH26" s="84">
        <f t="shared" ca="1" si="2"/>
        <v>43963.496979745367</v>
      </c>
      <c r="AI26" s="85">
        <f t="shared" ca="1" si="2"/>
        <v>43964.496979745367</v>
      </c>
      <c r="AJ26" s="83">
        <f t="shared" ca="1" si="2"/>
        <v>43965.496979745367</v>
      </c>
      <c r="AK26" s="84">
        <f t="shared" ca="1" si="2"/>
        <v>43966.496979745367</v>
      </c>
      <c r="AL26" s="84">
        <f t="shared" ca="1" si="2"/>
        <v>43967.496979745367</v>
      </c>
      <c r="AM26" s="84">
        <f t="shared" ca="1" si="2"/>
        <v>43968.496979745367</v>
      </c>
      <c r="AN26" s="84">
        <f t="shared" ca="1" si="2"/>
        <v>43969.496979745367</v>
      </c>
      <c r="AO26" s="84">
        <f ca="1">AP26-1</f>
        <v>43970.496979745367</v>
      </c>
      <c r="AP26" s="105">
        <f ca="1">NOW()</f>
        <v>43971.496979745367</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2" t="s">
        <v>67</v>
      </c>
      <c r="C28" s="293"/>
      <c r="D28" s="293"/>
      <c r="E28" s="293"/>
      <c r="F28" s="293"/>
      <c r="G28" s="294"/>
      <c r="H28" s="298" t="s">
        <v>56</v>
      </c>
      <c r="I28" s="298"/>
      <c r="J28" s="298"/>
      <c r="K28" s="298"/>
      <c r="L28" s="298"/>
      <c r="M28" s="298"/>
      <c r="N28" s="299"/>
      <c r="O28" s="297" t="s">
        <v>57</v>
      </c>
      <c r="P28" s="298"/>
      <c r="Q28" s="298"/>
      <c r="R28" s="298"/>
      <c r="S28" s="298"/>
      <c r="T28" s="298"/>
      <c r="U28" s="299"/>
      <c r="V28" s="297" t="s">
        <v>58</v>
      </c>
      <c r="W28" s="298"/>
      <c r="X28" s="298"/>
      <c r="Y28" s="298"/>
      <c r="Z28" s="298"/>
      <c r="AA28" s="298"/>
      <c r="AB28" s="299"/>
      <c r="AC28" s="297" t="s">
        <v>59</v>
      </c>
      <c r="AD28" s="298"/>
      <c r="AE28" s="298"/>
      <c r="AF28" s="298"/>
      <c r="AG28" s="298"/>
      <c r="AH28" s="298"/>
      <c r="AI28" s="299"/>
      <c r="AJ28" s="297" t="s">
        <v>60</v>
      </c>
      <c r="AK28" s="298"/>
      <c r="AL28" s="298"/>
      <c r="AM28" s="298"/>
      <c r="AN28" s="298"/>
      <c r="AO28" s="298"/>
      <c r="AP28" s="299"/>
    </row>
    <row r="29" spans="1:43" x14ac:dyDescent="0.25">
      <c r="B29" s="51" t="s">
        <v>79</v>
      </c>
      <c r="C29" s="90"/>
      <c r="D29" s="90"/>
      <c r="E29" s="90"/>
      <c r="F29" s="90"/>
      <c r="G29" s="91"/>
      <c r="H29" s="295" t="s">
        <v>66</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4">
        <f>1-Projections!B6</f>
        <v>0.90200000000000002</v>
      </c>
      <c r="F34" s="16" t="s">
        <v>199</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198</v>
      </c>
      <c r="C45" s="27">
        <f>Projections!B13</f>
        <v>3.4000000000000002E-2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3"/>
  <sheetViews>
    <sheetView tabSelected="1" topLeftCell="B1" zoomScaleNormal="100" workbookViewId="0">
      <selection activeCell="Z14" sqref="Z14"/>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6" customWidth="1"/>
    <col min="38" max="38" width="11.140625" bestFit="1" customWidth="1"/>
    <col min="39" max="39" width="12.140625" bestFit="1" customWidth="1"/>
  </cols>
  <sheetData>
    <row r="1" spans="1:37" x14ac:dyDescent="0.25">
      <c r="K1" t="s">
        <v>117</v>
      </c>
    </row>
    <row r="2" spans="1:37" x14ac:dyDescent="0.25">
      <c r="D2" s="154"/>
      <c r="E2" s="154"/>
      <c r="F2" s="66"/>
      <c r="G2" s="66"/>
      <c r="H2" s="154"/>
      <c r="I2" s="154"/>
      <c r="J2" s="66"/>
      <c r="K2" s="147">
        <v>43903</v>
      </c>
      <c r="L2" s="148" t="s">
        <v>191</v>
      </c>
      <c r="M2" s="148"/>
      <c r="N2" s="147">
        <v>43917</v>
      </c>
      <c r="S2" s="66"/>
      <c r="T2" s="66"/>
      <c r="U2" s="66"/>
      <c r="V2" s="66"/>
      <c r="W2" s="66"/>
      <c r="X2" s="66"/>
      <c r="Y2" s="66"/>
      <c r="Z2" s="66"/>
    </row>
    <row r="3" spans="1:37" x14ac:dyDescent="0.25">
      <c r="D3" s="66"/>
      <c r="E3" s="66"/>
      <c r="F3" s="154"/>
      <c r="G3" s="154"/>
      <c r="H3" s="154"/>
      <c r="I3" s="154"/>
      <c r="J3" s="66"/>
      <c r="K3" s="66"/>
      <c r="L3" s="147">
        <v>43906</v>
      </c>
      <c r="M3" s="148" t="s">
        <v>190</v>
      </c>
      <c r="N3" s="148"/>
      <c r="O3" s="147">
        <v>43920</v>
      </c>
      <c r="P3" s="66"/>
      <c r="Q3" s="66"/>
      <c r="R3" s="66"/>
      <c r="S3" s="154"/>
      <c r="T3" s="66"/>
      <c r="U3" s="66"/>
      <c r="V3" s="66"/>
      <c r="W3" s="66"/>
      <c r="X3" s="66"/>
      <c r="Y3" s="66"/>
      <c r="Z3" s="66"/>
    </row>
    <row r="4" spans="1:37" x14ac:dyDescent="0.25">
      <c r="D4" s="66"/>
      <c r="E4" s="66"/>
      <c r="F4" s="66">
        <f>(B5/1000)/281082</f>
        <v>4.9528465003095183</v>
      </c>
      <c r="G4" s="66"/>
      <c r="H4" s="66"/>
      <c r="I4" s="66"/>
      <c r="J4" s="154"/>
      <c r="K4" s="66"/>
      <c r="L4" s="154"/>
      <c r="M4" s="147">
        <v>43912</v>
      </c>
      <c r="N4" s="148" t="s">
        <v>203</v>
      </c>
      <c r="O4" s="147"/>
      <c r="P4" s="148"/>
      <c r="Q4" s="147">
        <v>43926</v>
      </c>
      <c r="R4" s="66"/>
      <c r="S4" s="66"/>
      <c r="T4" s="66"/>
      <c r="U4" s="66"/>
      <c r="V4" s="66"/>
      <c r="W4" s="66"/>
      <c r="X4" s="66"/>
      <c r="Y4" s="66"/>
      <c r="Z4" s="66"/>
      <c r="AA4" s="204"/>
    </row>
    <row r="5" spans="1:37" x14ac:dyDescent="0.25">
      <c r="A5" s="56" t="s">
        <v>178</v>
      </c>
      <c r="B5" s="265">
        <v>1392156000</v>
      </c>
      <c r="C5" t="s">
        <v>177</v>
      </c>
      <c r="D5" s="66"/>
      <c r="E5" s="66"/>
      <c r="F5" s="66"/>
      <c r="G5" s="66"/>
      <c r="H5" s="66"/>
      <c r="I5" s="66"/>
      <c r="J5" s="66"/>
      <c r="K5" s="66"/>
      <c r="L5" s="154"/>
      <c r="M5" s="154"/>
      <c r="N5" s="147">
        <v>43914</v>
      </c>
      <c r="O5" s="148" t="s">
        <v>202</v>
      </c>
      <c r="P5" s="147"/>
      <c r="Q5" s="147">
        <v>43928</v>
      </c>
      <c r="R5" s="66"/>
      <c r="S5" s="66"/>
      <c r="T5" s="66"/>
      <c r="U5" s="66"/>
      <c r="V5" s="66"/>
      <c r="W5" s="66"/>
      <c r="X5" s="66"/>
      <c r="Y5" s="66"/>
      <c r="Z5" s="66"/>
    </row>
    <row r="6" spans="1:37" x14ac:dyDescent="0.25">
      <c r="A6" s="4" t="s">
        <v>114</v>
      </c>
      <c r="B6" s="145">
        <v>9.8000000000000004E-2</v>
      </c>
      <c r="C6" t="s">
        <v>113</v>
      </c>
      <c r="D6" s="66"/>
      <c r="E6" s="66"/>
      <c r="F6" s="66"/>
      <c r="G6" s="66"/>
      <c r="H6" s="66"/>
      <c r="I6" s="66"/>
      <c r="J6" s="66"/>
      <c r="K6" s="66"/>
      <c r="L6" s="66"/>
      <c r="M6" s="154"/>
      <c r="N6" s="66"/>
      <c r="O6" s="66"/>
      <c r="P6" s="66"/>
      <c r="Q6" s="154"/>
      <c r="R6" s="147">
        <v>43934</v>
      </c>
      <c r="S6" s="148" t="s">
        <v>200</v>
      </c>
      <c r="T6" s="147"/>
      <c r="U6" s="148"/>
      <c r="V6" s="148"/>
      <c r="W6" s="154"/>
      <c r="X6" s="154"/>
      <c r="Y6" s="66"/>
      <c r="Z6" s="66"/>
    </row>
    <row r="7" spans="1:37" x14ac:dyDescent="0.25">
      <c r="A7" s="37" t="s">
        <v>116</v>
      </c>
      <c r="B7" s="108">
        <v>0.06</v>
      </c>
      <c r="C7" s="235"/>
      <c r="D7" s="66"/>
      <c r="E7" s="66"/>
      <c r="F7" s="66"/>
      <c r="G7" s="66"/>
      <c r="H7" s="66"/>
      <c r="I7" s="66"/>
      <c r="J7" s="66"/>
      <c r="K7" s="66"/>
      <c r="L7" s="66"/>
      <c r="M7" s="66"/>
      <c r="N7" s="154"/>
      <c r="O7" s="47"/>
      <c r="P7" s="47"/>
      <c r="Q7" s="154"/>
      <c r="R7" s="154">
        <v>43935</v>
      </c>
      <c r="S7" s="66" t="s">
        <v>204</v>
      </c>
      <c r="T7" s="267"/>
      <c r="U7" s="267"/>
      <c r="V7" s="268"/>
      <c r="W7" s="154"/>
      <c r="X7" s="154"/>
      <c r="Y7" s="66"/>
      <c r="Z7" s="66"/>
    </row>
    <row r="8" spans="1:37" x14ac:dyDescent="0.25">
      <c r="A8" s="41" t="s">
        <v>192</v>
      </c>
      <c r="B8" s="266">
        <v>0.53</v>
      </c>
      <c r="C8" s="63">
        <f>((B5/1000)*B8)-(((B5/1000)*B8)*B9)</f>
        <v>689882.90580000007</v>
      </c>
      <c r="D8" s="66" t="s">
        <v>195</v>
      </c>
      <c r="E8" s="66"/>
      <c r="F8" s="66"/>
      <c r="G8" s="66"/>
      <c r="H8" s="66"/>
      <c r="I8" s="66"/>
      <c r="J8" s="66"/>
      <c r="K8" s="66"/>
      <c r="L8" s="66"/>
      <c r="M8" s="154"/>
      <c r="N8" s="154"/>
      <c r="O8" s="154"/>
      <c r="P8" s="66"/>
      <c r="Q8" s="66"/>
      <c r="S8" s="267">
        <v>43941</v>
      </c>
      <c r="T8" s="268" t="s">
        <v>205</v>
      </c>
      <c r="W8" s="66"/>
      <c r="X8" s="154"/>
      <c r="Y8" s="66"/>
      <c r="Z8" s="66"/>
    </row>
    <row r="9" spans="1:37" x14ac:dyDescent="0.25">
      <c r="A9" s="37" t="s">
        <v>193</v>
      </c>
      <c r="B9" s="269">
        <v>6.5000000000000002E-2</v>
      </c>
      <c r="C9" s="60">
        <f>((B5/1000)*B8)*B9</f>
        <v>47959.774200000007</v>
      </c>
      <c r="D9" s="156">
        <f>C9/(B5/100000)</f>
        <v>3.4450000000000007</v>
      </c>
      <c r="E9" s="66" t="s">
        <v>194</v>
      </c>
      <c r="F9" s="66"/>
      <c r="G9" s="66" t="s">
        <v>196</v>
      </c>
      <c r="H9" s="66"/>
      <c r="I9" s="66"/>
      <c r="J9" s="66"/>
      <c r="K9" s="66"/>
      <c r="L9" s="66"/>
      <c r="M9" s="66"/>
      <c r="N9" s="66"/>
      <c r="O9" s="154"/>
      <c r="P9" s="66"/>
      <c r="Q9" s="66"/>
      <c r="R9" s="154"/>
      <c r="S9" s="267">
        <v>43946</v>
      </c>
      <c r="T9" s="268" t="s">
        <v>206</v>
      </c>
      <c r="U9" s="66"/>
      <c r="V9" s="154"/>
      <c r="W9" s="66"/>
      <c r="X9" s="66"/>
      <c r="Y9" s="154"/>
      <c r="Z9" s="66"/>
    </row>
    <row r="10" spans="1:37" x14ac:dyDescent="0.25">
      <c r="A10" s="4" t="s">
        <v>73</v>
      </c>
      <c r="B10" s="106">
        <v>0.81</v>
      </c>
      <c r="C10" s="2"/>
      <c r="D10" s="66"/>
      <c r="E10" s="66"/>
      <c r="F10" s="66"/>
      <c r="G10" s="66"/>
      <c r="H10" s="66"/>
      <c r="I10" s="66"/>
      <c r="J10" s="66"/>
      <c r="K10" s="66"/>
      <c r="L10" s="66"/>
      <c r="M10" s="66"/>
      <c r="N10" s="66"/>
      <c r="O10" s="66"/>
      <c r="P10" s="140"/>
      <c r="Q10" s="66"/>
      <c r="R10" s="154"/>
      <c r="S10" s="66"/>
      <c r="T10" s="147">
        <v>43952</v>
      </c>
      <c r="U10" s="148" t="s">
        <v>207</v>
      </c>
      <c r="V10" s="147"/>
      <c r="W10" s="66"/>
      <c r="X10" s="66"/>
      <c r="Y10" s="66"/>
      <c r="Z10" s="66"/>
    </row>
    <row r="11" spans="1:37" x14ac:dyDescent="0.25">
      <c r="A11" s="41" t="s">
        <v>74</v>
      </c>
      <c r="B11" s="107">
        <v>0.14000000000000001</v>
      </c>
      <c r="C11" s="2"/>
      <c r="D11" s="66"/>
      <c r="E11" s="66"/>
      <c r="F11" s="66"/>
      <c r="G11" s="66"/>
      <c r="H11" s="66"/>
      <c r="I11" s="66"/>
      <c r="J11" s="66"/>
      <c r="K11" s="66"/>
      <c r="L11" s="66"/>
      <c r="M11" s="66"/>
      <c r="N11" s="66"/>
      <c r="O11" s="47"/>
      <c r="P11" s="66"/>
      <c r="Q11" s="154"/>
      <c r="R11" s="223"/>
      <c r="S11" s="154"/>
      <c r="T11" s="267">
        <v>43955</v>
      </c>
      <c r="U11" s="268" t="s">
        <v>209</v>
      </c>
      <c r="V11" s="267"/>
      <c r="W11" s="66"/>
      <c r="X11" s="66"/>
      <c r="Y11" s="66"/>
      <c r="Z11" s="66"/>
    </row>
    <row r="12" spans="1:37" x14ac:dyDescent="0.25">
      <c r="A12" s="37" t="s">
        <v>109</v>
      </c>
      <c r="B12" s="108">
        <v>0.05</v>
      </c>
      <c r="C12" s="2"/>
      <c r="D12" s="199" t="s">
        <v>170</v>
      </c>
      <c r="N12" s="16"/>
      <c r="O12" s="16"/>
      <c r="P12" s="16"/>
      <c r="Q12" s="251"/>
      <c r="R12" s="184"/>
      <c r="S12" s="16"/>
      <c r="T12" s="267">
        <v>43956</v>
      </c>
      <c r="U12" s="268" t="s">
        <v>208</v>
      </c>
      <c r="V12" s="267"/>
      <c r="AC12" s="164"/>
      <c r="AD12" s="164"/>
      <c r="AE12" s="164"/>
      <c r="AF12" s="164"/>
      <c r="AG12" s="164"/>
      <c r="AH12" s="164"/>
      <c r="AI12" s="164"/>
    </row>
    <row r="13" spans="1:37" x14ac:dyDescent="0.25">
      <c r="A13" s="37" t="s">
        <v>115</v>
      </c>
      <c r="B13" s="64">
        <v>3.4000000000000002E-2</v>
      </c>
      <c r="C13" s="2"/>
      <c r="D13" s="168" t="s">
        <v>162</v>
      </c>
      <c r="O13" s="251"/>
      <c r="P13" s="16"/>
      <c r="Q13" s="16"/>
      <c r="R13" s="251"/>
      <c r="S13" s="16"/>
      <c r="U13" s="267">
        <v>43963</v>
      </c>
      <c r="V13" s="267" t="s">
        <v>210</v>
      </c>
      <c r="W13" s="267"/>
      <c r="Y13" s="204"/>
      <c r="AB13" s="165"/>
    </row>
    <row r="14" spans="1:37" x14ac:dyDescent="0.25">
      <c r="A14" s="143" t="s">
        <v>102</v>
      </c>
      <c r="B14" s="144">
        <v>43860</v>
      </c>
      <c r="C14" s="2"/>
      <c r="D14" s="271">
        <f>(AE17-J17)/(LOG(AE18/J18)/LOG(2))</f>
        <v>8.3809523809523814</v>
      </c>
      <c r="E14" s="164"/>
      <c r="M14" s="16"/>
      <c r="N14" s="16"/>
      <c r="O14" s="16"/>
      <c r="P14" s="16"/>
      <c r="Q14" s="16"/>
      <c r="R14" s="16"/>
      <c r="S14" s="16"/>
      <c r="U14" s="147">
        <v>43969</v>
      </c>
      <c r="V14" s="148" t="s">
        <v>211</v>
      </c>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2"/>
    </row>
    <row r="16" spans="1:37" x14ac:dyDescent="0.25">
      <c r="A16" s="52" t="s">
        <v>41</v>
      </c>
      <c r="B16" s="178">
        <v>43895</v>
      </c>
      <c r="C16" s="178">
        <v>43910</v>
      </c>
      <c r="D16" s="178">
        <v>43926</v>
      </c>
      <c r="E16" s="178">
        <v>43931</v>
      </c>
      <c r="F16" s="178">
        <v>43939</v>
      </c>
      <c r="G16" s="178"/>
      <c r="H16" s="178"/>
      <c r="I16" s="178"/>
      <c r="K16" s="127" t="s">
        <v>187</v>
      </c>
      <c r="L16" s="16"/>
      <c r="M16" s="16"/>
      <c r="N16" s="16"/>
      <c r="O16" s="16"/>
      <c r="P16" s="16"/>
      <c r="Q16" s="16"/>
      <c r="R16" s="16"/>
      <c r="S16" s="171"/>
      <c r="T16" s="16"/>
      <c r="U16" s="16"/>
      <c r="V16" s="16"/>
      <c r="X16" s="16"/>
      <c r="Y16" s="16"/>
      <c r="Z16" s="16"/>
      <c r="AA16" s="16"/>
      <c r="AE16" s="199"/>
      <c r="AF16" t="s">
        <v>171</v>
      </c>
      <c r="AK16" s="237" t="s">
        <v>176</v>
      </c>
    </row>
    <row r="17" spans="1:40" x14ac:dyDescent="0.25">
      <c r="A17" s="4" t="s">
        <v>11</v>
      </c>
      <c r="B17" s="146">
        <v>5</v>
      </c>
      <c r="C17" s="285">
        <v>4</v>
      </c>
      <c r="D17" s="146">
        <v>5</v>
      </c>
      <c r="E17" s="78">
        <v>8</v>
      </c>
      <c r="F17" s="207">
        <v>11</v>
      </c>
      <c r="G17" s="207"/>
      <c r="H17" s="207"/>
      <c r="I17" s="207"/>
      <c r="J17" s="286">
        <v>43895</v>
      </c>
      <c r="K17" s="287">
        <f t="shared" ref="K17:AJ17" si="0">J17+HLOOKUP(J17+1, $B$16:$I$17,2,TRUE)</f>
        <v>43900</v>
      </c>
      <c r="L17" s="287">
        <f t="shared" si="0"/>
        <v>43905</v>
      </c>
      <c r="M17" s="288">
        <f t="shared" si="0"/>
        <v>43910</v>
      </c>
      <c r="N17" s="288">
        <f t="shared" si="0"/>
        <v>43914</v>
      </c>
      <c r="O17" s="288">
        <f t="shared" si="0"/>
        <v>43918</v>
      </c>
      <c r="P17" s="288">
        <f t="shared" si="0"/>
        <v>43922</v>
      </c>
      <c r="Q17" s="287">
        <f t="shared" si="0"/>
        <v>43926</v>
      </c>
      <c r="R17" s="289">
        <f t="shared" si="0"/>
        <v>43931</v>
      </c>
      <c r="S17" s="291">
        <f t="shared" si="0"/>
        <v>43939</v>
      </c>
      <c r="T17" s="291">
        <f t="shared" si="0"/>
        <v>43950</v>
      </c>
      <c r="U17" s="290">
        <f t="shared" si="0"/>
        <v>43961</v>
      </c>
      <c r="V17" s="217">
        <f t="shared" si="0"/>
        <v>43972</v>
      </c>
      <c r="W17" s="217">
        <f t="shared" si="0"/>
        <v>43983</v>
      </c>
      <c r="X17" s="217">
        <f t="shared" si="0"/>
        <v>43994</v>
      </c>
      <c r="Y17" s="217">
        <f t="shared" si="0"/>
        <v>44005</v>
      </c>
      <c r="Z17" s="217">
        <f t="shared" si="0"/>
        <v>44016</v>
      </c>
      <c r="AA17" s="217">
        <f t="shared" si="0"/>
        <v>44027</v>
      </c>
      <c r="AB17" s="217">
        <f t="shared" si="0"/>
        <v>44038</v>
      </c>
      <c r="AC17" s="217">
        <f t="shared" si="0"/>
        <v>44049</v>
      </c>
      <c r="AD17" s="217">
        <f t="shared" ref="AD17" si="1">AC17+HLOOKUP(AC17+1, $B$16:$I$17,2,TRUE)</f>
        <v>44060</v>
      </c>
      <c r="AE17" s="224">
        <f t="shared" ref="AE17" si="2">AD17+HLOOKUP(AD17+1, $B$16:$I$17,2,TRUE)</f>
        <v>44071</v>
      </c>
      <c r="AF17" s="217">
        <f t="shared" si="0"/>
        <v>44082</v>
      </c>
      <c r="AG17" s="217">
        <f t="shared" si="0"/>
        <v>44093</v>
      </c>
      <c r="AH17" s="217">
        <f t="shared" si="0"/>
        <v>44104</v>
      </c>
      <c r="AI17" s="224">
        <f>AG17+HLOOKUP(AG17+1, $B$16:$I$17,2,TRUE)</f>
        <v>44104</v>
      </c>
      <c r="AJ17" s="224">
        <f t="shared" si="0"/>
        <v>44115</v>
      </c>
      <c r="AK17" s="236">
        <f>AJ17+(7*8)</f>
        <v>44171</v>
      </c>
      <c r="AL17" s="67"/>
      <c r="AM17" s="67"/>
      <c r="AN17" s="66"/>
    </row>
    <row r="18" spans="1:40" x14ac:dyDescent="0.25">
      <c r="A18" s="41" t="s">
        <v>107</v>
      </c>
      <c r="B18" s="16"/>
      <c r="C18" s="16"/>
      <c r="D18" s="16"/>
      <c r="E18" s="16"/>
      <c r="F18" s="16"/>
      <c r="G18" s="16"/>
      <c r="H18" s="16"/>
      <c r="I18" s="16"/>
      <c r="J18" s="216">
        <v>31.25</v>
      </c>
      <c r="K18" s="210">
        <f>J18*2</f>
        <v>62.5</v>
      </c>
      <c r="L18" s="210">
        <f t="shared" ref="L18:Z18" si="3">K18*2</f>
        <v>125</v>
      </c>
      <c r="M18" s="210">
        <f t="shared" si="3"/>
        <v>250</v>
      </c>
      <c r="N18" s="210">
        <f t="shared" si="3"/>
        <v>500</v>
      </c>
      <c r="O18" s="210">
        <f t="shared" si="3"/>
        <v>1000</v>
      </c>
      <c r="P18" s="210">
        <f t="shared" si="3"/>
        <v>2000</v>
      </c>
      <c r="Q18" s="210">
        <f t="shared" si="3"/>
        <v>4000</v>
      </c>
      <c r="R18" s="210">
        <f t="shared" si="3"/>
        <v>8000</v>
      </c>
      <c r="S18" s="210">
        <f>R18*2</f>
        <v>16000</v>
      </c>
      <c r="T18" s="210">
        <f>S18*2</f>
        <v>32000</v>
      </c>
      <c r="U18" s="210">
        <f>T18*2</f>
        <v>64000</v>
      </c>
      <c r="V18" s="210">
        <f>U18*2</f>
        <v>128000</v>
      </c>
      <c r="W18" s="210">
        <f t="shared" si="3"/>
        <v>256000</v>
      </c>
      <c r="X18" s="210">
        <f t="shared" si="3"/>
        <v>512000</v>
      </c>
      <c r="Y18" s="210">
        <f t="shared" si="3"/>
        <v>1024000</v>
      </c>
      <c r="Z18" s="210">
        <f t="shared" si="3"/>
        <v>2048000</v>
      </c>
      <c r="AA18" s="210">
        <f>Z18*2</f>
        <v>4096000</v>
      </c>
      <c r="AB18" s="210">
        <f>AA18*2</f>
        <v>8192000</v>
      </c>
      <c r="AC18" s="210">
        <f>AB18*2</f>
        <v>16384000</v>
      </c>
      <c r="AD18" s="210">
        <f t="shared" ref="AD18:AH18" si="4">AC18*2</f>
        <v>32768000</v>
      </c>
      <c r="AE18" s="210">
        <f t="shared" si="4"/>
        <v>65536000</v>
      </c>
      <c r="AF18" s="225">
        <f t="shared" si="4"/>
        <v>131072000</v>
      </c>
      <c r="AG18" s="194">
        <f t="shared" si="4"/>
        <v>262144000</v>
      </c>
      <c r="AH18" s="194">
        <f t="shared" si="4"/>
        <v>524288000</v>
      </c>
      <c r="AI18" s="195">
        <f>AH18*2</f>
        <v>1048576000</v>
      </c>
      <c r="AJ18" s="185">
        <f>B5</f>
        <v>1392156000</v>
      </c>
      <c r="AK18" s="229">
        <f>B5*AK19</f>
        <v>83529360</v>
      </c>
      <c r="AL18" s="45"/>
      <c r="AM18" s="45"/>
      <c r="AN18" s="66"/>
    </row>
    <row r="19" spans="1:40" x14ac:dyDescent="0.25">
      <c r="A19" s="41" t="s">
        <v>108</v>
      </c>
      <c r="B19" s="16"/>
      <c r="C19" s="16"/>
      <c r="D19" s="16"/>
      <c r="E19" s="16"/>
      <c r="F19" s="16"/>
      <c r="G19" s="16"/>
      <c r="H19" s="16"/>
      <c r="I19" s="16"/>
      <c r="J19" s="205">
        <f t="shared" ref="J19:Z19" si="5">J18/$B$5</f>
        <v>2.2447197009530542E-8</v>
      </c>
      <c r="K19" s="206">
        <f t="shared" si="5"/>
        <v>4.4894394019061085E-8</v>
      </c>
      <c r="L19" s="206">
        <f t="shared" si="5"/>
        <v>8.978878803812217E-8</v>
      </c>
      <c r="M19" s="182">
        <f t="shared" si="5"/>
        <v>1.7957757607624434E-7</v>
      </c>
      <c r="N19" s="182">
        <f t="shared" si="5"/>
        <v>3.5915515215248868E-7</v>
      </c>
      <c r="O19" s="182">
        <f t="shared" si="5"/>
        <v>7.1831030430497736E-7</v>
      </c>
      <c r="P19" s="182">
        <f t="shared" si="5"/>
        <v>1.4366206086099547E-6</v>
      </c>
      <c r="Q19" s="65">
        <f t="shared" si="5"/>
        <v>2.8732412172199094E-6</v>
      </c>
      <c r="R19" s="65">
        <f t="shared" si="5"/>
        <v>5.7464824344398189E-6</v>
      </c>
      <c r="S19" s="65">
        <f>S18/$B$5</f>
        <v>1.1492964868879638E-5</v>
      </c>
      <c r="T19" s="65">
        <f>T18/$B$5</f>
        <v>2.2985929737759275E-5</v>
      </c>
      <c r="U19" s="36">
        <f>U18/$B$5</f>
        <v>4.5971859475518551E-5</v>
      </c>
      <c r="V19" s="36">
        <f>V18/$B$5</f>
        <v>9.1943718951037102E-5</v>
      </c>
      <c r="W19" s="14">
        <f t="shared" si="5"/>
        <v>1.838874379020742E-4</v>
      </c>
      <c r="X19" s="14">
        <f t="shared" si="5"/>
        <v>3.6777487580414841E-4</v>
      </c>
      <c r="Y19" s="14">
        <f t="shared" si="5"/>
        <v>7.3554975160829681E-4</v>
      </c>
      <c r="Z19" s="14">
        <f t="shared" si="5"/>
        <v>1.4710995032165936E-3</v>
      </c>
      <c r="AA19" s="15">
        <f>AA18/$B$5</f>
        <v>2.9421990064331873E-3</v>
      </c>
      <c r="AB19" s="15">
        <f>AB18/$B$5</f>
        <v>5.8843980128663745E-3</v>
      </c>
      <c r="AC19" s="15">
        <f>AC18/$B$5</f>
        <v>1.1768796025732749E-2</v>
      </c>
      <c r="AD19" s="15">
        <f t="shared" ref="AD19:AI19" si="6">AD18/$B$5</f>
        <v>2.3537592051465498E-2</v>
      </c>
      <c r="AE19" s="15">
        <f t="shared" si="6"/>
        <v>4.7075184102930996E-2</v>
      </c>
      <c r="AF19" s="226">
        <f t="shared" si="6"/>
        <v>9.4150368205861992E-2</v>
      </c>
      <c r="AG19" s="166">
        <f t="shared" si="6"/>
        <v>0.18830073641172398</v>
      </c>
      <c r="AH19" s="166">
        <f t="shared" ref="AH19" si="7">AH18/$B$5</f>
        <v>0.37660147282344797</v>
      </c>
      <c r="AI19" s="167">
        <f t="shared" si="6"/>
        <v>0.75320294564689594</v>
      </c>
      <c r="AJ19" s="166">
        <f>AJ18/$B$5</f>
        <v>1</v>
      </c>
      <c r="AK19" s="230">
        <f>B7</f>
        <v>0.06</v>
      </c>
      <c r="AL19" s="25"/>
      <c r="AM19" s="25"/>
      <c r="AN19" s="66"/>
    </row>
    <row r="20" spans="1:40" x14ac:dyDescent="0.25">
      <c r="A20" s="41" t="s">
        <v>158</v>
      </c>
      <c r="B20" s="16"/>
      <c r="C20" s="16"/>
      <c r="D20" s="16"/>
      <c r="E20" s="16"/>
      <c r="F20" s="16"/>
      <c r="G20" s="16"/>
      <c r="H20" s="16"/>
      <c r="I20" s="16"/>
      <c r="J20" s="272">
        <f t="shared" ref="J20:S20" si="8">MAX(J18-(J26-J27)-(J28-J29)-(J30-J31),0)</f>
        <v>25.016129564011877</v>
      </c>
      <c r="K20" s="273">
        <f t="shared" si="8"/>
        <v>52.366135481904664</v>
      </c>
      <c r="L20" s="273">
        <f t="shared" si="8"/>
        <v>108.52625208919129</v>
      </c>
      <c r="M20" s="273">
        <f t="shared" si="8"/>
        <v>222.10422027875339</v>
      </c>
      <c r="N20" s="273">
        <f>MAX(N18-(N26-N27)-(N28-N29)-(N30-N31),0)</f>
        <v>447.6875</v>
      </c>
      <c r="O20" s="273">
        <f t="shared" si="8"/>
        <v>906.49780135330877</v>
      </c>
      <c r="P20" s="273">
        <f t="shared" si="8"/>
        <v>1856.4333005675624</v>
      </c>
      <c r="Q20" s="273">
        <f t="shared" si="8"/>
        <v>3721.4155453634608</v>
      </c>
      <c r="R20" s="273">
        <f t="shared" si="8"/>
        <v>7285.310658734079</v>
      </c>
      <c r="S20" s="273">
        <f t="shared" si="8"/>
        <v>13140.837714510171</v>
      </c>
      <c r="T20" s="273">
        <f>MAX(T18-(T26-T27)-(T28-T29)-(T30-T31),0)</f>
        <v>17289.745825150563</v>
      </c>
      <c r="U20" s="273">
        <f t="shared" ref="U20:AJ20" si="9">MAX(U18-(U26-U27)-(U28-U29)-(U30-U31),0)</f>
        <v>17728.062747146152</v>
      </c>
      <c r="V20" s="273">
        <f t="shared" si="9"/>
        <v>44767.033974008722</v>
      </c>
      <c r="W20" s="273">
        <f t="shared" si="9"/>
        <v>99570.452512120261</v>
      </c>
      <c r="X20" s="273">
        <f t="shared" si="9"/>
        <v>232511.39076877106</v>
      </c>
      <c r="Y20" s="273">
        <f t="shared" si="9"/>
        <v>489420.89738093741</v>
      </c>
      <c r="Z20" s="273">
        <f t="shared" si="9"/>
        <v>1016741.0521560902</v>
      </c>
      <c r="AA20" s="273">
        <f t="shared" si="9"/>
        <v>2090334.1638970708</v>
      </c>
      <c r="AB20" s="273">
        <f t="shared" si="9"/>
        <v>4271303.3187031178</v>
      </c>
      <c r="AC20" s="273">
        <f t="shared" si="9"/>
        <v>8690451.7136774641</v>
      </c>
      <c r="AD20" s="273">
        <f t="shared" ref="AD20:AI20" si="10">MAX(AD18-(AD26-AD27)-(AD28-AD29)-(AD30-AD31),0)</f>
        <v>17626632.379021749</v>
      </c>
      <c r="AE20" s="273">
        <f t="shared" si="10"/>
        <v>35668103.026983678</v>
      </c>
      <c r="AF20" s="227">
        <f t="shared" si="10"/>
        <v>72045824.955831304</v>
      </c>
      <c r="AG20" s="185">
        <f t="shared" si="10"/>
        <v>145319292.68862841</v>
      </c>
      <c r="AH20" s="185">
        <f t="shared" ref="AH20" si="11">MAX(AH18-(AH26-AH27)-(AH28-AH29)-(AH30-AH31),0)</f>
        <v>292783259.58068931</v>
      </c>
      <c r="AI20" s="186">
        <f t="shared" si="10"/>
        <v>817071259.58068931</v>
      </c>
      <c r="AJ20" s="185">
        <f t="shared" si="9"/>
        <v>932925364.02002704</v>
      </c>
      <c r="AK20" s="231"/>
      <c r="AL20" s="45"/>
      <c r="AM20" s="45"/>
      <c r="AN20" s="66"/>
    </row>
    <row r="21" spans="1:40" x14ac:dyDescent="0.25">
      <c r="A21" s="41" t="s">
        <v>172</v>
      </c>
      <c r="B21" s="16"/>
      <c r="C21" s="16"/>
      <c r="D21" s="16"/>
      <c r="E21" s="16"/>
      <c r="F21" s="16"/>
      <c r="G21" s="16"/>
      <c r="H21" s="16"/>
      <c r="I21" s="16"/>
      <c r="J21" s="74">
        <f>MAX(J18-J20-J33,0)</f>
        <v>6.2338704359881234</v>
      </c>
      <c r="K21" s="75">
        <f>MAX(K18-K20-K33,0)</f>
        <v>10.133864518095336</v>
      </c>
      <c r="L21" s="75">
        <f>MAX(L18-L20-L33,0)</f>
        <v>16.473747910808711</v>
      </c>
      <c r="M21" s="211">
        <f>MAX(M18-M20-M33,0)</f>
        <v>27.895779721246612</v>
      </c>
      <c r="N21" s="211">
        <f t="shared" ref="N21:AE21" si="12">MAX(N18-N20-N33,0)</f>
        <v>52.3125</v>
      </c>
      <c r="O21" s="211">
        <f t="shared" si="12"/>
        <v>93.502198646691227</v>
      </c>
      <c r="P21" s="211">
        <f t="shared" si="12"/>
        <v>143.56669943243764</v>
      </c>
      <c r="Q21" s="211">
        <f t="shared" si="12"/>
        <v>278.58445463653925</v>
      </c>
      <c r="R21" s="211">
        <f t="shared" si="12"/>
        <v>713.51840730231311</v>
      </c>
      <c r="S21" s="211">
        <f t="shared" si="12"/>
        <v>2855.2375018429307</v>
      </c>
      <c r="T21" s="211">
        <f t="shared" si="12"/>
        <v>14688.160421472761</v>
      </c>
      <c r="U21" s="211">
        <f t="shared" si="12"/>
        <v>46120.035169520517</v>
      </c>
      <c r="V21" s="211">
        <f t="shared" si="12"/>
        <v>82555.891201428938</v>
      </c>
      <c r="W21" s="211">
        <f t="shared" si="12"/>
        <v>154326.14384958651</v>
      </c>
      <c r="X21" s="211">
        <f t="shared" si="12"/>
        <v>275804.32914835954</v>
      </c>
      <c r="Y21" s="211">
        <f t="shared" si="12"/>
        <v>527769.17555388063</v>
      </c>
      <c r="Z21" s="211">
        <f t="shared" si="12"/>
        <v>1019216.528750215</v>
      </c>
      <c r="AA21" s="211">
        <f t="shared" si="12"/>
        <v>1982783.8413815347</v>
      </c>
      <c r="AB21" s="211">
        <f t="shared" si="12"/>
        <v>3876720.4066325258</v>
      </c>
      <c r="AC21" s="211">
        <f t="shared" si="12"/>
        <v>7608355.2533549508</v>
      </c>
      <c r="AD21" s="211">
        <f t="shared" si="12"/>
        <v>14975368.083384838</v>
      </c>
      <c r="AE21" s="211">
        <f t="shared" si="12"/>
        <v>29543035.998421997</v>
      </c>
      <c r="AF21" s="253">
        <f>MAX(AF18-AF20-AF33,0)</f>
        <v>58388292.948673308</v>
      </c>
      <c r="AG21" s="200">
        <f>MAX(AG18-AG20-AG33,0)</f>
        <v>115568896.26272354</v>
      </c>
      <c r="AH21" s="200">
        <f t="shared" ref="AH21:AI21" si="13">MAX(AH18-AH20-AH33,0)</f>
        <v>229027198.55612734</v>
      </c>
      <c r="AI21" s="201">
        <f t="shared" si="13"/>
        <v>229027198.55612734</v>
      </c>
      <c r="AJ21" s="200">
        <f>MAX(AJ18-AJ20-AJ33,0)</f>
        <v>454334433.55003816</v>
      </c>
      <c r="AK21" s="232"/>
      <c r="AL21" s="25"/>
      <c r="AM21" s="25"/>
      <c r="AN21" s="66"/>
    </row>
    <row r="22" spans="1:40" x14ac:dyDescent="0.25">
      <c r="A22" s="4" t="s">
        <v>165</v>
      </c>
      <c r="B22" s="9"/>
      <c r="C22" s="9"/>
      <c r="D22" s="9"/>
      <c r="E22" s="9"/>
      <c r="F22" s="9"/>
      <c r="G22" s="9"/>
      <c r="H22" s="9"/>
      <c r="I22" s="5"/>
      <c r="J22" s="197">
        <f t="shared" ref="J22:AE22" si="14">J18/$B$6</f>
        <v>318.87755102040813</v>
      </c>
      <c r="K22" s="198">
        <f t="shared" si="14"/>
        <v>637.75510204081627</v>
      </c>
      <c r="L22" s="198">
        <f t="shared" si="14"/>
        <v>1275.5102040816325</v>
      </c>
      <c r="M22" s="198">
        <f t="shared" si="14"/>
        <v>2551.0204081632651</v>
      </c>
      <c r="N22" s="198">
        <f t="shared" si="14"/>
        <v>5102.0408163265301</v>
      </c>
      <c r="O22" s="198">
        <f t="shared" si="14"/>
        <v>10204.08163265306</v>
      </c>
      <c r="P22" s="198">
        <f t="shared" si="14"/>
        <v>20408.163265306121</v>
      </c>
      <c r="Q22" s="198">
        <f t="shared" si="14"/>
        <v>40816.326530612241</v>
      </c>
      <c r="R22" s="198">
        <f t="shared" si="14"/>
        <v>81632.653061224482</v>
      </c>
      <c r="S22" s="198">
        <f t="shared" si="14"/>
        <v>163265.30612244896</v>
      </c>
      <c r="T22" s="198">
        <f t="shared" si="14"/>
        <v>326530.61224489793</v>
      </c>
      <c r="U22" s="198">
        <f t="shared" si="14"/>
        <v>653061.22448979586</v>
      </c>
      <c r="V22" s="198">
        <f t="shared" si="14"/>
        <v>1306122.4489795917</v>
      </c>
      <c r="W22" s="198">
        <f t="shared" si="14"/>
        <v>2612244.8979591834</v>
      </c>
      <c r="X22" s="198">
        <f t="shared" si="14"/>
        <v>5224489.7959183669</v>
      </c>
      <c r="Y22" s="198">
        <f t="shared" si="14"/>
        <v>10448979.591836734</v>
      </c>
      <c r="Z22" s="198">
        <f t="shared" si="14"/>
        <v>20897959.183673467</v>
      </c>
      <c r="AA22" s="198">
        <f t="shared" si="14"/>
        <v>41795918.367346935</v>
      </c>
      <c r="AB22" s="198">
        <f t="shared" si="14"/>
        <v>83591836.73469387</v>
      </c>
      <c r="AC22" s="198">
        <f t="shared" si="14"/>
        <v>167183673.46938774</v>
      </c>
      <c r="AD22" s="198">
        <f t="shared" si="14"/>
        <v>334367346.93877548</v>
      </c>
      <c r="AE22" s="198">
        <f t="shared" si="14"/>
        <v>668734693.87755096</v>
      </c>
      <c r="AF22" s="225">
        <f t="shared" ref="AF22" si="15">AF18/$B$6</f>
        <v>1337469387.7551019</v>
      </c>
      <c r="AG22" s="194">
        <f t="shared" ref="AG22:AI22" si="16">$B$5</f>
        <v>1392156000</v>
      </c>
      <c r="AH22" s="194">
        <f t="shared" si="16"/>
        <v>1392156000</v>
      </c>
      <c r="AI22" s="195">
        <f t="shared" si="16"/>
        <v>1392156000</v>
      </c>
      <c r="AJ22" s="185">
        <f>AJ18</f>
        <v>1392156000</v>
      </c>
      <c r="AK22" s="231">
        <f>($B$5*$B$7)/$B$6</f>
        <v>852340408.16326523</v>
      </c>
      <c r="AL22" s="25"/>
      <c r="AM22" s="25"/>
      <c r="AN22" s="66"/>
    </row>
    <row r="23" spans="1:40" x14ac:dyDescent="0.25">
      <c r="A23" s="41" t="s">
        <v>112</v>
      </c>
      <c r="B23" s="16"/>
      <c r="C23" s="16"/>
      <c r="D23" s="16"/>
      <c r="E23" s="16"/>
      <c r="F23" s="16"/>
      <c r="G23" s="16"/>
      <c r="H23" s="16"/>
      <c r="I23" s="17"/>
      <c r="J23" s="181">
        <f>J22/$B$5</f>
        <v>2.2905303070949529E-7</v>
      </c>
      <c r="K23" s="182">
        <f t="shared" ref="K23:AB23" si="17">K22/$B$5</f>
        <v>4.5810606141899059E-7</v>
      </c>
      <c r="L23" s="182">
        <f t="shared" si="17"/>
        <v>9.1621212283798117E-7</v>
      </c>
      <c r="M23" s="65">
        <f t="shared" si="17"/>
        <v>1.8324242456759623E-6</v>
      </c>
      <c r="N23" s="65">
        <f t="shared" si="17"/>
        <v>3.6648484913519247E-6</v>
      </c>
      <c r="O23" s="65">
        <f t="shared" si="17"/>
        <v>7.3296969827038494E-6</v>
      </c>
      <c r="P23" s="65">
        <f t="shared" si="17"/>
        <v>1.4659393965407699E-5</v>
      </c>
      <c r="Q23" s="36">
        <f t="shared" si="17"/>
        <v>2.9318787930815398E-5</v>
      </c>
      <c r="R23" s="36">
        <f t="shared" si="17"/>
        <v>5.8637575861630795E-5</v>
      </c>
      <c r="S23" s="36">
        <f t="shared" si="17"/>
        <v>1.1727515172326159E-4</v>
      </c>
      <c r="T23" s="36">
        <f t="shared" si="17"/>
        <v>2.3455030344652318E-4</v>
      </c>
      <c r="U23" s="36">
        <f t="shared" si="17"/>
        <v>4.6910060689304636E-4</v>
      </c>
      <c r="V23" s="14">
        <f t="shared" si="17"/>
        <v>9.3820121378609272E-4</v>
      </c>
      <c r="W23" s="15">
        <f t="shared" si="17"/>
        <v>1.8764024275721854E-3</v>
      </c>
      <c r="X23" s="15">
        <f t="shared" si="17"/>
        <v>3.7528048551443709E-3</v>
      </c>
      <c r="Y23" s="15">
        <f t="shared" si="17"/>
        <v>7.5056097102887418E-3</v>
      </c>
      <c r="Z23" s="15">
        <f t="shared" si="17"/>
        <v>1.5011219420577484E-2</v>
      </c>
      <c r="AA23" s="15">
        <f t="shared" si="17"/>
        <v>3.0022438841154967E-2</v>
      </c>
      <c r="AB23" s="72">
        <f t="shared" si="17"/>
        <v>6.0044877682309934E-2</v>
      </c>
      <c r="AC23" s="72">
        <f>AC22/$B$5</f>
        <v>0.12008975536461987</v>
      </c>
      <c r="AD23" s="72">
        <f t="shared" ref="AD23:AI23" si="18">AD22/$B$5</f>
        <v>0.24017951072923974</v>
      </c>
      <c r="AE23" s="72">
        <f t="shared" si="18"/>
        <v>0.48035902145847947</v>
      </c>
      <c r="AF23" s="226">
        <f t="shared" ref="AF23" si="19">AF22/$B$5</f>
        <v>0.96071804291695895</v>
      </c>
      <c r="AG23" s="166">
        <f t="shared" si="18"/>
        <v>1</v>
      </c>
      <c r="AH23" s="166">
        <f t="shared" ref="AH23" si="20">AH22/$B$5</f>
        <v>1</v>
      </c>
      <c r="AI23" s="167">
        <f t="shared" si="18"/>
        <v>1</v>
      </c>
      <c r="AJ23" s="166">
        <v>1</v>
      </c>
      <c r="AK23" s="230">
        <f>AK22/B5</f>
        <v>0.61224489795918358</v>
      </c>
      <c r="AL23" s="25"/>
      <c r="AM23" s="25"/>
      <c r="AN23" s="66"/>
    </row>
    <row r="24" spans="1:40" x14ac:dyDescent="0.25">
      <c r="A24" s="41" t="s">
        <v>163</v>
      </c>
      <c r="B24" s="16"/>
      <c r="C24" s="16"/>
      <c r="D24" s="16"/>
      <c r="E24" s="16"/>
      <c r="F24" s="16"/>
      <c r="G24" s="16"/>
      <c r="H24" s="16"/>
      <c r="I24" s="17"/>
      <c r="J24" s="183">
        <f>J22-J18</f>
        <v>287.62755102040813</v>
      </c>
      <c r="K24" s="184">
        <f t="shared" ref="K24:AA24" si="21">K22-K18</f>
        <v>575.25510204081627</v>
      </c>
      <c r="L24" s="184">
        <f t="shared" si="21"/>
        <v>1150.5102040816325</v>
      </c>
      <c r="M24" s="184">
        <f t="shared" si="21"/>
        <v>2301.0204081632651</v>
      </c>
      <c r="N24" s="184">
        <f>N22-N18</f>
        <v>4602.0408163265301</v>
      </c>
      <c r="O24" s="184">
        <f t="shared" si="21"/>
        <v>9204.0816326530603</v>
      </c>
      <c r="P24" s="184">
        <f t="shared" si="21"/>
        <v>18408.163265306121</v>
      </c>
      <c r="Q24" s="184">
        <f t="shared" si="21"/>
        <v>36816.326530612241</v>
      </c>
      <c r="R24" s="184">
        <f t="shared" si="21"/>
        <v>73632.653061224482</v>
      </c>
      <c r="S24" s="184">
        <f t="shared" si="21"/>
        <v>147265.30612244896</v>
      </c>
      <c r="T24" s="184">
        <f t="shared" si="21"/>
        <v>294530.61224489793</v>
      </c>
      <c r="U24" s="184">
        <f t="shared" si="21"/>
        <v>589061.22448979586</v>
      </c>
      <c r="V24" s="184">
        <f t="shared" si="21"/>
        <v>1178122.4489795917</v>
      </c>
      <c r="W24" s="184">
        <f t="shared" si="21"/>
        <v>2356244.8979591834</v>
      </c>
      <c r="X24" s="184">
        <f t="shared" si="21"/>
        <v>4712489.7959183669</v>
      </c>
      <c r="Y24" s="184">
        <f t="shared" si="21"/>
        <v>9424979.5918367337</v>
      </c>
      <c r="Z24" s="184">
        <f t="shared" si="21"/>
        <v>18849959.183673467</v>
      </c>
      <c r="AA24" s="184">
        <f t="shared" si="21"/>
        <v>37699918.367346935</v>
      </c>
      <c r="AB24" s="184">
        <f>AB22-AB18</f>
        <v>75399836.73469387</v>
      </c>
      <c r="AC24" s="184">
        <f>AC22-AC18</f>
        <v>150799673.46938774</v>
      </c>
      <c r="AD24" s="184">
        <f>AD22-AD18</f>
        <v>301599346.93877548</v>
      </c>
      <c r="AE24" s="184">
        <f t="shared" ref="AE24:AI24" si="22">AE22</f>
        <v>668734693.87755096</v>
      </c>
      <c r="AF24" s="227">
        <f t="shared" si="22"/>
        <v>1337469387.7551019</v>
      </c>
      <c r="AG24" s="185">
        <f t="shared" si="22"/>
        <v>1392156000</v>
      </c>
      <c r="AH24" s="185">
        <f t="shared" ref="AH24" si="23">AH22</f>
        <v>1392156000</v>
      </c>
      <c r="AI24" s="186">
        <f t="shared" si="22"/>
        <v>1392156000</v>
      </c>
      <c r="AJ24" s="185">
        <f>AJ22</f>
        <v>1392156000</v>
      </c>
      <c r="AK24" s="233">
        <f>AK22-AK18</f>
        <v>768811048.16326523</v>
      </c>
      <c r="AL24" s="25"/>
      <c r="AM24" s="25"/>
      <c r="AN24" s="66"/>
    </row>
    <row r="25" spans="1:40" x14ac:dyDescent="0.25">
      <c r="A25" s="37" t="s">
        <v>164</v>
      </c>
      <c r="B25" s="39"/>
      <c r="C25" s="39"/>
      <c r="D25" s="39"/>
      <c r="E25" s="39"/>
      <c r="F25" s="39"/>
      <c r="G25" s="39"/>
      <c r="H25" s="39"/>
      <c r="I25" s="62"/>
      <c r="J25" s="192">
        <f>MIN((1/$B$6)*(2^(((J17 - 14) - $B$14)/$J$43)),J24)</f>
        <v>78.532003476796717</v>
      </c>
      <c r="K25" s="193">
        <f>MIN((1/$B$6)*(2^(((K17 - 14) - $B$14)/$J$43)),K24)</f>
        <v>127.66269234184094</v>
      </c>
      <c r="L25" s="193">
        <f t="shared" ref="L25" si="24">MIN((1/$B$6)*(2^(((L17 - 14) - $B$14)/$J$43)),L24)</f>
        <v>207.53020799708628</v>
      </c>
      <c r="M25" s="184">
        <f t="shared" ref="M25:AJ25" si="25">MIN(($J$18/$B$6)*(2^(((M17 - 14) - $J$17)/HLOOKUP((M17-14)-$B$14,$J$41:$AK$43,3,TRUE))),M24)</f>
        <v>351.42075738531872</v>
      </c>
      <c r="N25" s="184">
        <f t="shared" si="25"/>
        <v>659.01360544217675</v>
      </c>
      <c r="O25" s="184">
        <f t="shared" si="25"/>
        <v>1177.9062565720733</v>
      </c>
      <c r="P25" s="184">
        <f t="shared" si="25"/>
        <v>1808.6003959742716</v>
      </c>
      <c r="Q25" s="184">
        <f t="shared" si="25"/>
        <v>3509.5043416041722</v>
      </c>
      <c r="R25" s="184">
        <f t="shared" si="25"/>
        <v>8981.7004227101679</v>
      </c>
      <c r="S25" s="184">
        <f t="shared" si="25"/>
        <v>33861.517950454108</v>
      </c>
      <c r="T25" s="184">
        <f t="shared" si="25"/>
        <v>174245.84928116601</v>
      </c>
      <c r="U25" s="184">
        <f t="shared" si="25"/>
        <v>547038.31692859705</v>
      </c>
      <c r="V25" s="184">
        <f t="shared" si="25"/>
        <v>973497.35363018198</v>
      </c>
      <c r="W25" s="184">
        <f t="shared" si="25"/>
        <v>1818360.3557733106</v>
      </c>
      <c r="X25" s="184">
        <f t="shared" si="25"/>
        <v>3242386.1467531314</v>
      </c>
      <c r="Y25" s="184">
        <f t="shared" si="25"/>
        <v>6196080.9751070477</v>
      </c>
      <c r="Z25" s="184">
        <f t="shared" si="25"/>
        <v>11960916.729649171</v>
      </c>
      <c r="AA25" s="184">
        <f t="shared" si="25"/>
        <v>23253502.233512968</v>
      </c>
      <c r="AB25" s="184">
        <f t="shared" si="25"/>
        <v>45441195.390771762</v>
      </c>
      <c r="AC25" s="184">
        <f t="shared" si="25"/>
        <v>89143406.630551368</v>
      </c>
      <c r="AD25" s="184">
        <f t="shared" si="25"/>
        <v>175395947.3906796</v>
      </c>
      <c r="AE25" s="184">
        <f t="shared" si="25"/>
        <v>345910799.15338045</v>
      </c>
      <c r="AF25" s="228">
        <f t="shared" si="25"/>
        <v>683470977.05113137</v>
      </c>
      <c r="AG25" s="189">
        <f t="shared" si="25"/>
        <v>1352493818.856674</v>
      </c>
      <c r="AH25" s="189">
        <f t="shared" si="25"/>
        <v>1392156000</v>
      </c>
      <c r="AI25" s="190">
        <f t="shared" si="25"/>
        <v>1392156000</v>
      </c>
      <c r="AJ25" s="189">
        <f t="shared" si="25"/>
        <v>1392156000</v>
      </c>
      <c r="AK25" s="233"/>
      <c r="AL25" s="25"/>
      <c r="AM25" s="25"/>
      <c r="AN25" s="66"/>
    </row>
    <row r="26" spans="1:40" x14ac:dyDescent="0.25">
      <c r="A26" s="41" t="s">
        <v>161</v>
      </c>
      <c r="B26" s="16"/>
      <c r="C26" s="16"/>
      <c r="D26" s="16"/>
      <c r="E26" s="16"/>
      <c r="F26" s="16"/>
      <c r="G26" s="16"/>
      <c r="H26" s="16"/>
      <c r="I26" s="16"/>
      <c r="J26" s="202">
        <f t="shared" ref="J26:AJ26" si="26">J18*$B$10</f>
        <v>25.3125</v>
      </c>
      <c r="K26" s="203">
        <f t="shared" si="26"/>
        <v>50.625</v>
      </c>
      <c r="L26" s="203">
        <f t="shared" si="26"/>
        <v>101.25</v>
      </c>
      <c r="M26" s="203">
        <f t="shared" si="26"/>
        <v>202.5</v>
      </c>
      <c r="N26" s="203">
        <f t="shared" si="26"/>
        <v>405</v>
      </c>
      <c r="O26" s="203">
        <f t="shared" si="26"/>
        <v>810</v>
      </c>
      <c r="P26" s="203">
        <f t="shared" si="26"/>
        <v>1620</v>
      </c>
      <c r="Q26" s="203">
        <f t="shared" si="26"/>
        <v>3240</v>
      </c>
      <c r="R26" s="203">
        <f t="shared" si="26"/>
        <v>6480</v>
      </c>
      <c r="S26" s="203">
        <f t="shared" si="26"/>
        <v>12960</v>
      </c>
      <c r="T26" s="203">
        <f t="shared" si="26"/>
        <v>25920</v>
      </c>
      <c r="U26" s="203">
        <f t="shared" si="26"/>
        <v>51840</v>
      </c>
      <c r="V26" s="203">
        <f t="shared" si="26"/>
        <v>103680</v>
      </c>
      <c r="W26" s="203">
        <f t="shared" si="26"/>
        <v>207360</v>
      </c>
      <c r="X26" s="203">
        <f t="shared" si="26"/>
        <v>414720</v>
      </c>
      <c r="Y26" s="203">
        <f t="shared" si="26"/>
        <v>829440</v>
      </c>
      <c r="Z26" s="203">
        <f t="shared" si="26"/>
        <v>1658880</v>
      </c>
      <c r="AA26" s="203">
        <f t="shared" si="26"/>
        <v>3317760</v>
      </c>
      <c r="AB26" s="203">
        <f t="shared" si="26"/>
        <v>6635520</v>
      </c>
      <c r="AC26" s="203">
        <f t="shared" si="26"/>
        <v>13271040</v>
      </c>
      <c r="AD26" s="203">
        <f t="shared" ref="AD26:AI26" si="27">AD18*$B$10</f>
        <v>26542080</v>
      </c>
      <c r="AE26" s="203">
        <f t="shared" si="27"/>
        <v>53084160</v>
      </c>
      <c r="AF26" s="225">
        <f t="shared" si="27"/>
        <v>106168320</v>
      </c>
      <c r="AG26" s="194">
        <f t="shared" si="27"/>
        <v>212336640</v>
      </c>
      <c r="AH26" s="194">
        <f t="shared" ref="AH26" si="28">AH18*$B$10</f>
        <v>424673280</v>
      </c>
      <c r="AI26" s="195">
        <f t="shared" si="27"/>
        <v>849346560</v>
      </c>
      <c r="AJ26" s="185">
        <f t="shared" si="26"/>
        <v>1127646360</v>
      </c>
      <c r="AK26" s="233">
        <f>AK18*B10</f>
        <v>67658781.600000009</v>
      </c>
      <c r="AL26" s="25"/>
      <c r="AM26" s="25"/>
      <c r="AN26" s="66"/>
    </row>
    <row r="27" spans="1:40" x14ac:dyDescent="0.25">
      <c r="A27" s="41" t="s">
        <v>173</v>
      </c>
      <c r="B27" s="16"/>
      <c r="C27" s="16"/>
      <c r="D27" s="16"/>
      <c r="E27" s="16"/>
      <c r="F27" s="16"/>
      <c r="G27" s="16"/>
      <c r="H27" s="16"/>
      <c r="I27" s="16"/>
      <c r="J27" s="192">
        <f t="shared" ref="J27:L27" si="29">J26-(1*$B$10)*(2^(((J17 - 14) - $B$14)/$J$43))</f>
        <v>19.078629564011877</v>
      </c>
      <c r="K27" s="193">
        <f t="shared" si="29"/>
        <v>40.491135481904664</v>
      </c>
      <c r="L27" s="193">
        <f t="shared" si="29"/>
        <v>84.776252089191289</v>
      </c>
      <c r="M27" s="191">
        <f t="shared" ref="M27:AJ27" si="30">MAX(M26-(($J$18*$B$10)*(2^(((M17 -14) - $J$17)/HLOOKUP((M17-14)-$B$14,$J$41:$AK$43,3,TRUE)))),0)</f>
        <v>174.60422027875339</v>
      </c>
      <c r="N27" s="191">
        <f t="shared" si="30"/>
        <v>352.6875</v>
      </c>
      <c r="O27" s="191">
        <f t="shared" si="30"/>
        <v>716.49780135330877</v>
      </c>
      <c r="P27" s="191">
        <f t="shared" si="30"/>
        <v>1476.4333005675624</v>
      </c>
      <c r="Q27" s="191">
        <f t="shared" si="30"/>
        <v>2961.4155453634608</v>
      </c>
      <c r="R27" s="191">
        <f t="shared" si="30"/>
        <v>5767.0326204452667</v>
      </c>
      <c r="S27" s="191">
        <f t="shared" si="30"/>
        <v>10272.072705092953</v>
      </c>
      <c r="T27" s="191">
        <f t="shared" si="30"/>
        <v>12088.364484061041</v>
      </c>
      <c r="U27" s="191">
        <f t="shared" si="30"/>
        <v>8416.0984022079647</v>
      </c>
      <c r="V27" s="191">
        <f t="shared" si="30"/>
        <v>26403.780068836146</v>
      </c>
      <c r="W27" s="191">
        <f t="shared" si="30"/>
        <v>63018.55495871458</v>
      </c>
      <c r="X27" s="191">
        <f t="shared" si="30"/>
        <v>157339.38767073638</v>
      </c>
      <c r="Y27" s="191">
        <f t="shared" si="30"/>
        <v>337595.09219600254</v>
      </c>
      <c r="Z27" s="191">
        <f t="shared" si="30"/>
        <v>709422.43000044872</v>
      </c>
      <c r="AA27" s="191">
        <f t="shared" si="30"/>
        <v>1471896.9927037403</v>
      </c>
      <c r="AB27" s="191">
        <f t="shared" si="30"/>
        <v>3028397.9098805371</v>
      </c>
      <c r="AC27" s="191">
        <f t="shared" si="30"/>
        <v>6194836.3816668326</v>
      </c>
      <c r="AD27" s="191">
        <f t="shared" si="30"/>
        <v>12619149.696127852</v>
      </c>
      <c r="AE27" s="191">
        <f t="shared" si="30"/>
        <v>25625760.763204657</v>
      </c>
      <c r="AF27" s="228">
        <f t="shared" si="30"/>
        <v>51914393.841681182</v>
      </c>
      <c r="AG27" s="189">
        <f t="shared" si="30"/>
        <v>104975680.6591572</v>
      </c>
      <c r="AH27" s="189">
        <f t="shared" si="30"/>
        <v>211955147.82403433</v>
      </c>
      <c r="AI27" s="190">
        <f t="shared" si="30"/>
        <v>636628427.82403433</v>
      </c>
      <c r="AJ27" s="189">
        <f t="shared" si="30"/>
        <v>705740975.44965839</v>
      </c>
      <c r="AK27" s="231"/>
      <c r="AL27" s="25"/>
      <c r="AM27" s="25"/>
      <c r="AN27" s="66"/>
    </row>
    <row r="28" spans="1:40" x14ac:dyDescent="0.25">
      <c r="A28" s="61" t="s">
        <v>110</v>
      </c>
      <c r="B28" s="9"/>
      <c r="C28" s="9"/>
      <c r="D28" s="9"/>
      <c r="E28" s="9"/>
      <c r="F28" s="9"/>
      <c r="G28" s="9"/>
      <c r="H28" s="9"/>
      <c r="I28" s="5"/>
      <c r="J28" s="213">
        <f>(1*($B$11+$B$12))*(2^(((J17 - 7) - $B$14)/$J$43))</f>
        <v>2.8870253994390738</v>
      </c>
      <c r="K28" s="208">
        <f>(1*($B$11+$B$12))*(2^(((K17 - 7) - $B$14)/$J$43))</f>
        <v>4.6931877328275249</v>
      </c>
      <c r="L28" s="198">
        <f t="shared" ref="L28:AI28" si="31">($J$18*($B$11+$B$12))*(2^(((L17-7)-$J$17)/HLOOKUP((L17-7)-$B$14,$J$41:$AK$43,3,TRUE)))</f>
        <v>7.9471976804692028</v>
      </c>
      <c r="M28" s="198">
        <f t="shared" si="31"/>
        <v>18.968645416344785</v>
      </c>
      <c r="N28" s="198">
        <f t="shared" si="31"/>
        <v>29.467543857131108</v>
      </c>
      <c r="O28" s="198">
        <f t="shared" si="31"/>
        <v>56.748395631433958</v>
      </c>
      <c r="P28" s="198">
        <f t="shared" si="31"/>
        <v>123.46509239906847</v>
      </c>
      <c r="Q28" s="198">
        <f t="shared" si="31"/>
        <v>227.38643858014458</v>
      </c>
      <c r="R28" s="198">
        <f t="shared" si="31"/>
        <v>539.69701610130301</v>
      </c>
      <c r="S28" s="198">
        <f t="shared" si="31"/>
        <v>1754.1437959922339</v>
      </c>
      <c r="T28" s="198">
        <f t="shared" si="31"/>
        <v>5743.7813709348993</v>
      </c>
      <c r="U28" s="198">
        <f t="shared" si="31"/>
        <v>10890.879945956123</v>
      </c>
      <c r="V28" s="198">
        <f t="shared" si="31"/>
        <v>21214.342512393083</v>
      </c>
      <c r="W28" s="198">
        <f t="shared" si="31"/>
        <v>39108.249274687521</v>
      </c>
      <c r="X28" s="198">
        <f t="shared" si="31"/>
        <v>76455.643390981801</v>
      </c>
      <c r="Y28" s="198">
        <f t="shared" si="31"/>
        <v>150227.08358775231</v>
      </c>
      <c r="Z28" s="198">
        <f t="shared" si="31"/>
        <v>296227.37249479553</v>
      </c>
      <c r="AA28" s="198">
        <f t="shared" si="31"/>
        <v>585626.70440654701</v>
      </c>
      <c r="AB28" s="198">
        <f t="shared" si="31"/>
        <v>1159993.6440792591</v>
      </c>
      <c r="AC28" s="198">
        <f t="shared" si="31"/>
        <v>2301101.4780300218</v>
      </c>
      <c r="AD28" s="198">
        <f t="shared" si="31"/>
        <v>4570072.10492115</v>
      </c>
      <c r="AE28" s="198">
        <f t="shared" si="31"/>
        <v>9084813.7562164143</v>
      </c>
      <c r="AF28" s="225">
        <f t="shared" si="31"/>
        <v>18073348.878994126</v>
      </c>
      <c r="AG28" s="194">
        <f t="shared" si="31"/>
        <v>35977641.802569687</v>
      </c>
      <c r="AH28" s="194">
        <f t="shared" si="31"/>
        <v>71656067.450356156</v>
      </c>
      <c r="AI28" s="195">
        <f t="shared" si="31"/>
        <v>71656067.450356156</v>
      </c>
      <c r="AJ28" s="194">
        <f>($J$18*($B$11+$B$12))*(2^(((AJ17 - 7) - $J$17)/AJ43))</f>
        <v>157120936.80143762</v>
      </c>
      <c r="AK28" s="231">
        <f>AK18*(B11+B12)</f>
        <v>15870578.4</v>
      </c>
      <c r="AL28" s="45"/>
      <c r="AM28" s="45"/>
      <c r="AN28" s="66"/>
    </row>
    <row r="29" spans="1:40" x14ac:dyDescent="0.25">
      <c r="A29" s="37" t="s">
        <v>159</v>
      </c>
      <c r="B29" s="38"/>
      <c r="C29" s="39"/>
      <c r="D29" s="39"/>
      <c r="E29" s="39"/>
      <c r="F29" s="39"/>
      <c r="G29" s="39"/>
      <c r="H29" s="39"/>
      <c r="I29" s="62"/>
      <c r="J29" s="192">
        <f t="shared" ref="J29:R29" si="32">J28</f>
        <v>2.8870253994390738</v>
      </c>
      <c r="K29" s="193">
        <f t="shared" si="32"/>
        <v>4.6931877328275249</v>
      </c>
      <c r="L29" s="193">
        <f t="shared" si="32"/>
        <v>7.9471976804692028</v>
      </c>
      <c r="M29" s="193">
        <f t="shared" si="32"/>
        <v>18.968645416344785</v>
      </c>
      <c r="N29" s="193">
        <f t="shared" si="32"/>
        <v>29.467543857131108</v>
      </c>
      <c r="O29" s="193">
        <f t="shared" si="32"/>
        <v>56.748395631433958</v>
      </c>
      <c r="P29" s="193">
        <f t="shared" si="32"/>
        <v>123.46509239906847</v>
      </c>
      <c r="Q29" s="193">
        <f t="shared" si="32"/>
        <v>227.38643858014458</v>
      </c>
      <c r="R29" s="193">
        <f t="shared" si="32"/>
        <v>539.69701610130301</v>
      </c>
      <c r="S29" s="184">
        <f t="shared" ref="S29:AJ29" si="33">MAX(S28-($J$18*$B$11)*(2^(((S17 - 42) - $J$17)/HLOOKUP((S17-42)-$B$14,$J$41:$AK$43,3,TRUE)))-S31,0)</f>
        <v>1588.6805460666544</v>
      </c>
      <c r="T29" s="184">
        <f t="shared" si="33"/>
        <v>4897.6535258136473</v>
      </c>
      <c r="U29" s="184">
        <f t="shared" si="33"/>
        <v>8266.2297075609786</v>
      </c>
      <c r="V29" s="184">
        <f t="shared" si="33"/>
        <v>16253.294688980874</v>
      </c>
      <c r="W29" s="184">
        <f t="shared" si="33"/>
        <v>30113.387472642062</v>
      </c>
      <c r="X29" s="184">
        <f t="shared" si="33"/>
        <v>59765.705434412695</v>
      </c>
      <c r="Y29" s="184">
        <f t="shared" si="33"/>
        <v>117507.48739795474</v>
      </c>
      <c r="Z29" s="184">
        <f t="shared" si="33"/>
        <v>232135.43449410607</v>
      </c>
      <c r="AA29" s="184">
        <f t="shared" si="33"/>
        <v>459473.86783722229</v>
      </c>
      <c r="AB29" s="184">
        <f t="shared" si="33"/>
        <v>911090.04505530442</v>
      </c>
      <c r="AC29" s="184">
        <f t="shared" si="33"/>
        <v>1809040.6820518086</v>
      </c>
      <c r="AD29" s="184">
        <f t="shared" si="33"/>
        <v>3595751.7548641833</v>
      </c>
      <c r="AE29" s="184">
        <f t="shared" si="33"/>
        <v>7153052.7473400291</v>
      </c>
      <c r="AF29" s="228">
        <f t="shared" si="33"/>
        <v>14239161.898284512</v>
      </c>
      <c r="AG29" s="189">
        <f t="shared" si="33"/>
        <v>28360674.785935078</v>
      </c>
      <c r="AH29" s="189">
        <f t="shared" si="33"/>
        <v>56512903.123457223</v>
      </c>
      <c r="AI29" s="190">
        <f t="shared" si="33"/>
        <v>56512903.123457223</v>
      </c>
      <c r="AJ29" s="189">
        <f t="shared" si="33"/>
        <v>126995983.06288686</v>
      </c>
      <c r="AK29" s="233"/>
      <c r="AL29" s="45"/>
      <c r="AM29" s="45"/>
      <c r="AN29" s="66"/>
    </row>
    <row r="30" spans="1:40" x14ac:dyDescent="0.25">
      <c r="A30" s="61" t="s">
        <v>111</v>
      </c>
      <c r="B30" s="9"/>
      <c r="C30" s="9"/>
      <c r="D30" s="9"/>
      <c r="E30" s="9"/>
      <c r="F30" s="9"/>
      <c r="G30" s="9"/>
      <c r="H30" s="9"/>
      <c r="I30" s="5"/>
      <c r="J30" s="213">
        <f t="shared" ref="J30:L30" si="34">(1*$B$12)*(2^(((J17 - 14) -$B$14)/$J$43))</f>
        <v>0.38480681703630393</v>
      </c>
      <c r="K30" s="208">
        <f t="shared" si="34"/>
        <v>0.62554719247502066</v>
      </c>
      <c r="L30" s="208">
        <f t="shared" si="34"/>
        <v>1.0168980191857229</v>
      </c>
      <c r="M30" s="198">
        <f t="shared" ref="M30:AJ30" si="35">($J$18*$B$12)*(2^(((M17 - 14) - $J$17)/HLOOKUP((M17-14)-$B$14,$J$41:$AK$43,3,TRUE)))</f>
        <v>1.7219617111880618</v>
      </c>
      <c r="N30" s="198">
        <f t="shared" si="35"/>
        <v>3.2291666666666661</v>
      </c>
      <c r="O30" s="198">
        <f t="shared" si="35"/>
        <v>5.7717406572031598</v>
      </c>
      <c r="P30" s="198">
        <f t="shared" si="35"/>
        <v>8.8621419402739328</v>
      </c>
      <c r="Q30" s="198">
        <f t="shared" si="35"/>
        <v>17.196571273860446</v>
      </c>
      <c r="R30" s="198">
        <f t="shared" si="35"/>
        <v>44.010332071279819</v>
      </c>
      <c r="S30" s="198">
        <f t="shared" si="35"/>
        <v>165.92143795722515</v>
      </c>
      <c r="T30" s="198">
        <f t="shared" si="35"/>
        <v>853.80466147771358</v>
      </c>
      <c r="U30" s="198">
        <f t="shared" si="35"/>
        <v>2680.4877529501259</v>
      </c>
      <c r="V30" s="198">
        <f t="shared" si="35"/>
        <v>4770.1370327878922</v>
      </c>
      <c r="W30" s="198">
        <f t="shared" si="35"/>
        <v>8909.9657432892236</v>
      </c>
      <c r="X30" s="198">
        <f t="shared" si="35"/>
        <v>15887.692119090347</v>
      </c>
      <c r="Y30" s="198">
        <f t="shared" si="35"/>
        <v>30360.796778024534</v>
      </c>
      <c r="Z30" s="198">
        <f t="shared" si="35"/>
        <v>58608.491975280944</v>
      </c>
      <c r="AA30" s="198">
        <f t="shared" si="35"/>
        <v>113942.16094421357</v>
      </c>
      <c r="AB30" s="198">
        <f t="shared" si="35"/>
        <v>222661.85741478167</v>
      </c>
      <c r="AC30" s="198">
        <f t="shared" si="35"/>
        <v>436802.69248970173</v>
      </c>
      <c r="AD30" s="198">
        <f t="shared" si="35"/>
        <v>859440.14221433003</v>
      </c>
      <c r="AE30" s="198">
        <f t="shared" si="35"/>
        <v>1694962.9158515644</v>
      </c>
      <c r="AF30" s="225">
        <f t="shared" si="35"/>
        <v>3349007.7875505444</v>
      </c>
      <c r="AG30" s="194">
        <f t="shared" si="35"/>
        <v>6627219.7123977039</v>
      </c>
      <c r="AH30" s="194">
        <f t="shared" si="35"/>
        <v>13130748.899750967</v>
      </c>
      <c r="AI30" s="195">
        <f t="shared" si="35"/>
        <v>13130748.899750967</v>
      </c>
      <c r="AJ30" s="194">
        <f t="shared" si="35"/>
        <v>26043542.256193928</v>
      </c>
      <c r="AK30" s="231">
        <f>AK18*B12</f>
        <v>4176468</v>
      </c>
      <c r="AL30" s="45"/>
      <c r="AM30" s="45"/>
      <c r="AN30" s="66"/>
    </row>
    <row r="31" spans="1:40" x14ac:dyDescent="0.25">
      <c r="A31" s="37" t="s">
        <v>160</v>
      </c>
      <c r="B31" s="38"/>
      <c r="C31" s="39"/>
      <c r="D31" s="39"/>
      <c r="E31" s="39"/>
      <c r="F31" s="39"/>
      <c r="G31" s="39"/>
      <c r="H31" s="39"/>
      <c r="I31" s="62"/>
      <c r="J31" s="192">
        <f t="shared" ref="J31:Q31" si="36">J30</f>
        <v>0.38480681703630393</v>
      </c>
      <c r="K31" s="193">
        <f t="shared" si="36"/>
        <v>0.62554719247502066</v>
      </c>
      <c r="L31" s="193">
        <f t="shared" si="36"/>
        <v>1.0168980191857229</v>
      </c>
      <c r="M31" s="193">
        <f t="shared" si="36"/>
        <v>1.7219617111880618</v>
      </c>
      <c r="N31" s="193">
        <f t="shared" si="36"/>
        <v>3.2291666666666661</v>
      </c>
      <c r="O31" s="193">
        <f t="shared" si="36"/>
        <v>5.7717406572031598</v>
      </c>
      <c r="P31" s="193">
        <f t="shared" si="36"/>
        <v>8.8621419402739328</v>
      </c>
      <c r="Q31" s="193">
        <f t="shared" si="36"/>
        <v>17.196571273860446</v>
      </c>
      <c r="R31" s="191">
        <f t="shared" ref="R31:AJ31" si="37">MAX(R30-($J$18*$B$12)*(2^(((R17 - 35) - $J$17)/HLOOKUP((R17-35)-$B$14,$J$41:$AK$43,3,TRUE))),0)</f>
        <v>42.288370360091754</v>
      </c>
      <c r="S31" s="191">
        <f t="shared" si="37"/>
        <v>160.14969730002198</v>
      </c>
      <c r="T31" s="191">
        <f t="shared" si="37"/>
        <v>821.313847688485</v>
      </c>
      <c r="U31" s="191">
        <f t="shared" si="37"/>
        <v>2457.1023362834594</v>
      </c>
      <c r="V31" s="191">
        <f t="shared" si="37"/>
        <v>3774.4387613726794</v>
      </c>
      <c r="W31" s="191">
        <f t="shared" si="37"/>
        <v>5816.7250987403604</v>
      </c>
      <c r="X31" s="191">
        <f t="shared" si="37"/>
        <v>10469.633173694136</v>
      </c>
      <c r="Y31" s="191">
        <f t="shared" si="37"/>
        <v>20346.19815275693</v>
      </c>
      <c r="Z31" s="191">
        <f t="shared" si="37"/>
        <v>40899.052131611999</v>
      </c>
      <c r="AA31" s="191">
        <f t="shared" si="37"/>
        <v>80292.168706868557</v>
      </c>
      <c r="AB31" s="191">
        <f t="shared" si="37"/>
        <v>157990.86526131653</v>
      </c>
      <c r="AC31" s="191">
        <f t="shared" si="37"/>
        <v>311518.82047854696</v>
      </c>
      <c r="AD31" s="191">
        <f t="shared" si="37"/>
        <v>615323.17516519222</v>
      </c>
      <c r="AE31" s="191">
        <f t="shared" si="37"/>
        <v>1217226.1885069676</v>
      </c>
      <c r="AF31" s="228">
        <f t="shared" si="37"/>
        <v>2410945.8824102734</v>
      </c>
      <c r="AG31" s="189">
        <f t="shared" si="37"/>
        <v>4780438.7585035078</v>
      </c>
      <c r="AH31" s="189">
        <f t="shared" si="37"/>
        <v>9487304.9833048675</v>
      </c>
      <c r="AI31" s="190">
        <f t="shared" si="37"/>
        <v>9487304.9833048675</v>
      </c>
      <c r="AJ31" s="189">
        <f t="shared" si="37"/>
        <v>18843244.565113306</v>
      </c>
      <c r="AK31" s="231"/>
      <c r="AL31" s="45"/>
      <c r="AM31" s="45"/>
      <c r="AN31" s="66"/>
    </row>
    <row r="32" spans="1:40" x14ac:dyDescent="0.25">
      <c r="A32" s="41" t="s">
        <v>55</v>
      </c>
      <c r="B32" s="15"/>
      <c r="C32" s="16"/>
      <c r="D32" s="16"/>
      <c r="E32" s="16"/>
      <c r="F32" s="16"/>
      <c r="G32" s="16"/>
      <c r="H32" s="16"/>
      <c r="I32" s="16"/>
      <c r="J32" s="214">
        <f t="shared" ref="J32:AJ32" si="38">J18*$B$13</f>
        <v>1.0625</v>
      </c>
      <c r="K32" s="215">
        <f t="shared" si="38"/>
        <v>2.125</v>
      </c>
      <c r="L32" s="215">
        <f t="shared" si="38"/>
        <v>4.25</v>
      </c>
      <c r="M32" s="215">
        <f t="shared" si="38"/>
        <v>8.5</v>
      </c>
      <c r="N32" s="215">
        <f t="shared" si="38"/>
        <v>17</v>
      </c>
      <c r="O32" s="215">
        <f t="shared" si="38"/>
        <v>34</v>
      </c>
      <c r="P32" s="215">
        <f t="shared" si="38"/>
        <v>68</v>
      </c>
      <c r="Q32" s="215">
        <f t="shared" si="38"/>
        <v>136</v>
      </c>
      <c r="R32" s="215">
        <f t="shared" si="38"/>
        <v>272</v>
      </c>
      <c r="S32" s="215">
        <f t="shared" si="38"/>
        <v>544</v>
      </c>
      <c r="T32" s="215">
        <f t="shared" si="38"/>
        <v>1088</v>
      </c>
      <c r="U32" s="215">
        <f t="shared" si="38"/>
        <v>2176</v>
      </c>
      <c r="V32" s="215">
        <f t="shared" si="38"/>
        <v>4352</v>
      </c>
      <c r="W32" s="215">
        <f t="shared" si="38"/>
        <v>8704</v>
      </c>
      <c r="X32" s="215">
        <f t="shared" si="38"/>
        <v>17408</v>
      </c>
      <c r="Y32" s="215">
        <f t="shared" si="38"/>
        <v>34816</v>
      </c>
      <c r="Z32" s="215">
        <f t="shared" si="38"/>
        <v>69632</v>
      </c>
      <c r="AA32" s="215">
        <f t="shared" si="38"/>
        <v>139264</v>
      </c>
      <c r="AB32" s="215">
        <f t="shared" si="38"/>
        <v>278528</v>
      </c>
      <c r="AC32" s="215">
        <f t="shared" si="38"/>
        <v>557056</v>
      </c>
      <c r="AD32" s="215">
        <f t="shared" ref="AD32:AI32" si="39">AD18*$B$13</f>
        <v>1114112</v>
      </c>
      <c r="AE32" s="215">
        <f t="shared" si="39"/>
        <v>2228224</v>
      </c>
      <c r="AF32" s="227">
        <f t="shared" si="39"/>
        <v>4456448</v>
      </c>
      <c r="AG32" s="185">
        <f t="shared" si="39"/>
        <v>8912896</v>
      </c>
      <c r="AH32" s="185">
        <f t="shared" ref="AH32" si="40">AH18*$B$13</f>
        <v>17825792</v>
      </c>
      <c r="AI32" s="186">
        <f t="shared" si="39"/>
        <v>35651584</v>
      </c>
      <c r="AJ32" s="194">
        <f t="shared" si="38"/>
        <v>47333304</v>
      </c>
      <c r="AK32" s="231">
        <f>AK18*B13</f>
        <v>2839998.24</v>
      </c>
      <c r="AL32" s="45"/>
      <c r="AM32" s="45"/>
      <c r="AN32" s="66"/>
    </row>
    <row r="33" spans="1:40" x14ac:dyDescent="0.25">
      <c r="A33" s="37" t="s">
        <v>54</v>
      </c>
      <c r="B33" s="38"/>
      <c r="C33" s="39"/>
      <c r="D33" s="39"/>
      <c r="E33" s="39"/>
      <c r="F33" s="39"/>
      <c r="G33" s="39"/>
      <c r="H33" s="39"/>
      <c r="I33" s="39"/>
      <c r="J33" s="187"/>
      <c r="K33" s="188"/>
      <c r="L33" s="188"/>
      <c r="M33" s="188"/>
      <c r="N33" s="188"/>
      <c r="O33" s="188"/>
      <c r="P33" s="188"/>
      <c r="Q33" s="188"/>
      <c r="R33" s="196">
        <f t="shared" ref="R33:AJ33" si="41">($J$18*$B$13)*(2^(((R17-35)-$J$17)/HLOOKUP((R17-35)-$B$14,$J$41:$AK$43,3,TRUE)))</f>
        <v>1.1709339636078822</v>
      </c>
      <c r="S33" s="196">
        <f t="shared" si="41"/>
        <v>3.9247836468981485</v>
      </c>
      <c r="T33" s="196">
        <f t="shared" si="41"/>
        <v>22.093753376675412</v>
      </c>
      <c r="U33" s="196">
        <f t="shared" si="41"/>
        <v>151.90208333333331</v>
      </c>
      <c r="V33" s="196">
        <f t="shared" si="41"/>
        <v>677.07482456234459</v>
      </c>
      <c r="W33" s="196">
        <f t="shared" si="41"/>
        <v>2103.4036382932268</v>
      </c>
      <c r="X33" s="196">
        <f t="shared" si="41"/>
        <v>3684.2800828694235</v>
      </c>
      <c r="Y33" s="196">
        <f t="shared" si="41"/>
        <v>6809.9270651819697</v>
      </c>
      <c r="Z33" s="196">
        <f t="shared" si="41"/>
        <v>12042.41909369488</v>
      </c>
      <c r="AA33" s="196">
        <f t="shared" si="41"/>
        <v>22881.994721394607</v>
      </c>
      <c r="AB33" s="196">
        <f t="shared" si="41"/>
        <v>43976.2746643563</v>
      </c>
      <c r="AC33" s="196">
        <f t="shared" si="41"/>
        <v>85193.032967585255</v>
      </c>
      <c r="AD33" s="196">
        <f t="shared" si="41"/>
        <v>165999.53759341367</v>
      </c>
      <c r="AE33" s="196">
        <f t="shared" si="41"/>
        <v>324860.97459432582</v>
      </c>
      <c r="AF33" s="228">
        <f t="shared" si="41"/>
        <v>637882.09549538419</v>
      </c>
      <c r="AG33" s="189">
        <f t="shared" si="41"/>
        <v>1255811.0486480531</v>
      </c>
      <c r="AH33" s="189">
        <f t="shared" si="41"/>
        <v>2477541.8631833475</v>
      </c>
      <c r="AI33" s="190">
        <f t="shared" si="41"/>
        <v>2477541.8631833475</v>
      </c>
      <c r="AJ33" s="189">
        <f t="shared" si="41"/>
        <v>4896202.429934822</v>
      </c>
      <c r="AK33" s="234">
        <f>($J$18*$B$13)*(2^(((AK17 - 35) - $J$17)/AK43))</f>
        <v>5256371.4612846076</v>
      </c>
      <c r="AL33" s="45"/>
      <c r="AM33" s="45"/>
      <c r="AN33" s="66"/>
    </row>
    <row r="34" spans="1:40" s="66" customFormat="1" hidden="1" x14ac:dyDescent="0.25">
      <c r="A34" s="48" t="s">
        <v>105</v>
      </c>
      <c r="B34" s="25"/>
      <c r="C34" s="47"/>
      <c r="D34" s="47"/>
      <c r="E34" s="47"/>
      <c r="F34" s="47"/>
      <c r="G34" s="47"/>
      <c r="H34" s="47"/>
      <c r="I34" s="47"/>
      <c r="J34" s="140">
        <f t="shared" ref="J34:AJ34" si="42">J17-7</f>
        <v>43888</v>
      </c>
      <c r="K34" s="140">
        <f t="shared" si="42"/>
        <v>43893</v>
      </c>
      <c r="L34" s="140">
        <f t="shared" si="42"/>
        <v>43898</v>
      </c>
      <c r="M34" s="140">
        <f t="shared" si="42"/>
        <v>43903</v>
      </c>
      <c r="N34" s="140">
        <f t="shared" si="42"/>
        <v>43907</v>
      </c>
      <c r="O34" s="140">
        <f t="shared" si="42"/>
        <v>43911</v>
      </c>
      <c r="P34" s="140">
        <f t="shared" si="42"/>
        <v>43915</v>
      </c>
      <c r="Q34" s="140">
        <f t="shared" si="42"/>
        <v>43919</v>
      </c>
      <c r="R34" s="140">
        <f t="shared" si="42"/>
        <v>43924</v>
      </c>
      <c r="S34" s="140">
        <f t="shared" si="42"/>
        <v>43932</v>
      </c>
      <c r="T34" s="140">
        <f t="shared" si="42"/>
        <v>43943</v>
      </c>
      <c r="U34" s="140">
        <f t="shared" si="42"/>
        <v>43954</v>
      </c>
      <c r="V34" s="140">
        <f t="shared" si="42"/>
        <v>43965</v>
      </c>
      <c r="W34" s="140">
        <f t="shared" si="42"/>
        <v>43976</v>
      </c>
      <c r="X34" s="140">
        <f t="shared" si="42"/>
        <v>43987</v>
      </c>
      <c r="Y34" s="140">
        <f t="shared" si="42"/>
        <v>43998</v>
      </c>
      <c r="Z34" s="140">
        <f t="shared" si="42"/>
        <v>44009</v>
      </c>
      <c r="AA34" s="140">
        <f t="shared" si="42"/>
        <v>44020</v>
      </c>
      <c r="AB34" s="140">
        <f t="shared" si="42"/>
        <v>44031</v>
      </c>
      <c r="AC34" s="140">
        <f t="shared" si="42"/>
        <v>44042</v>
      </c>
      <c r="AD34" s="140"/>
      <c r="AE34" s="140"/>
      <c r="AF34" s="140"/>
      <c r="AG34" s="140"/>
      <c r="AH34" s="140"/>
      <c r="AI34" s="140"/>
      <c r="AJ34" s="140">
        <f t="shared" si="42"/>
        <v>44108</v>
      </c>
      <c r="AK34" s="140"/>
      <c r="AL34" s="45"/>
      <c r="AM34" s="45"/>
    </row>
    <row r="35" spans="1:40" s="66" customFormat="1" hidden="1" x14ac:dyDescent="0.25">
      <c r="A35" s="48" t="s">
        <v>103</v>
      </c>
      <c r="B35" s="25"/>
      <c r="C35" s="47"/>
      <c r="D35" s="47"/>
      <c r="E35" s="47"/>
      <c r="F35" s="47"/>
      <c r="G35" s="47"/>
      <c r="H35" s="47"/>
      <c r="I35" s="47"/>
      <c r="J35" s="140">
        <f t="shared" ref="J35:AJ35" si="43">J17-14</f>
        <v>43881</v>
      </c>
      <c r="K35" s="140">
        <f t="shared" si="43"/>
        <v>43886</v>
      </c>
      <c r="L35" s="140">
        <f t="shared" si="43"/>
        <v>43891</v>
      </c>
      <c r="M35" s="140">
        <f t="shared" si="43"/>
        <v>43896</v>
      </c>
      <c r="N35" s="140">
        <f t="shared" si="43"/>
        <v>43900</v>
      </c>
      <c r="O35" s="140">
        <f t="shared" si="43"/>
        <v>43904</v>
      </c>
      <c r="P35" s="140">
        <f t="shared" si="43"/>
        <v>43908</v>
      </c>
      <c r="Q35" s="140">
        <f t="shared" si="43"/>
        <v>43912</v>
      </c>
      <c r="R35" s="140">
        <f t="shared" si="43"/>
        <v>43917</v>
      </c>
      <c r="S35" s="140">
        <f t="shared" si="43"/>
        <v>43925</v>
      </c>
      <c r="T35" s="140">
        <f t="shared" si="43"/>
        <v>43936</v>
      </c>
      <c r="U35" s="140">
        <f t="shared" si="43"/>
        <v>43947</v>
      </c>
      <c r="V35" s="140">
        <f t="shared" si="43"/>
        <v>43958</v>
      </c>
      <c r="W35" s="140">
        <f t="shared" si="43"/>
        <v>43969</v>
      </c>
      <c r="X35" s="140">
        <f t="shared" si="43"/>
        <v>43980</v>
      </c>
      <c r="Y35" s="140">
        <f t="shared" si="43"/>
        <v>43991</v>
      </c>
      <c r="Z35" s="140">
        <f t="shared" si="43"/>
        <v>44002</v>
      </c>
      <c r="AA35" s="140">
        <f t="shared" si="43"/>
        <v>44013</v>
      </c>
      <c r="AB35" s="140">
        <f t="shared" si="43"/>
        <v>44024</v>
      </c>
      <c r="AC35" s="140">
        <f t="shared" si="43"/>
        <v>44035</v>
      </c>
      <c r="AD35" s="140"/>
      <c r="AE35" s="140"/>
      <c r="AF35" s="140"/>
      <c r="AG35" s="140"/>
      <c r="AH35" s="140"/>
      <c r="AI35" s="140"/>
      <c r="AJ35" s="140">
        <f t="shared" si="43"/>
        <v>44101</v>
      </c>
      <c r="AK35" s="140"/>
      <c r="AL35" s="45"/>
      <c r="AM35" s="45"/>
    </row>
    <row r="36" spans="1:40" s="66" customFormat="1" hidden="1" x14ac:dyDescent="0.25">
      <c r="A36" s="48" t="s">
        <v>106</v>
      </c>
      <c r="B36" s="25"/>
      <c r="C36" s="47"/>
      <c r="D36" s="47"/>
      <c r="E36" s="47"/>
      <c r="F36" s="47"/>
      <c r="G36" s="47"/>
      <c r="H36" s="47"/>
      <c r="I36" s="47"/>
      <c r="J36" s="140">
        <f t="shared" ref="J36:AJ36" si="44">J17-(7*5)</f>
        <v>43860</v>
      </c>
      <c r="K36" s="140">
        <f t="shared" si="44"/>
        <v>43865</v>
      </c>
      <c r="L36" s="140">
        <f t="shared" si="44"/>
        <v>43870</v>
      </c>
      <c r="M36" s="140">
        <f t="shared" si="44"/>
        <v>43875</v>
      </c>
      <c r="N36" s="140">
        <f t="shared" si="44"/>
        <v>43879</v>
      </c>
      <c r="O36" s="140">
        <f t="shared" si="44"/>
        <v>43883</v>
      </c>
      <c r="P36" s="140">
        <f t="shared" si="44"/>
        <v>43887</v>
      </c>
      <c r="Q36" s="140">
        <f t="shared" si="44"/>
        <v>43891</v>
      </c>
      <c r="R36" s="140">
        <f t="shared" si="44"/>
        <v>43896</v>
      </c>
      <c r="S36" s="140">
        <f t="shared" si="44"/>
        <v>43904</v>
      </c>
      <c r="T36" s="140">
        <f t="shared" si="44"/>
        <v>43915</v>
      </c>
      <c r="U36" s="140">
        <f t="shared" si="44"/>
        <v>43926</v>
      </c>
      <c r="V36" s="140">
        <f t="shared" si="44"/>
        <v>43937</v>
      </c>
      <c r="W36" s="140">
        <f t="shared" si="44"/>
        <v>43948</v>
      </c>
      <c r="X36" s="140">
        <f t="shared" si="44"/>
        <v>43959</v>
      </c>
      <c r="Y36" s="140">
        <f t="shared" si="44"/>
        <v>43970</v>
      </c>
      <c r="Z36" s="140">
        <f t="shared" si="44"/>
        <v>43981</v>
      </c>
      <c r="AA36" s="140">
        <f t="shared" si="44"/>
        <v>43992</v>
      </c>
      <c r="AB36" s="140">
        <f t="shared" si="44"/>
        <v>44003</v>
      </c>
      <c r="AC36" s="140">
        <f t="shared" si="44"/>
        <v>44014</v>
      </c>
      <c r="AD36" s="140"/>
      <c r="AE36" s="140"/>
      <c r="AF36" s="140"/>
      <c r="AG36" s="140"/>
      <c r="AH36" s="140"/>
      <c r="AI36" s="140"/>
      <c r="AJ36" s="140">
        <f t="shared" si="44"/>
        <v>44080</v>
      </c>
      <c r="AK36" s="140"/>
      <c r="AL36" s="45"/>
      <c r="AM36" s="45"/>
    </row>
    <row r="37" spans="1:40" s="66" customFormat="1" hidden="1" x14ac:dyDescent="0.25">
      <c r="A37" s="48" t="s">
        <v>104</v>
      </c>
      <c r="B37" s="25"/>
      <c r="C37" s="47"/>
      <c r="D37" s="47"/>
      <c r="E37" s="47"/>
      <c r="F37" s="47"/>
      <c r="G37" s="47"/>
      <c r="H37" s="47"/>
      <c r="I37" s="47"/>
      <c r="J37" s="140">
        <f t="shared" ref="J37:AJ37" si="45">J17-(6*7)</f>
        <v>43853</v>
      </c>
      <c r="K37" s="140">
        <f t="shared" si="45"/>
        <v>43858</v>
      </c>
      <c r="L37" s="140">
        <f t="shared" si="45"/>
        <v>43863</v>
      </c>
      <c r="M37" s="140">
        <f t="shared" si="45"/>
        <v>43868</v>
      </c>
      <c r="N37" s="140">
        <f t="shared" si="45"/>
        <v>43872</v>
      </c>
      <c r="O37" s="140">
        <f t="shared" si="45"/>
        <v>43876</v>
      </c>
      <c r="P37" s="140">
        <f t="shared" si="45"/>
        <v>43880</v>
      </c>
      <c r="Q37" s="140">
        <f t="shared" si="45"/>
        <v>43884</v>
      </c>
      <c r="R37" s="140">
        <f t="shared" si="45"/>
        <v>43889</v>
      </c>
      <c r="S37" s="140">
        <f t="shared" si="45"/>
        <v>43897</v>
      </c>
      <c r="T37" s="140">
        <f t="shared" si="45"/>
        <v>43908</v>
      </c>
      <c r="U37" s="140">
        <f t="shared" si="45"/>
        <v>43919</v>
      </c>
      <c r="V37" s="140">
        <f t="shared" si="45"/>
        <v>43930</v>
      </c>
      <c r="W37" s="140">
        <f t="shared" si="45"/>
        <v>43941</v>
      </c>
      <c r="X37" s="140">
        <f t="shared" si="45"/>
        <v>43952</v>
      </c>
      <c r="Y37" s="140">
        <f t="shared" si="45"/>
        <v>43963</v>
      </c>
      <c r="Z37" s="140">
        <f t="shared" si="45"/>
        <v>43974</v>
      </c>
      <c r="AA37" s="140">
        <f t="shared" si="45"/>
        <v>43985</v>
      </c>
      <c r="AB37" s="140">
        <f t="shared" si="45"/>
        <v>43996</v>
      </c>
      <c r="AC37" s="140">
        <f t="shared" si="45"/>
        <v>44007</v>
      </c>
      <c r="AD37" s="140"/>
      <c r="AE37" s="140"/>
      <c r="AF37" s="140"/>
      <c r="AG37" s="140"/>
      <c r="AH37" s="140"/>
      <c r="AI37" s="140"/>
      <c r="AJ37" s="140">
        <f t="shared" si="45"/>
        <v>44073</v>
      </c>
      <c r="AK37" s="140"/>
      <c r="AL37" s="45"/>
      <c r="AM37" s="45"/>
    </row>
    <row r="39" spans="1:40" x14ac:dyDescent="0.25">
      <c r="A39" s="52" t="s">
        <v>47</v>
      </c>
      <c r="B39" s="15"/>
      <c r="C39" s="16"/>
      <c r="D39" s="16"/>
      <c r="E39" s="16"/>
      <c r="F39" s="16"/>
      <c r="G39" s="16"/>
      <c r="H39" s="16"/>
      <c r="I39" s="16"/>
    </row>
    <row r="40" spans="1:40" s="66" customFormat="1" x14ac:dyDescent="0.25">
      <c r="A40" s="137" t="s">
        <v>101</v>
      </c>
      <c r="B40" s="25"/>
      <c r="C40" s="47"/>
      <c r="D40" s="47"/>
      <c r="E40" s="47"/>
      <c r="F40" s="47"/>
      <c r="G40" s="47"/>
      <c r="H40" s="47"/>
      <c r="I40" s="47"/>
      <c r="J40" s="255">
        <f t="shared" ref="J40:AK40" si="46">(J17-$B$14)/7</f>
        <v>5</v>
      </c>
      <c r="K40" s="255">
        <f t="shared" si="46"/>
        <v>5.7142857142857144</v>
      </c>
      <c r="L40" s="256">
        <f t="shared" si="46"/>
        <v>6.4285714285714288</v>
      </c>
      <c r="M40" s="255">
        <f t="shared" si="46"/>
        <v>7.1428571428571432</v>
      </c>
      <c r="N40" s="255">
        <f t="shared" si="46"/>
        <v>7.7142857142857144</v>
      </c>
      <c r="O40" s="256">
        <f t="shared" si="46"/>
        <v>8.2857142857142865</v>
      </c>
      <c r="P40" s="257">
        <f t="shared" si="46"/>
        <v>8.8571428571428577</v>
      </c>
      <c r="Q40" s="257">
        <f t="shared" si="46"/>
        <v>9.4285714285714288</v>
      </c>
      <c r="R40" s="255">
        <f t="shared" si="46"/>
        <v>10.142857142857142</v>
      </c>
      <c r="S40" s="258">
        <f t="shared" si="46"/>
        <v>11.285714285714286</v>
      </c>
      <c r="T40" s="281">
        <f t="shared" si="46"/>
        <v>12.857142857142858</v>
      </c>
      <c r="U40" s="257">
        <f t="shared" si="46"/>
        <v>14.428571428571429</v>
      </c>
      <c r="V40" s="255">
        <f t="shared" si="46"/>
        <v>16</v>
      </c>
      <c r="W40" s="281">
        <f t="shared" si="46"/>
        <v>17.571428571428573</v>
      </c>
      <c r="X40" s="256">
        <f t="shared" si="46"/>
        <v>19.142857142857142</v>
      </c>
      <c r="Y40" s="256">
        <f t="shared" si="46"/>
        <v>20.714285714285715</v>
      </c>
      <c r="Z40" s="255">
        <f t="shared" si="46"/>
        <v>22.285714285714285</v>
      </c>
      <c r="AA40" s="255">
        <f t="shared" si="46"/>
        <v>23.857142857142858</v>
      </c>
      <c r="AB40" s="256">
        <f t="shared" si="46"/>
        <v>25.428571428571427</v>
      </c>
      <c r="AC40" s="257">
        <f t="shared" si="46"/>
        <v>27</v>
      </c>
      <c r="AD40" s="281">
        <f t="shared" ref="AD40:AI40" si="47">(AD17-$B$14)/7</f>
        <v>28.571428571428573</v>
      </c>
      <c r="AE40" s="256">
        <f t="shared" si="47"/>
        <v>30.142857142857142</v>
      </c>
      <c r="AF40" s="138">
        <f t="shared" si="47"/>
        <v>31.714285714285715</v>
      </c>
      <c r="AG40" s="135">
        <f t="shared" si="47"/>
        <v>33.285714285714285</v>
      </c>
      <c r="AH40" s="135">
        <f t="shared" si="47"/>
        <v>34.857142857142854</v>
      </c>
      <c r="AI40" s="138">
        <f t="shared" si="47"/>
        <v>34.857142857142854</v>
      </c>
      <c r="AJ40" s="136">
        <f>(AJ17-$B$14)/7</f>
        <v>36.428571428571431</v>
      </c>
      <c r="AK40" s="136">
        <f t="shared" si="46"/>
        <v>44.428571428571431</v>
      </c>
    </row>
    <row r="41" spans="1:40" s="66" customFormat="1" x14ac:dyDescent="0.25">
      <c r="A41" s="137" t="s">
        <v>100</v>
      </c>
      <c r="B41" s="25"/>
      <c r="C41" s="47"/>
      <c r="D41" s="47"/>
      <c r="E41" s="47"/>
      <c r="F41" s="47"/>
      <c r="G41" s="47"/>
      <c r="H41" s="47"/>
      <c r="I41" s="47"/>
      <c r="J41" s="263">
        <f>J17-$B$14</f>
        <v>35</v>
      </c>
      <c r="K41" s="221">
        <f t="shared" ref="K41:O41" si="48">K17-$B$14</f>
        <v>40</v>
      </c>
      <c r="L41" s="221">
        <f t="shared" si="48"/>
        <v>45</v>
      </c>
      <c r="M41" s="221">
        <f t="shared" si="48"/>
        <v>50</v>
      </c>
      <c r="N41" s="221">
        <f t="shared" si="48"/>
        <v>54</v>
      </c>
      <c r="O41" s="221">
        <f t="shared" si="48"/>
        <v>58</v>
      </c>
      <c r="P41" s="221">
        <f>P17-$B$14</f>
        <v>62</v>
      </c>
      <c r="Q41" s="221">
        <f t="shared" ref="Q41:AK41" si="49">Q17-$B$14</f>
        <v>66</v>
      </c>
      <c r="R41" s="221">
        <f t="shared" si="49"/>
        <v>71</v>
      </c>
      <c r="S41" s="221">
        <f t="shared" si="49"/>
        <v>79</v>
      </c>
      <c r="T41" s="221">
        <f t="shared" si="49"/>
        <v>90</v>
      </c>
      <c r="U41" s="221">
        <f t="shared" si="49"/>
        <v>101</v>
      </c>
      <c r="V41" s="221">
        <f t="shared" si="49"/>
        <v>112</v>
      </c>
      <c r="W41" s="221">
        <f t="shared" si="49"/>
        <v>123</v>
      </c>
      <c r="X41" s="221">
        <f t="shared" si="49"/>
        <v>134</v>
      </c>
      <c r="Y41" s="221">
        <f t="shared" si="49"/>
        <v>145</v>
      </c>
      <c r="Z41" s="221">
        <f t="shared" si="49"/>
        <v>156</v>
      </c>
      <c r="AA41" s="221">
        <f t="shared" si="49"/>
        <v>167</v>
      </c>
      <c r="AB41" s="221">
        <f t="shared" si="49"/>
        <v>178</v>
      </c>
      <c r="AC41" s="221">
        <f t="shared" si="49"/>
        <v>189</v>
      </c>
      <c r="AD41" s="221">
        <f t="shared" ref="AD41:AI41" si="50">AD17-$B$14</f>
        <v>200</v>
      </c>
      <c r="AE41" s="222">
        <f t="shared" si="50"/>
        <v>211</v>
      </c>
      <c r="AF41" s="254">
        <f t="shared" si="50"/>
        <v>222</v>
      </c>
      <c r="AG41" s="177">
        <f t="shared" si="50"/>
        <v>233</v>
      </c>
      <c r="AH41" s="177">
        <f t="shared" si="50"/>
        <v>244</v>
      </c>
      <c r="AI41" s="252">
        <f t="shared" si="50"/>
        <v>244</v>
      </c>
      <c r="AJ41" s="252">
        <f t="shared" si="49"/>
        <v>255</v>
      </c>
      <c r="AK41" s="177">
        <f t="shared" si="49"/>
        <v>311</v>
      </c>
    </row>
    <row r="42" spans="1:40" x14ac:dyDescent="0.25">
      <c r="A42" s="209" t="s">
        <v>42</v>
      </c>
      <c r="B42" s="16"/>
      <c r="C42" s="16"/>
      <c r="D42" s="16"/>
      <c r="E42" s="16"/>
      <c r="F42" s="16"/>
      <c r="G42" s="16"/>
      <c r="H42" s="16"/>
      <c r="I42" s="16"/>
      <c r="J42" s="259">
        <v>30</v>
      </c>
      <c r="K42" s="260">
        <v>62</v>
      </c>
      <c r="L42" s="261">
        <v>114</v>
      </c>
      <c r="M42" s="261">
        <v>249</v>
      </c>
      <c r="N42" s="261">
        <v>536</v>
      </c>
      <c r="O42" s="261">
        <v>987</v>
      </c>
      <c r="P42" s="261">
        <v>1998</v>
      </c>
      <c r="Q42" s="261">
        <v>4289</v>
      </c>
      <c r="R42" s="261">
        <v>7600</v>
      </c>
      <c r="S42" s="261">
        <v>16365</v>
      </c>
      <c r="T42" s="261">
        <v>33062</v>
      </c>
      <c r="U42" s="261">
        <v>67161</v>
      </c>
      <c r="V42" s="262">
        <f t="shared" ref="V42:AE42" si="51">V18</f>
        <v>128000</v>
      </c>
      <c r="W42" s="262">
        <f t="shared" si="51"/>
        <v>256000</v>
      </c>
      <c r="X42" s="262">
        <f t="shared" si="51"/>
        <v>512000</v>
      </c>
      <c r="Y42" s="262">
        <f t="shared" si="51"/>
        <v>1024000</v>
      </c>
      <c r="Z42" s="262">
        <f t="shared" si="51"/>
        <v>2048000</v>
      </c>
      <c r="AA42" s="262">
        <f t="shared" si="51"/>
        <v>4096000</v>
      </c>
      <c r="AB42" s="262">
        <f t="shared" si="51"/>
        <v>8192000</v>
      </c>
      <c r="AC42" s="262">
        <f t="shared" si="51"/>
        <v>16384000</v>
      </c>
      <c r="AD42" s="262">
        <f t="shared" si="51"/>
        <v>32768000</v>
      </c>
      <c r="AE42" s="262">
        <f t="shared" si="51"/>
        <v>65536000</v>
      </c>
      <c r="AF42" s="173">
        <f t="shared" ref="AF42" si="52">AE42*2</f>
        <v>131072000</v>
      </c>
      <c r="AG42" s="173">
        <f t="shared" ref="AG42:AH42" si="53">AF42*2</f>
        <v>262144000</v>
      </c>
      <c r="AH42" s="173">
        <f t="shared" si="53"/>
        <v>524288000</v>
      </c>
      <c r="AI42" s="173">
        <f t="shared" ref="AI42" si="54">AG42*2</f>
        <v>524288000</v>
      </c>
      <c r="AJ42" s="173">
        <f>AJ18</f>
        <v>1392156000</v>
      </c>
      <c r="AK42" s="174">
        <f>AJ42</f>
        <v>1392156000</v>
      </c>
    </row>
    <row r="43" spans="1:40" x14ac:dyDescent="0.25">
      <c r="A43" s="41" t="s">
        <v>157</v>
      </c>
      <c r="B43" s="16"/>
      <c r="C43" s="16"/>
      <c r="D43" s="16"/>
      <c r="E43" s="16"/>
      <c r="F43" s="16"/>
      <c r="G43" s="16"/>
      <c r="H43" s="16"/>
      <c r="I43" s="16"/>
      <c r="J43" s="180">
        <f>(J17-B14)/(LOG(J42/1)/LOG(2))</f>
        <v>7.1328266481677165</v>
      </c>
      <c r="K43" s="163">
        <f>(K17-$J$17)/(LOG(K42/$J$42)/LOG(2))</f>
        <v>4.7741551768942267</v>
      </c>
      <c r="L43" s="163">
        <f t="shared" ref="L43:AK43" si="55">(L17-$J$17)/(LOG(L42/$J$42)/LOG(2))</f>
        <v>5.1921095633020746</v>
      </c>
      <c r="M43" s="163">
        <f t="shared" si="55"/>
        <v>4.9130209635244562</v>
      </c>
      <c r="N43" s="163">
        <f t="shared" si="55"/>
        <v>4.5681877329756686</v>
      </c>
      <c r="O43" s="163">
        <f t="shared" si="55"/>
        <v>4.5634778670485563</v>
      </c>
      <c r="P43" s="163">
        <f t="shared" si="55"/>
        <v>4.4573209497047444</v>
      </c>
      <c r="Q43" s="163">
        <f t="shared" si="55"/>
        <v>4.3298901364730362</v>
      </c>
      <c r="R43" s="163">
        <f>(R17-$J$17)/(LOG(R42/$J$42)/LOG(2))</f>
        <v>4.508513703920614</v>
      </c>
      <c r="S43" s="163">
        <f t="shared" si="55"/>
        <v>4.8397198165418311</v>
      </c>
      <c r="T43" s="163">
        <f t="shared" si="55"/>
        <v>5.4423137689055636</v>
      </c>
      <c r="U43" s="163">
        <f t="shared" si="55"/>
        <v>5.9307474729131977</v>
      </c>
      <c r="V43" s="172">
        <f t="shared" si="55"/>
        <v>6.3853287030713739</v>
      </c>
      <c r="W43" s="172">
        <f t="shared" si="55"/>
        <v>6.7387025344853484</v>
      </c>
      <c r="X43" s="172">
        <f t="shared" si="55"/>
        <v>7.0418058625112616</v>
      </c>
      <c r="Y43" s="172">
        <f t="shared" si="55"/>
        <v>7.3046534673367063</v>
      </c>
      <c r="Z43" s="172">
        <f t="shared" si="55"/>
        <v>7.5347656160448224</v>
      </c>
      <c r="AA43" s="172">
        <f t="shared" si="55"/>
        <v>7.7378992099999078</v>
      </c>
      <c r="AB43" s="172">
        <f t="shared" si="55"/>
        <v>7.9185360112441296</v>
      </c>
      <c r="AC43" s="172">
        <f t="shared" si="55"/>
        <v>8.0802171685573505</v>
      </c>
      <c r="AD43" s="172">
        <f t="shared" ref="AD43" si="56">(AD17-$J$17)/(LOG(AD42/$J$42)/LOG(2))</f>
        <v>8.2257776803534739</v>
      </c>
      <c r="AE43" s="172">
        <f t="shared" ref="AE43" si="57">(AE17-$J$17)/(LOG(AE42/$J$42)/LOG(2))</f>
        <v>8.3575140555215839</v>
      </c>
      <c r="AF43" s="175">
        <f t="shared" ref="AF43" si="58">(AF17-$J$17)/(LOG(AF42/$J$42)/LOG(2))</f>
        <v>8.4773063706633778</v>
      </c>
      <c r="AG43" s="175">
        <f t="shared" ref="AG43:AH43" si="59">(AG17-$J$17)/(LOG(AG42/$J$42)/LOG(2))</f>
        <v>8.5867085676358279</v>
      </c>
      <c r="AH43" s="175">
        <f t="shared" si="59"/>
        <v>8.6870162319679647</v>
      </c>
      <c r="AI43" s="175">
        <f t="shared" ref="AI43" si="60">(AI17-$J$17)/(LOG(AI42/$J$42)/LOG(2))</f>
        <v>8.6870162319679647</v>
      </c>
      <c r="AJ43" s="175">
        <f t="shared" si="55"/>
        <v>8.6383647439858233</v>
      </c>
      <c r="AK43" s="176">
        <f t="shared" si="55"/>
        <v>10.837221224273122</v>
      </c>
    </row>
    <row r="44" spans="1:40" x14ac:dyDescent="0.25">
      <c r="A44" s="41" t="s">
        <v>201</v>
      </c>
      <c r="B44" s="16"/>
      <c r="C44" s="16"/>
      <c r="D44" s="16"/>
      <c r="E44" s="16"/>
      <c r="F44" s="16"/>
      <c r="G44" s="16"/>
      <c r="H44" s="16"/>
      <c r="I44" s="16"/>
      <c r="J44" s="274">
        <v>27</v>
      </c>
      <c r="K44" s="275">
        <v>58</v>
      </c>
      <c r="L44" s="275">
        <v>99</v>
      </c>
      <c r="M44" s="275">
        <v>221</v>
      </c>
      <c r="N44" s="275">
        <v>486</v>
      </c>
      <c r="O44" s="275">
        <v>879</v>
      </c>
      <c r="P44" s="275">
        <v>1792</v>
      </c>
      <c r="Q44" s="275">
        <v>3843</v>
      </c>
      <c r="R44" s="275">
        <v>6577</v>
      </c>
      <c r="S44" s="275">
        <v>13381</v>
      </c>
      <c r="T44" s="275">
        <v>23546</v>
      </c>
      <c r="U44" s="275">
        <v>43980</v>
      </c>
      <c r="V44" s="282"/>
      <c r="W44" s="282"/>
      <c r="X44" s="282"/>
      <c r="Y44" s="282"/>
      <c r="Z44" s="282"/>
      <c r="AA44" s="282"/>
      <c r="AB44" s="282"/>
      <c r="AC44" s="282"/>
      <c r="AD44" s="282"/>
      <c r="AE44" s="282"/>
      <c r="AF44" s="276"/>
      <c r="AG44" s="276"/>
      <c r="AH44" s="276"/>
      <c r="AI44" s="276"/>
      <c r="AJ44" s="276"/>
      <c r="AK44" s="277"/>
    </row>
    <row r="45" spans="1:40" x14ac:dyDescent="0.25">
      <c r="A45" s="41" t="s">
        <v>62</v>
      </c>
      <c r="B45" s="16"/>
      <c r="C45" s="16"/>
      <c r="D45" s="16"/>
      <c r="E45" s="16"/>
      <c r="F45" s="16"/>
      <c r="G45" s="16"/>
      <c r="H45" s="16"/>
      <c r="I45" s="16"/>
      <c r="J45" s="220">
        <f>J42-J46-J44</f>
        <v>3</v>
      </c>
      <c r="K45" s="139">
        <f t="shared" ref="K45:R45" si="61">K42-K46-K44</f>
        <v>4</v>
      </c>
      <c r="L45" s="139">
        <f t="shared" si="61"/>
        <v>13</v>
      </c>
      <c r="M45" s="139">
        <f t="shared" si="61"/>
        <v>23</v>
      </c>
      <c r="N45" s="139">
        <f t="shared" si="61"/>
        <v>40</v>
      </c>
      <c r="O45" s="139">
        <f t="shared" si="61"/>
        <v>84</v>
      </c>
      <c r="P45" s="139">
        <f t="shared" si="61"/>
        <v>148</v>
      </c>
      <c r="Q45" s="139">
        <f t="shared" si="61"/>
        <v>328</v>
      </c>
      <c r="R45" s="139">
        <f t="shared" si="61"/>
        <v>774</v>
      </c>
      <c r="S45" s="139">
        <f t="shared" ref="S45:T45" si="62">S42-S46-S44</f>
        <v>2463</v>
      </c>
      <c r="T45" s="139">
        <f t="shared" si="62"/>
        <v>8437</v>
      </c>
      <c r="U45" s="139">
        <f t="shared" ref="U45" si="63">U42-U46-U44</f>
        <v>20969</v>
      </c>
      <c r="V45" s="283">
        <v>42309</v>
      </c>
      <c r="W45" s="283"/>
      <c r="X45" s="283"/>
      <c r="Y45" s="283"/>
      <c r="Z45" s="283"/>
      <c r="AA45" s="283"/>
      <c r="AB45" s="283"/>
      <c r="AC45" s="283"/>
      <c r="AD45" s="283"/>
      <c r="AE45" s="283"/>
      <c r="AF45" s="101"/>
      <c r="AG45" s="101"/>
      <c r="AH45" s="101"/>
      <c r="AI45" s="101"/>
      <c r="AJ45" s="101"/>
      <c r="AK45" s="102"/>
    </row>
    <row r="46" spans="1:40" x14ac:dyDescent="0.25">
      <c r="A46" s="49" t="s">
        <v>43</v>
      </c>
      <c r="B46" s="38"/>
      <c r="C46" s="39"/>
      <c r="D46" s="39"/>
      <c r="E46" s="39"/>
      <c r="F46" s="39"/>
      <c r="G46" s="39"/>
      <c r="H46" s="39"/>
      <c r="I46" s="39"/>
      <c r="J46" s="278">
        <v>0</v>
      </c>
      <c r="K46" s="279">
        <v>0</v>
      </c>
      <c r="L46" s="280">
        <v>2</v>
      </c>
      <c r="M46" s="280">
        <v>5</v>
      </c>
      <c r="N46" s="280">
        <v>10</v>
      </c>
      <c r="O46" s="280">
        <v>24</v>
      </c>
      <c r="P46" s="280">
        <v>58</v>
      </c>
      <c r="Q46" s="280">
        <v>118</v>
      </c>
      <c r="R46" s="280">
        <v>249</v>
      </c>
      <c r="S46" s="280">
        <v>521</v>
      </c>
      <c r="T46" s="280">
        <v>1079</v>
      </c>
      <c r="U46" s="280">
        <v>2212</v>
      </c>
      <c r="V46" s="284">
        <v>3302</v>
      </c>
      <c r="W46" s="284"/>
      <c r="X46" s="284"/>
      <c r="Y46" s="284"/>
      <c r="Z46" s="284"/>
      <c r="AA46" s="284"/>
      <c r="AB46" s="284"/>
      <c r="AC46" s="284"/>
      <c r="AD46" s="284"/>
      <c r="AE46" s="284"/>
      <c r="AF46" s="81"/>
      <c r="AG46" s="81"/>
      <c r="AH46" s="81"/>
      <c r="AI46" s="81"/>
      <c r="AJ46" s="81"/>
      <c r="AK46" s="34"/>
    </row>
    <row r="47" spans="1:40" x14ac:dyDescent="0.25">
      <c r="B47" s="3"/>
      <c r="J47" s="35"/>
      <c r="K47" s="35"/>
      <c r="L47" s="35"/>
      <c r="M47" s="35"/>
      <c r="N47" s="35"/>
      <c r="O47" s="35"/>
      <c r="P47" s="35"/>
      <c r="Q47" s="35"/>
      <c r="R47" s="35"/>
      <c r="S47" s="35"/>
      <c r="T47" s="35"/>
      <c r="U47" s="35"/>
      <c r="V47" s="35"/>
      <c r="W47" s="35"/>
      <c r="X47" s="35"/>
      <c r="Y47" s="35"/>
      <c r="Z47" s="35"/>
      <c r="AA47" s="35"/>
    </row>
    <row r="48" spans="1:40" x14ac:dyDescent="0.25">
      <c r="A48" s="71" t="s">
        <v>48</v>
      </c>
      <c r="AA48" s="16"/>
    </row>
    <row r="49" spans="1:37" x14ac:dyDescent="0.25">
      <c r="A49" s="4" t="s">
        <v>0</v>
      </c>
      <c r="B49" s="179" t="s">
        <v>118</v>
      </c>
      <c r="C49" s="5" t="s">
        <v>3</v>
      </c>
      <c r="D49" s="179" t="s">
        <v>50</v>
      </c>
      <c r="E49" s="57" t="s">
        <v>2</v>
      </c>
      <c r="F49" s="58" t="s">
        <v>189</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5"/>
      <c r="AK49" s="47"/>
    </row>
    <row r="50" spans="1:37" x14ac:dyDescent="0.25">
      <c r="A50" s="41" t="s">
        <v>12</v>
      </c>
      <c r="B50" s="13">
        <f>'Population by Age - Wikipedia'!D23</f>
        <v>9.323168516819004E-3</v>
      </c>
      <c r="C50" s="12">
        <f>$B$5*B50</f>
        <v>12979304.989700677</v>
      </c>
      <c r="D50" s="22">
        <f>'Infection Rate by Age'!B4</f>
        <v>0.01</v>
      </c>
      <c r="E50" s="5"/>
      <c r="F50" s="16"/>
      <c r="G50" s="16"/>
      <c r="H50" s="16"/>
      <c r="I50" s="16"/>
      <c r="J50" s="18">
        <f t="shared" ref="J50:AJ50" si="64">J$18*$D$50</f>
        <v>0.3125</v>
      </c>
      <c r="K50" s="19">
        <f t="shared" si="64"/>
        <v>0.625</v>
      </c>
      <c r="L50" s="19">
        <f t="shared" si="64"/>
        <v>1.25</v>
      </c>
      <c r="M50" s="19">
        <f t="shared" si="64"/>
        <v>2.5</v>
      </c>
      <c r="N50" s="19">
        <f t="shared" si="64"/>
        <v>5</v>
      </c>
      <c r="O50" s="19">
        <f t="shared" si="64"/>
        <v>10</v>
      </c>
      <c r="P50" s="19">
        <f t="shared" si="64"/>
        <v>20</v>
      </c>
      <c r="Q50" s="19">
        <f t="shared" si="64"/>
        <v>40</v>
      </c>
      <c r="R50" s="19">
        <f t="shared" si="64"/>
        <v>80</v>
      </c>
      <c r="S50" s="19">
        <f t="shared" si="64"/>
        <v>160</v>
      </c>
      <c r="T50" s="19">
        <f t="shared" si="64"/>
        <v>320</v>
      </c>
      <c r="U50" s="19">
        <f t="shared" si="64"/>
        <v>640</v>
      </c>
      <c r="V50" s="19">
        <f t="shared" si="64"/>
        <v>1280</v>
      </c>
      <c r="W50" s="19">
        <f t="shared" si="64"/>
        <v>2560</v>
      </c>
      <c r="X50" s="19">
        <f t="shared" si="64"/>
        <v>5120</v>
      </c>
      <c r="Y50" s="19">
        <f t="shared" si="64"/>
        <v>10240</v>
      </c>
      <c r="Z50" s="19">
        <f t="shared" si="64"/>
        <v>20480</v>
      </c>
      <c r="AA50" s="19">
        <f t="shared" si="64"/>
        <v>40960</v>
      </c>
      <c r="AB50" s="19">
        <f t="shared" si="64"/>
        <v>81920</v>
      </c>
      <c r="AC50" s="19">
        <f t="shared" si="64"/>
        <v>163840</v>
      </c>
      <c r="AD50" s="19">
        <f t="shared" si="64"/>
        <v>327680</v>
      </c>
      <c r="AE50" s="59">
        <f t="shared" si="64"/>
        <v>655360</v>
      </c>
      <c r="AF50" s="18">
        <f t="shared" si="64"/>
        <v>1310720</v>
      </c>
      <c r="AG50" s="19">
        <f t="shared" si="64"/>
        <v>2621440</v>
      </c>
      <c r="AH50" s="19">
        <f t="shared" si="64"/>
        <v>5242880</v>
      </c>
      <c r="AI50" s="19">
        <f t="shared" si="64"/>
        <v>10485760</v>
      </c>
      <c r="AJ50" s="59">
        <f t="shared" si="64"/>
        <v>13921560</v>
      </c>
      <c r="AK50" s="45"/>
    </row>
    <row r="51" spans="1:37" x14ac:dyDescent="0.25">
      <c r="A51" s="41"/>
      <c r="B51" s="6"/>
      <c r="C51" s="10"/>
      <c r="D51" s="8"/>
      <c r="E51" s="27">
        <v>0.14799999999999999</v>
      </c>
      <c r="F51" s="15">
        <v>7.9000000000000001E-2</v>
      </c>
      <c r="G51" s="10"/>
      <c r="H51" s="15"/>
      <c r="I51" s="10"/>
      <c r="J51" s="29">
        <f t="shared" ref="J51:AJ51" si="65">J$18*$D$50*$E$51</f>
        <v>4.6249999999999999E-2</v>
      </c>
      <c r="K51" s="30">
        <f t="shared" si="65"/>
        <v>9.2499999999999999E-2</v>
      </c>
      <c r="L51" s="30">
        <f t="shared" si="65"/>
        <v>0.185</v>
      </c>
      <c r="M51" s="30">
        <f t="shared" si="65"/>
        <v>0.37</v>
      </c>
      <c r="N51" s="30">
        <f t="shared" si="65"/>
        <v>0.74</v>
      </c>
      <c r="O51" s="30">
        <f t="shared" si="65"/>
        <v>1.48</v>
      </c>
      <c r="P51" s="30">
        <f t="shared" si="65"/>
        <v>2.96</v>
      </c>
      <c r="Q51" s="30">
        <f t="shared" si="65"/>
        <v>5.92</v>
      </c>
      <c r="R51" s="30">
        <f t="shared" si="65"/>
        <v>11.84</v>
      </c>
      <c r="S51" s="30">
        <f t="shared" si="65"/>
        <v>23.68</v>
      </c>
      <c r="T51" s="30">
        <f t="shared" si="65"/>
        <v>47.36</v>
      </c>
      <c r="U51" s="30">
        <f t="shared" si="65"/>
        <v>94.72</v>
      </c>
      <c r="V51" s="30">
        <f t="shared" si="65"/>
        <v>189.44</v>
      </c>
      <c r="W51" s="30">
        <f t="shared" si="65"/>
        <v>378.88</v>
      </c>
      <c r="X51" s="30">
        <f t="shared" si="65"/>
        <v>757.76</v>
      </c>
      <c r="Y51" s="30">
        <f t="shared" si="65"/>
        <v>1515.52</v>
      </c>
      <c r="Z51" s="30">
        <f t="shared" si="65"/>
        <v>3031.04</v>
      </c>
      <c r="AA51" s="30">
        <f t="shared" si="65"/>
        <v>6062.08</v>
      </c>
      <c r="AB51" s="30">
        <f t="shared" si="65"/>
        <v>12124.16</v>
      </c>
      <c r="AC51" s="30">
        <f t="shared" si="65"/>
        <v>24248.32</v>
      </c>
      <c r="AD51" s="30">
        <f t="shared" si="65"/>
        <v>48496.639999999999</v>
      </c>
      <c r="AE51" s="68">
        <f t="shared" si="65"/>
        <v>96993.279999999999</v>
      </c>
      <c r="AF51" s="29">
        <f t="shared" si="65"/>
        <v>193986.56</v>
      </c>
      <c r="AG51" s="30">
        <f t="shared" si="65"/>
        <v>387973.12</v>
      </c>
      <c r="AH51" s="30">
        <f t="shared" si="65"/>
        <v>775946.23999999999</v>
      </c>
      <c r="AI51" s="30">
        <f t="shared" si="65"/>
        <v>1551892.48</v>
      </c>
      <c r="AJ51" s="68">
        <f t="shared" si="65"/>
        <v>2060390.88</v>
      </c>
      <c r="AK51" s="45"/>
    </row>
    <row r="52" spans="1:37" x14ac:dyDescent="0.25">
      <c r="A52" s="41" t="s">
        <v>13</v>
      </c>
      <c r="B52" s="6">
        <f>'Population by Age - Wikipedia'!D18</f>
        <v>2.3488646898463382E-2</v>
      </c>
      <c r="C52" s="10">
        <f t="shared" ref="C52:C66" si="66">$B$5*B52</f>
        <v>32699860.711577188</v>
      </c>
      <c r="D52" s="23">
        <f>'Infection Rate by Age'!B5</f>
        <v>2.9000000000000001E-2</v>
      </c>
      <c r="E52" s="17"/>
      <c r="F52" s="16"/>
      <c r="G52" s="16"/>
      <c r="H52" s="16"/>
      <c r="I52" s="16"/>
      <c r="J52" s="20">
        <f t="shared" ref="J52:AJ52" si="67">J$18*$D$52</f>
        <v>0.90625</v>
      </c>
      <c r="K52" s="21">
        <f t="shared" si="67"/>
        <v>1.8125</v>
      </c>
      <c r="L52" s="21">
        <f t="shared" si="67"/>
        <v>3.625</v>
      </c>
      <c r="M52" s="21">
        <f t="shared" si="67"/>
        <v>7.25</v>
      </c>
      <c r="N52" s="21">
        <f t="shared" si="67"/>
        <v>14.5</v>
      </c>
      <c r="O52" s="21">
        <f t="shared" si="67"/>
        <v>29</v>
      </c>
      <c r="P52" s="21">
        <f t="shared" si="67"/>
        <v>58</v>
      </c>
      <c r="Q52" s="21">
        <f t="shared" si="67"/>
        <v>116</v>
      </c>
      <c r="R52" s="21">
        <f t="shared" si="67"/>
        <v>232</v>
      </c>
      <c r="S52" s="21">
        <f t="shared" si="67"/>
        <v>464</v>
      </c>
      <c r="T52" s="21">
        <f t="shared" si="67"/>
        <v>928</v>
      </c>
      <c r="U52" s="21">
        <f t="shared" si="67"/>
        <v>1856</v>
      </c>
      <c r="V52" s="21">
        <f t="shared" si="67"/>
        <v>3712</v>
      </c>
      <c r="W52" s="21">
        <f t="shared" si="67"/>
        <v>7424</v>
      </c>
      <c r="X52" s="21">
        <f t="shared" si="67"/>
        <v>14848</v>
      </c>
      <c r="Y52" s="21">
        <f t="shared" si="67"/>
        <v>29696</v>
      </c>
      <c r="Z52" s="21">
        <f t="shared" si="67"/>
        <v>59392</v>
      </c>
      <c r="AA52" s="21">
        <f t="shared" si="67"/>
        <v>118784</v>
      </c>
      <c r="AB52" s="21">
        <f t="shared" si="67"/>
        <v>237568</v>
      </c>
      <c r="AC52" s="21">
        <f t="shared" si="67"/>
        <v>475136</v>
      </c>
      <c r="AD52" s="21">
        <f t="shared" si="67"/>
        <v>950272</v>
      </c>
      <c r="AE52" s="69">
        <f t="shared" si="67"/>
        <v>1900544</v>
      </c>
      <c r="AF52" s="20">
        <f t="shared" si="67"/>
        <v>3801088</v>
      </c>
      <c r="AG52" s="21">
        <f t="shared" si="67"/>
        <v>7602176</v>
      </c>
      <c r="AH52" s="21">
        <f t="shared" si="67"/>
        <v>15204352</v>
      </c>
      <c r="AI52" s="21">
        <f t="shared" si="67"/>
        <v>30408704</v>
      </c>
      <c r="AJ52" s="69">
        <f t="shared" si="67"/>
        <v>40372524</v>
      </c>
      <c r="AK52" s="45"/>
    </row>
    <row r="53" spans="1:37" x14ac:dyDescent="0.25">
      <c r="A53" s="41"/>
      <c r="B53" s="6"/>
      <c r="C53" s="10"/>
      <c r="D53" s="8"/>
      <c r="E53" s="27">
        <v>0.08</v>
      </c>
      <c r="F53" s="15">
        <v>0.13200000000000001</v>
      </c>
      <c r="G53" s="10"/>
      <c r="H53" s="15"/>
      <c r="I53" s="10"/>
      <c r="J53" s="29">
        <f t="shared" ref="J53:AJ53" si="68">J$18*$D$52*$E$53</f>
        <v>7.2499999999999995E-2</v>
      </c>
      <c r="K53" s="30">
        <f t="shared" si="68"/>
        <v>0.14499999999999999</v>
      </c>
      <c r="L53" s="30">
        <f t="shared" si="68"/>
        <v>0.28999999999999998</v>
      </c>
      <c r="M53" s="30">
        <f t="shared" si="68"/>
        <v>0.57999999999999996</v>
      </c>
      <c r="N53" s="30">
        <f t="shared" si="68"/>
        <v>1.1599999999999999</v>
      </c>
      <c r="O53" s="30">
        <f t="shared" si="68"/>
        <v>2.3199999999999998</v>
      </c>
      <c r="P53" s="30">
        <f t="shared" si="68"/>
        <v>4.6399999999999997</v>
      </c>
      <c r="Q53" s="30">
        <f t="shared" si="68"/>
        <v>9.2799999999999994</v>
      </c>
      <c r="R53" s="30">
        <f t="shared" si="68"/>
        <v>18.559999999999999</v>
      </c>
      <c r="S53" s="30">
        <f t="shared" si="68"/>
        <v>37.119999999999997</v>
      </c>
      <c r="T53" s="30">
        <f t="shared" si="68"/>
        <v>74.239999999999995</v>
      </c>
      <c r="U53" s="30">
        <f t="shared" si="68"/>
        <v>148.47999999999999</v>
      </c>
      <c r="V53" s="30">
        <f t="shared" si="68"/>
        <v>296.95999999999998</v>
      </c>
      <c r="W53" s="30">
        <f t="shared" si="68"/>
        <v>593.91999999999996</v>
      </c>
      <c r="X53" s="30">
        <f t="shared" si="68"/>
        <v>1187.8399999999999</v>
      </c>
      <c r="Y53" s="30">
        <f t="shared" si="68"/>
        <v>2375.6799999999998</v>
      </c>
      <c r="Z53" s="30">
        <f t="shared" si="68"/>
        <v>4751.3599999999997</v>
      </c>
      <c r="AA53" s="30">
        <f t="shared" si="68"/>
        <v>9502.7199999999993</v>
      </c>
      <c r="AB53" s="30">
        <f t="shared" si="68"/>
        <v>19005.439999999999</v>
      </c>
      <c r="AC53" s="30">
        <f t="shared" si="68"/>
        <v>38010.879999999997</v>
      </c>
      <c r="AD53" s="30">
        <f t="shared" si="68"/>
        <v>76021.759999999995</v>
      </c>
      <c r="AE53" s="68">
        <f t="shared" si="68"/>
        <v>152043.51999999999</v>
      </c>
      <c r="AF53" s="29">
        <f t="shared" si="68"/>
        <v>304087.03999999998</v>
      </c>
      <c r="AG53" s="30">
        <f t="shared" si="68"/>
        <v>608174.07999999996</v>
      </c>
      <c r="AH53" s="30">
        <f t="shared" si="68"/>
        <v>1216348.1599999999</v>
      </c>
      <c r="AI53" s="30">
        <f t="shared" si="68"/>
        <v>2432696.3199999998</v>
      </c>
      <c r="AJ53" s="68">
        <f t="shared" si="68"/>
        <v>3229801.92</v>
      </c>
      <c r="AK53" s="45"/>
    </row>
    <row r="54" spans="1:37" x14ac:dyDescent="0.25">
      <c r="A54" s="41" t="s">
        <v>14</v>
      </c>
      <c r="B54" s="6">
        <f>'Population by Age - Wikipedia'!D16</f>
        <v>5.2953236529497287E-2</v>
      </c>
      <c r="C54" s="10">
        <f t="shared" si="66"/>
        <v>73719165.953958824</v>
      </c>
      <c r="D54" s="23">
        <f>'Infection Rate by Age'!B6</f>
        <v>0.121</v>
      </c>
      <c r="E54" s="17"/>
      <c r="F54" s="10"/>
      <c r="G54" s="10"/>
      <c r="H54" s="10"/>
      <c r="I54" s="10"/>
      <c r="J54" s="20">
        <f t="shared" ref="J54:AJ54" si="69">J$18*$D$54</f>
        <v>3.78125</v>
      </c>
      <c r="K54" s="21">
        <f t="shared" si="69"/>
        <v>7.5625</v>
      </c>
      <c r="L54" s="21">
        <f t="shared" si="69"/>
        <v>15.125</v>
      </c>
      <c r="M54" s="21">
        <f t="shared" si="69"/>
        <v>30.25</v>
      </c>
      <c r="N54" s="21">
        <f t="shared" si="69"/>
        <v>60.5</v>
      </c>
      <c r="O54" s="21">
        <f t="shared" si="69"/>
        <v>121</v>
      </c>
      <c r="P54" s="21">
        <f t="shared" si="69"/>
        <v>242</v>
      </c>
      <c r="Q54" s="21">
        <f t="shared" si="69"/>
        <v>484</v>
      </c>
      <c r="R54" s="21">
        <f t="shared" si="69"/>
        <v>968</v>
      </c>
      <c r="S54" s="21">
        <f t="shared" si="69"/>
        <v>1936</v>
      </c>
      <c r="T54" s="21">
        <f t="shared" si="69"/>
        <v>3872</v>
      </c>
      <c r="U54" s="21">
        <f t="shared" si="69"/>
        <v>7744</v>
      </c>
      <c r="V54" s="21">
        <f t="shared" si="69"/>
        <v>15488</v>
      </c>
      <c r="W54" s="21">
        <f t="shared" si="69"/>
        <v>30976</v>
      </c>
      <c r="X54" s="21">
        <f t="shared" si="69"/>
        <v>61952</v>
      </c>
      <c r="Y54" s="21">
        <f t="shared" si="69"/>
        <v>123904</v>
      </c>
      <c r="Z54" s="21">
        <f t="shared" si="69"/>
        <v>247808</v>
      </c>
      <c r="AA54" s="21">
        <f t="shared" si="69"/>
        <v>495616</v>
      </c>
      <c r="AB54" s="21">
        <f t="shared" si="69"/>
        <v>991232</v>
      </c>
      <c r="AC54" s="21">
        <f t="shared" si="69"/>
        <v>1982464</v>
      </c>
      <c r="AD54" s="21">
        <f t="shared" si="69"/>
        <v>3964928</v>
      </c>
      <c r="AE54" s="69">
        <f t="shared" si="69"/>
        <v>7929856</v>
      </c>
      <c r="AF54" s="20">
        <f t="shared" si="69"/>
        <v>15859712</v>
      </c>
      <c r="AG54" s="21">
        <f t="shared" si="69"/>
        <v>31719424</v>
      </c>
      <c r="AH54" s="21">
        <f t="shared" si="69"/>
        <v>63438848</v>
      </c>
      <c r="AI54" s="21">
        <f t="shared" si="69"/>
        <v>126877696</v>
      </c>
      <c r="AJ54" s="69">
        <f t="shared" si="69"/>
        <v>168450876</v>
      </c>
      <c r="AK54" s="45"/>
    </row>
    <row r="55" spans="1:37" x14ac:dyDescent="0.25">
      <c r="A55" s="41"/>
      <c r="B55" s="6"/>
      <c r="C55" s="10"/>
      <c r="D55" s="8"/>
      <c r="E55" s="27">
        <v>3.5999999999999997E-2</v>
      </c>
      <c r="F55" s="15">
        <v>0.23699999999999999</v>
      </c>
      <c r="G55" s="10"/>
      <c r="H55" s="15"/>
      <c r="I55" s="10"/>
      <c r="J55" s="29">
        <f t="shared" ref="J55:AJ55" si="70">J$18*$D$54*$E$55</f>
        <v>0.136125</v>
      </c>
      <c r="K55" s="30">
        <f t="shared" si="70"/>
        <v>0.27224999999999999</v>
      </c>
      <c r="L55" s="30">
        <f t="shared" si="70"/>
        <v>0.54449999999999998</v>
      </c>
      <c r="M55" s="30">
        <f t="shared" si="70"/>
        <v>1.089</v>
      </c>
      <c r="N55" s="30">
        <f t="shared" si="70"/>
        <v>2.1779999999999999</v>
      </c>
      <c r="O55" s="30">
        <f t="shared" si="70"/>
        <v>4.3559999999999999</v>
      </c>
      <c r="P55" s="30">
        <f t="shared" si="70"/>
        <v>8.7119999999999997</v>
      </c>
      <c r="Q55" s="30">
        <f t="shared" si="70"/>
        <v>17.423999999999999</v>
      </c>
      <c r="R55" s="30">
        <f t="shared" si="70"/>
        <v>34.847999999999999</v>
      </c>
      <c r="S55" s="30">
        <f t="shared" si="70"/>
        <v>69.695999999999998</v>
      </c>
      <c r="T55" s="30">
        <f t="shared" si="70"/>
        <v>139.392</v>
      </c>
      <c r="U55" s="30">
        <f t="shared" si="70"/>
        <v>278.78399999999999</v>
      </c>
      <c r="V55" s="30">
        <f t="shared" si="70"/>
        <v>557.56799999999998</v>
      </c>
      <c r="W55" s="30">
        <f t="shared" si="70"/>
        <v>1115.136</v>
      </c>
      <c r="X55" s="30">
        <f t="shared" si="70"/>
        <v>2230.2719999999999</v>
      </c>
      <c r="Y55" s="30">
        <f t="shared" si="70"/>
        <v>4460.5439999999999</v>
      </c>
      <c r="Z55" s="30">
        <f t="shared" si="70"/>
        <v>8921.0879999999997</v>
      </c>
      <c r="AA55" s="30">
        <f t="shared" si="70"/>
        <v>17842.175999999999</v>
      </c>
      <c r="AB55" s="30">
        <f t="shared" si="70"/>
        <v>35684.351999999999</v>
      </c>
      <c r="AC55" s="30">
        <f t="shared" si="70"/>
        <v>71368.703999999998</v>
      </c>
      <c r="AD55" s="30">
        <f t="shared" si="70"/>
        <v>142737.408</v>
      </c>
      <c r="AE55" s="68">
        <f t="shared" si="70"/>
        <v>285474.81599999999</v>
      </c>
      <c r="AF55" s="29">
        <f t="shared" si="70"/>
        <v>570949.63199999998</v>
      </c>
      <c r="AG55" s="30">
        <f t="shared" si="70"/>
        <v>1141899.264</v>
      </c>
      <c r="AH55" s="30">
        <f t="shared" si="70"/>
        <v>2283798.5279999999</v>
      </c>
      <c r="AI55" s="30">
        <f t="shared" si="70"/>
        <v>4567597.0559999999</v>
      </c>
      <c r="AJ55" s="68">
        <f t="shared" si="70"/>
        <v>6064231.5359999994</v>
      </c>
      <c r="AK55" s="45"/>
    </row>
    <row r="56" spans="1:37" x14ac:dyDescent="0.25">
      <c r="A56" s="41" t="s">
        <v>15</v>
      </c>
      <c r="B56" s="6">
        <f>'Population by Age - Wikipedia'!D14</f>
        <v>7.2853736141516481E-2</v>
      </c>
      <c r="C56" s="10">
        <f t="shared" si="66"/>
        <v>101423765.89182901</v>
      </c>
      <c r="D56" s="23">
        <f>'Infection Rate by Age'!B7</f>
        <v>0.159</v>
      </c>
      <c r="E56" s="17"/>
      <c r="F56" s="10"/>
      <c r="G56" s="10"/>
      <c r="H56" s="10"/>
      <c r="I56" s="10"/>
      <c r="J56" s="20">
        <f t="shared" ref="J56:AJ56" si="71">J$18*$D$56</f>
        <v>4.96875</v>
      </c>
      <c r="K56" s="21">
        <f t="shared" si="71"/>
        <v>9.9375</v>
      </c>
      <c r="L56" s="21">
        <f t="shared" si="71"/>
        <v>19.875</v>
      </c>
      <c r="M56" s="21">
        <f t="shared" si="71"/>
        <v>39.75</v>
      </c>
      <c r="N56" s="21">
        <f t="shared" si="71"/>
        <v>79.5</v>
      </c>
      <c r="O56" s="21">
        <f t="shared" si="71"/>
        <v>159</v>
      </c>
      <c r="P56" s="21">
        <f t="shared" si="71"/>
        <v>318</v>
      </c>
      <c r="Q56" s="21">
        <f t="shared" si="71"/>
        <v>636</v>
      </c>
      <c r="R56" s="21">
        <f t="shared" si="71"/>
        <v>1272</v>
      </c>
      <c r="S56" s="21">
        <f t="shared" si="71"/>
        <v>2544</v>
      </c>
      <c r="T56" s="21">
        <f t="shared" si="71"/>
        <v>5088</v>
      </c>
      <c r="U56" s="21">
        <f t="shared" si="71"/>
        <v>10176</v>
      </c>
      <c r="V56" s="21">
        <f t="shared" si="71"/>
        <v>20352</v>
      </c>
      <c r="W56" s="21">
        <f t="shared" si="71"/>
        <v>40704</v>
      </c>
      <c r="X56" s="21">
        <f t="shared" si="71"/>
        <v>81408</v>
      </c>
      <c r="Y56" s="21">
        <f t="shared" si="71"/>
        <v>162816</v>
      </c>
      <c r="Z56" s="21">
        <f t="shared" si="71"/>
        <v>325632</v>
      </c>
      <c r="AA56" s="21">
        <f t="shared" si="71"/>
        <v>651264</v>
      </c>
      <c r="AB56" s="21">
        <f t="shared" si="71"/>
        <v>1302528</v>
      </c>
      <c r="AC56" s="21">
        <f t="shared" si="71"/>
        <v>2605056</v>
      </c>
      <c r="AD56" s="21">
        <f t="shared" si="71"/>
        <v>5210112</v>
      </c>
      <c r="AE56" s="69">
        <f t="shared" si="71"/>
        <v>10420224</v>
      </c>
      <c r="AF56" s="20">
        <f t="shared" si="71"/>
        <v>20840448</v>
      </c>
      <c r="AG56" s="21">
        <f t="shared" si="71"/>
        <v>41680896</v>
      </c>
      <c r="AH56" s="21">
        <f t="shared" si="71"/>
        <v>83361792</v>
      </c>
      <c r="AI56" s="21">
        <f t="shared" si="71"/>
        <v>166723584</v>
      </c>
      <c r="AJ56" s="69">
        <f t="shared" si="71"/>
        <v>221352804</v>
      </c>
      <c r="AK56" s="45"/>
    </row>
    <row r="57" spans="1:37" x14ac:dyDescent="0.25">
      <c r="A57" s="41"/>
      <c r="B57" s="6"/>
      <c r="C57" s="10"/>
      <c r="D57" s="8"/>
      <c r="E57" s="27">
        <v>1.2999999999999999E-2</v>
      </c>
      <c r="F57" s="15">
        <v>0.28899999999999998</v>
      </c>
      <c r="G57" s="10"/>
      <c r="H57" s="15"/>
      <c r="I57" s="10"/>
      <c r="J57" s="29">
        <f t="shared" ref="J57:AJ57" si="72">J$18*$D$56*$E$57</f>
        <v>6.4593749999999991E-2</v>
      </c>
      <c r="K57" s="30">
        <f t="shared" si="72"/>
        <v>0.12918749999999998</v>
      </c>
      <c r="L57" s="30">
        <f t="shared" si="72"/>
        <v>0.25837499999999997</v>
      </c>
      <c r="M57" s="30">
        <f t="shared" si="72"/>
        <v>0.51674999999999993</v>
      </c>
      <c r="N57" s="30">
        <f t="shared" si="72"/>
        <v>1.0334999999999999</v>
      </c>
      <c r="O57" s="30">
        <f t="shared" si="72"/>
        <v>2.0669999999999997</v>
      </c>
      <c r="P57" s="30">
        <f t="shared" si="72"/>
        <v>4.1339999999999995</v>
      </c>
      <c r="Q57" s="30">
        <f t="shared" si="72"/>
        <v>8.2679999999999989</v>
      </c>
      <c r="R57" s="30">
        <f t="shared" si="72"/>
        <v>16.535999999999998</v>
      </c>
      <c r="S57" s="30">
        <f t="shared" si="72"/>
        <v>33.071999999999996</v>
      </c>
      <c r="T57" s="30">
        <f t="shared" si="72"/>
        <v>66.143999999999991</v>
      </c>
      <c r="U57" s="30">
        <f t="shared" si="72"/>
        <v>132.28799999999998</v>
      </c>
      <c r="V57" s="30">
        <f t="shared" si="72"/>
        <v>264.57599999999996</v>
      </c>
      <c r="W57" s="30">
        <f t="shared" si="72"/>
        <v>529.15199999999993</v>
      </c>
      <c r="X57" s="30">
        <f t="shared" si="72"/>
        <v>1058.3039999999999</v>
      </c>
      <c r="Y57" s="30">
        <f t="shared" si="72"/>
        <v>2116.6079999999997</v>
      </c>
      <c r="Z57" s="30">
        <f t="shared" si="72"/>
        <v>4233.2159999999994</v>
      </c>
      <c r="AA57" s="30">
        <f t="shared" si="72"/>
        <v>8466.4319999999989</v>
      </c>
      <c r="AB57" s="30">
        <f t="shared" si="72"/>
        <v>16932.863999999998</v>
      </c>
      <c r="AC57" s="30">
        <f t="shared" si="72"/>
        <v>33865.727999999996</v>
      </c>
      <c r="AD57" s="30">
        <f t="shared" si="72"/>
        <v>67731.455999999991</v>
      </c>
      <c r="AE57" s="68">
        <f t="shared" si="72"/>
        <v>135462.91199999998</v>
      </c>
      <c r="AF57" s="29">
        <f t="shared" si="72"/>
        <v>270925.82399999996</v>
      </c>
      <c r="AG57" s="30">
        <f t="shared" si="72"/>
        <v>541851.64799999993</v>
      </c>
      <c r="AH57" s="30">
        <f t="shared" si="72"/>
        <v>1083703.2959999999</v>
      </c>
      <c r="AI57" s="30">
        <f t="shared" si="72"/>
        <v>2167406.5919999997</v>
      </c>
      <c r="AJ57" s="68">
        <f t="shared" si="72"/>
        <v>2877586.452</v>
      </c>
      <c r="AK57" s="45"/>
    </row>
    <row r="58" spans="1:37" x14ac:dyDescent="0.25">
      <c r="A58" s="41" t="s">
        <v>16</v>
      </c>
      <c r="B58" s="6">
        <f>'Population by Age - Wikipedia'!D12</f>
        <v>0.11129032093824395</v>
      </c>
      <c r="C58" s="10">
        <f t="shared" si="66"/>
        <v>154933488.03610194</v>
      </c>
      <c r="D58" s="23">
        <f>'Infection Rate by Age'!B8</f>
        <v>0.17100000000000001</v>
      </c>
      <c r="E58" s="17"/>
      <c r="F58" s="10"/>
      <c r="G58" s="10"/>
      <c r="H58" s="10"/>
      <c r="I58" s="10"/>
      <c r="J58" s="20">
        <f t="shared" ref="J58:AJ58" si="73">J$18*$D$58</f>
        <v>5.34375</v>
      </c>
      <c r="K58" s="21">
        <f t="shared" si="73"/>
        <v>10.6875</v>
      </c>
      <c r="L58" s="21">
        <f t="shared" si="73"/>
        <v>21.375</v>
      </c>
      <c r="M58" s="21">
        <f t="shared" si="73"/>
        <v>42.75</v>
      </c>
      <c r="N58" s="21">
        <f t="shared" si="73"/>
        <v>85.5</v>
      </c>
      <c r="O58" s="21">
        <f t="shared" si="73"/>
        <v>171</v>
      </c>
      <c r="P58" s="21">
        <f t="shared" si="73"/>
        <v>342</v>
      </c>
      <c r="Q58" s="21">
        <f t="shared" si="73"/>
        <v>684</v>
      </c>
      <c r="R58" s="21">
        <f t="shared" si="73"/>
        <v>1368</v>
      </c>
      <c r="S58" s="21">
        <f t="shared" si="73"/>
        <v>2736</v>
      </c>
      <c r="T58" s="21">
        <f t="shared" si="73"/>
        <v>5472</v>
      </c>
      <c r="U58" s="21">
        <f t="shared" si="73"/>
        <v>10944</v>
      </c>
      <c r="V58" s="21">
        <f t="shared" si="73"/>
        <v>21888</v>
      </c>
      <c r="W58" s="21">
        <f t="shared" si="73"/>
        <v>43776</v>
      </c>
      <c r="X58" s="21">
        <f t="shared" si="73"/>
        <v>87552</v>
      </c>
      <c r="Y58" s="21">
        <f t="shared" si="73"/>
        <v>175104</v>
      </c>
      <c r="Z58" s="21">
        <f t="shared" si="73"/>
        <v>350208</v>
      </c>
      <c r="AA58" s="21">
        <f t="shared" si="73"/>
        <v>700416</v>
      </c>
      <c r="AB58" s="21">
        <f t="shared" si="73"/>
        <v>1400832</v>
      </c>
      <c r="AC58" s="21">
        <f t="shared" si="73"/>
        <v>2801664</v>
      </c>
      <c r="AD58" s="21">
        <f t="shared" si="73"/>
        <v>5603328</v>
      </c>
      <c r="AE58" s="69">
        <f t="shared" si="73"/>
        <v>11206656</v>
      </c>
      <c r="AF58" s="20">
        <f t="shared" si="73"/>
        <v>22413312</v>
      </c>
      <c r="AG58" s="21">
        <f t="shared" si="73"/>
        <v>44826624</v>
      </c>
      <c r="AH58" s="21">
        <f t="shared" si="73"/>
        <v>89653248</v>
      </c>
      <c r="AI58" s="21">
        <f t="shared" si="73"/>
        <v>179306496</v>
      </c>
      <c r="AJ58" s="69">
        <f t="shared" si="73"/>
        <v>238058676.00000003</v>
      </c>
      <c r="AK58" s="45"/>
    </row>
    <row r="59" spans="1:37" x14ac:dyDescent="0.25">
      <c r="A59" s="41"/>
      <c r="B59" s="6"/>
      <c r="C59" s="10"/>
      <c r="D59" s="8"/>
      <c r="E59" s="27">
        <v>4.0000000000000001E-3</v>
      </c>
      <c r="F59" s="15">
        <v>0.21099999999999999</v>
      </c>
      <c r="G59" s="10"/>
      <c r="H59" s="15"/>
      <c r="I59" s="10"/>
      <c r="J59" s="29">
        <f t="shared" ref="J59:AJ59" si="74">J$18*$D$58*$E$59</f>
        <v>2.1375000000000002E-2</v>
      </c>
      <c r="K59" s="30">
        <f t="shared" si="74"/>
        <v>4.2750000000000003E-2</v>
      </c>
      <c r="L59" s="30">
        <f t="shared" si="74"/>
        <v>8.5500000000000007E-2</v>
      </c>
      <c r="M59" s="30">
        <f t="shared" si="74"/>
        <v>0.17100000000000001</v>
      </c>
      <c r="N59" s="30">
        <f t="shared" si="74"/>
        <v>0.34200000000000003</v>
      </c>
      <c r="O59" s="30">
        <f t="shared" si="74"/>
        <v>0.68400000000000005</v>
      </c>
      <c r="P59" s="30">
        <f t="shared" si="74"/>
        <v>1.3680000000000001</v>
      </c>
      <c r="Q59" s="30">
        <f t="shared" si="74"/>
        <v>2.7360000000000002</v>
      </c>
      <c r="R59" s="30">
        <f t="shared" si="74"/>
        <v>5.4720000000000004</v>
      </c>
      <c r="S59" s="30">
        <f t="shared" si="74"/>
        <v>10.944000000000001</v>
      </c>
      <c r="T59" s="30">
        <f t="shared" si="74"/>
        <v>21.888000000000002</v>
      </c>
      <c r="U59" s="30">
        <f t="shared" si="74"/>
        <v>43.776000000000003</v>
      </c>
      <c r="V59" s="30">
        <f t="shared" si="74"/>
        <v>87.552000000000007</v>
      </c>
      <c r="W59" s="30">
        <f t="shared" si="74"/>
        <v>175.10400000000001</v>
      </c>
      <c r="X59" s="30">
        <f t="shared" si="74"/>
        <v>350.20800000000003</v>
      </c>
      <c r="Y59" s="30">
        <f t="shared" si="74"/>
        <v>700.41600000000005</v>
      </c>
      <c r="Z59" s="30">
        <f t="shared" si="74"/>
        <v>1400.8320000000001</v>
      </c>
      <c r="AA59" s="30">
        <f t="shared" si="74"/>
        <v>2801.6640000000002</v>
      </c>
      <c r="AB59" s="30">
        <f t="shared" si="74"/>
        <v>5603.3280000000004</v>
      </c>
      <c r="AC59" s="30">
        <f t="shared" si="74"/>
        <v>11206.656000000001</v>
      </c>
      <c r="AD59" s="30">
        <f t="shared" si="74"/>
        <v>22413.312000000002</v>
      </c>
      <c r="AE59" s="68">
        <f t="shared" si="74"/>
        <v>44826.624000000003</v>
      </c>
      <c r="AF59" s="29">
        <f t="shared" si="74"/>
        <v>89653.248000000007</v>
      </c>
      <c r="AG59" s="30">
        <f t="shared" si="74"/>
        <v>179306.49600000001</v>
      </c>
      <c r="AH59" s="30">
        <f t="shared" si="74"/>
        <v>358612.99200000003</v>
      </c>
      <c r="AI59" s="30">
        <f t="shared" si="74"/>
        <v>717225.98400000005</v>
      </c>
      <c r="AJ59" s="68">
        <f t="shared" si="74"/>
        <v>952234.70400000014</v>
      </c>
      <c r="AK59" s="45"/>
    </row>
    <row r="60" spans="1:37" x14ac:dyDescent="0.25">
      <c r="A60" s="41" t="s">
        <v>17</v>
      </c>
      <c r="B60" s="6">
        <f>'Population by Age - Wikipedia'!D10</f>
        <v>0.14348178625853722</v>
      </c>
      <c r="C60" s="10">
        <f t="shared" si="66"/>
        <v>199749029.63054013</v>
      </c>
      <c r="D60" s="23">
        <f>'Infection Rate by Age'!B9</f>
        <v>0.219</v>
      </c>
      <c r="E60" s="17"/>
      <c r="F60" s="10"/>
      <c r="G60" s="14"/>
      <c r="H60" s="10"/>
      <c r="I60" s="10"/>
      <c r="J60" s="20">
        <f t="shared" ref="J60:AJ60" si="75">J$18*$D$60</f>
        <v>6.84375</v>
      </c>
      <c r="K60" s="21">
        <f t="shared" si="75"/>
        <v>13.6875</v>
      </c>
      <c r="L60" s="21">
        <f t="shared" si="75"/>
        <v>27.375</v>
      </c>
      <c r="M60" s="21">
        <f t="shared" si="75"/>
        <v>54.75</v>
      </c>
      <c r="N60" s="21">
        <f t="shared" si="75"/>
        <v>109.5</v>
      </c>
      <c r="O60" s="21">
        <f t="shared" si="75"/>
        <v>219</v>
      </c>
      <c r="P60" s="21">
        <f t="shared" si="75"/>
        <v>438</v>
      </c>
      <c r="Q60" s="21">
        <f t="shared" si="75"/>
        <v>876</v>
      </c>
      <c r="R60" s="21">
        <f t="shared" si="75"/>
        <v>1752</v>
      </c>
      <c r="S60" s="21">
        <f t="shared" si="75"/>
        <v>3504</v>
      </c>
      <c r="T60" s="21">
        <f t="shared" si="75"/>
        <v>7008</v>
      </c>
      <c r="U60" s="21">
        <f t="shared" si="75"/>
        <v>14016</v>
      </c>
      <c r="V60" s="21">
        <f t="shared" si="75"/>
        <v>28032</v>
      </c>
      <c r="W60" s="21">
        <f t="shared" si="75"/>
        <v>56064</v>
      </c>
      <c r="X60" s="21">
        <f t="shared" si="75"/>
        <v>112128</v>
      </c>
      <c r="Y60" s="21">
        <f t="shared" si="75"/>
        <v>224256</v>
      </c>
      <c r="Z60" s="21">
        <f t="shared" si="75"/>
        <v>448512</v>
      </c>
      <c r="AA60" s="21">
        <f t="shared" si="75"/>
        <v>897024</v>
      </c>
      <c r="AB60" s="21">
        <f t="shared" si="75"/>
        <v>1794048</v>
      </c>
      <c r="AC60" s="21">
        <f t="shared" si="75"/>
        <v>3588096</v>
      </c>
      <c r="AD60" s="21">
        <f t="shared" si="75"/>
        <v>7176192</v>
      </c>
      <c r="AE60" s="69">
        <f t="shared" si="75"/>
        <v>14352384</v>
      </c>
      <c r="AF60" s="20">
        <f t="shared" si="75"/>
        <v>28704768</v>
      </c>
      <c r="AG60" s="21">
        <f t="shared" si="75"/>
        <v>57409536</v>
      </c>
      <c r="AH60" s="21">
        <f t="shared" si="75"/>
        <v>114819072</v>
      </c>
      <c r="AI60" s="21">
        <f t="shared" si="75"/>
        <v>229638144</v>
      </c>
      <c r="AJ60" s="69">
        <f t="shared" si="75"/>
        <v>304882164</v>
      </c>
      <c r="AK60" s="45"/>
    </row>
    <row r="61" spans="1:37" x14ac:dyDescent="0.25">
      <c r="A61" s="41"/>
      <c r="B61" s="6"/>
      <c r="C61" s="10"/>
      <c r="D61" s="8"/>
      <c r="E61" s="27">
        <v>2E-3</v>
      </c>
      <c r="F61" s="15">
        <v>2.5999999999999999E-2</v>
      </c>
      <c r="G61" s="10"/>
      <c r="H61" s="15"/>
      <c r="I61" s="10"/>
      <c r="J61" s="29">
        <f t="shared" ref="J61:AJ61" si="76">J$18*$D$60*$E$61</f>
        <v>1.36875E-2</v>
      </c>
      <c r="K61" s="30">
        <f t="shared" si="76"/>
        <v>2.7375E-2</v>
      </c>
      <c r="L61" s="30">
        <f t="shared" si="76"/>
        <v>5.475E-2</v>
      </c>
      <c r="M61" s="30">
        <f t="shared" si="76"/>
        <v>0.1095</v>
      </c>
      <c r="N61" s="30">
        <f t="shared" si="76"/>
        <v>0.219</v>
      </c>
      <c r="O61" s="30">
        <f t="shared" si="76"/>
        <v>0.438</v>
      </c>
      <c r="P61" s="30">
        <f t="shared" si="76"/>
        <v>0.876</v>
      </c>
      <c r="Q61" s="30">
        <f t="shared" si="76"/>
        <v>1.752</v>
      </c>
      <c r="R61" s="30">
        <f t="shared" si="76"/>
        <v>3.504</v>
      </c>
      <c r="S61" s="30">
        <f t="shared" si="76"/>
        <v>7.008</v>
      </c>
      <c r="T61" s="30">
        <f t="shared" si="76"/>
        <v>14.016</v>
      </c>
      <c r="U61" s="30">
        <f t="shared" si="76"/>
        <v>28.032</v>
      </c>
      <c r="V61" s="30">
        <f t="shared" si="76"/>
        <v>56.064</v>
      </c>
      <c r="W61" s="30">
        <f t="shared" si="76"/>
        <v>112.128</v>
      </c>
      <c r="X61" s="30">
        <f t="shared" si="76"/>
        <v>224.256</v>
      </c>
      <c r="Y61" s="30">
        <f t="shared" si="76"/>
        <v>448.512</v>
      </c>
      <c r="Z61" s="30">
        <f t="shared" si="76"/>
        <v>897.024</v>
      </c>
      <c r="AA61" s="30">
        <f t="shared" si="76"/>
        <v>1794.048</v>
      </c>
      <c r="AB61" s="30">
        <f t="shared" si="76"/>
        <v>3588.096</v>
      </c>
      <c r="AC61" s="30">
        <f t="shared" si="76"/>
        <v>7176.192</v>
      </c>
      <c r="AD61" s="30">
        <f t="shared" si="76"/>
        <v>14352.384</v>
      </c>
      <c r="AE61" s="68">
        <f t="shared" si="76"/>
        <v>28704.768</v>
      </c>
      <c r="AF61" s="29">
        <f t="shared" si="76"/>
        <v>57409.536</v>
      </c>
      <c r="AG61" s="30">
        <f t="shared" si="76"/>
        <v>114819.072</v>
      </c>
      <c r="AH61" s="30">
        <f t="shared" si="76"/>
        <v>229638.144</v>
      </c>
      <c r="AI61" s="30">
        <f t="shared" si="76"/>
        <v>459276.288</v>
      </c>
      <c r="AJ61" s="68">
        <f t="shared" si="76"/>
        <v>609764.32799999998</v>
      </c>
      <c r="AK61" s="45"/>
    </row>
    <row r="62" spans="1:37" x14ac:dyDescent="0.25">
      <c r="A62" s="41" t="s">
        <v>18</v>
      </c>
      <c r="B62" s="6">
        <f>'Population by Age - Wikipedia'!D8</f>
        <v>0.17577512670206416</v>
      </c>
      <c r="C62" s="10">
        <f t="shared" si="66"/>
        <v>244706397.28903884</v>
      </c>
      <c r="D62" s="23">
        <f>'Infection Rate by Age'!B10</f>
        <v>0.23200000000000001</v>
      </c>
      <c r="E62" s="17"/>
      <c r="F62" s="10"/>
      <c r="G62" s="10"/>
      <c r="H62" s="10"/>
      <c r="I62" s="10"/>
      <c r="J62" s="20">
        <f t="shared" ref="J62:AJ62" si="77">J$18*$D$62</f>
        <v>7.25</v>
      </c>
      <c r="K62" s="21">
        <f t="shared" si="77"/>
        <v>14.5</v>
      </c>
      <c r="L62" s="21">
        <f t="shared" si="77"/>
        <v>29</v>
      </c>
      <c r="M62" s="21">
        <f t="shared" si="77"/>
        <v>58</v>
      </c>
      <c r="N62" s="21">
        <f t="shared" si="77"/>
        <v>116</v>
      </c>
      <c r="O62" s="21">
        <f t="shared" si="77"/>
        <v>232</v>
      </c>
      <c r="P62" s="21">
        <f t="shared" si="77"/>
        <v>464</v>
      </c>
      <c r="Q62" s="21">
        <f t="shared" si="77"/>
        <v>928</v>
      </c>
      <c r="R62" s="21">
        <f t="shared" si="77"/>
        <v>1856</v>
      </c>
      <c r="S62" s="21">
        <f t="shared" si="77"/>
        <v>3712</v>
      </c>
      <c r="T62" s="21">
        <f t="shared" si="77"/>
        <v>7424</v>
      </c>
      <c r="U62" s="21">
        <f t="shared" si="77"/>
        <v>14848</v>
      </c>
      <c r="V62" s="21">
        <f t="shared" si="77"/>
        <v>29696</v>
      </c>
      <c r="W62" s="21">
        <f t="shared" si="77"/>
        <v>59392</v>
      </c>
      <c r="X62" s="21">
        <f t="shared" si="77"/>
        <v>118784</v>
      </c>
      <c r="Y62" s="21">
        <f t="shared" si="77"/>
        <v>237568</v>
      </c>
      <c r="Z62" s="21">
        <f t="shared" si="77"/>
        <v>475136</v>
      </c>
      <c r="AA62" s="21">
        <f t="shared" si="77"/>
        <v>950272</v>
      </c>
      <c r="AB62" s="21">
        <f t="shared" si="77"/>
        <v>1900544</v>
      </c>
      <c r="AC62" s="21">
        <f t="shared" si="77"/>
        <v>3801088</v>
      </c>
      <c r="AD62" s="21">
        <f t="shared" si="77"/>
        <v>7602176</v>
      </c>
      <c r="AE62" s="69">
        <f t="shared" si="77"/>
        <v>15204352</v>
      </c>
      <c r="AF62" s="20">
        <f t="shared" si="77"/>
        <v>30408704</v>
      </c>
      <c r="AG62" s="21">
        <f t="shared" si="77"/>
        <v>60817408</v>
      </c>
      <c r="AH62" s="21">
        <f t="shared" si="77"/>
        <v>121634816</v>
      </c>
      <c r="AI62" s="21">
        <f t="shared" si="77"/>
        <v>243269632</v>
      </c>
      <c r="AJ62" s="69">
        <f t="shared" si="77"/>
        <v>322980192</v>
      </c>
      <c r="AK62" s="45"/>
    </row>
    <row r="63" spans="1:37" x14ac:dyDescent="0.25">
      <c r="A63" s="41"/>
      <c r="B63" s="6"/>
      <c r="C63" s="10"/>
      <c r="D63" s="8"/>
      <c r="E63" s="27">
        <v>2E-3</v>
      </c>
      <c r="F63" s="15">
        <v>2.5999999999999999E-2</v>
      </c>
      <c r="G63" s="10"/>
      <c r="H63" s="15"/>
      <c r="I63" s="10"/>
      <c r="J63" s="29">
        <f t="shared" ref="J63:AJ63" si="78">J$18*$D$62*$E$63</f>
        <v>1.4500000000000001E-2</v>
      </c>
      <c r="K63" s="30">
        <f t="shared" si="78"/>
        <v>2.9000000000000001E-2</v>
      </c>
      <c r="L63" s="30">
        <f t="shared" si="78"/>
        <v>5.8000000000000003E-2</v>
      </c>
      <c r="M63" s="30">
        <f t="shared" si="78"/>
        <v>0.11600000000000001</v>
      </c>
      <c r="N63" s="30">
        <f t="shared" si="78"/>
        <v>0.23200000000000001</v>
      </c>
      <c r="O63" s="30">
        <f t="shared" si="78"/>
        <v>0.46400000000000002</v>
      </c>
      <c r="P63" s="30">
        <f t="shared" si="78"/>
        <v>0.92800000000000005</v>
      </c>
      <c r="Q63" s="30">
        <f t="shared" si="78"/>
        <v>1.8560000000000001</v>
      </c>
      <c r="R63" s="30">
        <f t="shared" si="78"/>
        <v>3.7120000000000002</v>
      </c>
      <c r="S63" s="30">
        <f t="shared" si="78"/>
        <v>7.4240000000000004</v>
      </c>
      <c r="T63" s="30">
        <f t="shared" si="78"/>
        <v>14.848000000000001</v>
      </c>
      <c r="U63" s="30">
        <f t="shared" si="78"/>
        <v>29.696000000000002</v>
      </c>
      <c r="V63" s="30">
        <f t="shared" si="78"/>
        <v>59.392000000000003</v>
      </c>
      <c r="W63" s="30">
        <f t="shared" si="78"/>
        <v>118.78400000000001</v>
      </c>
      <c r="X63" s="30">
        <f t="shared" si="78"/>
        <v>237.56800000000001</v>
      </c>
      <c r="Y63" s="30">
        <f t="shared" si="78"/>
        <v>475.13600000000002</v>
      </c>
      <c r="Z63" s="30">
        <f t="shared" si="78"/>
        <v>950.27200000000005</v>
      </c>
      <c r="AA63" s="30">
        <f t="shared" si="78"/>
        <v>1900.5440000000001</v>
      </c>
      <c r="AB63" s="30">
        <f t="shared" si="78"/>
        <v>3801.0880000000002</v>
      </c>
      <c r="AC63" s="30">
        <f t="shared" si="78"/>
        <v>7602.1760000000004</v>
      </c>
      <c r="AD63" s="30">
        <f t="shared" si="78"/>
        <v>15204.352000000001</v>
      </c>
      <c r="AE63" s="68">
        <f t="shared" si="78"/>
        <v>30408.704000000002</v>
      </c>
      <c r="AF63" s="29">
        <f t="shared" si="78"/>
        <v>60817.408000000003</v>
      </c>
      <c r="AG63" s="30">
        <f t="shared" si="78"/>
        <v>121634.81600000001</v>
      </c>
      <c r="AH63" s="30">
        <f t="shared" si="78"/>
        <v>243269.63200000001</v>
      </c>
      <c r="AI63" s="30">
        <f t="shared" si="78"/>
        <v>486539.26400000002</v>
      </c>
      <c r="AJ63" s="68">
        <f t="shared" si="78"/>
        <v>645960.38399999996</v>
      </c>
      <c r="AK63" s="45"/>
    </row>
    <row r="64" spans="1:37" x14ac:dyDescent="0.25">
      <c r="A64" s="42" t="s">
        <v>19</v>
      </c>
      <c r="B64" s="6">
        <f>'Population by Age - Wikipedia'!D6</f>
        <v>0.20913789496692137</v>
      </c>
      <c r="C64" s="10">
        <f t="shared" si="66"/>
        <v>291152575.30556941</v>
      </c>
      <c r="D64" s="23">
        <f>'Infection Rate by Age'!B11</f>
        <v>3.7999999999999999E-2</v>
      </c>
      <c r="E64" s="17"/>
      <c r="F64" s="10"/>
      <c r="G64" s="10"/>
      <c r="H64" s="10"/>
      <c r="I64" s="10"/>
      <c r="J64" s="20">
        <f t="shared" ref="J64:AJ64" si="79">J$18*$D$64</f>
        <v>1.1875</v>
      </c>
      <c r="K64" s="21">
        <f t="shared" si="79"/>
        <v>2.375</v>
      </c>
      <c r="L64" s="21">
        <f t="shared" si="79"/>
        <v>4.75</v>
      </c>
      <c r="M64" s="21">
        <f t="shared" si="79"/>
        <v>9.5</v>
      </c>
      <c r="N64" s="21">
        <f t="shared" si="79"/>
        <v>19</v>
      </c>
      <c r="O64" s="21">
        <f t="shared" si="79"/>
        <v>38</v>
      </c>
      <c r="P64" s="21">
        <f t="shared" si="79"/>
        <v>76</v>
      </c>
      <c r="Q64" s="21">
        <f t="shared" si="79"/>
        <v>152</v>
      </c>
      <c r="R64" s="21">
        <f t="shared" si="79"/>
        <v>304</v>
      </c>
      <c r="S64" s="21">
        <f t="shared" si="79"/>
        <v>608</v>
      </c>
      <c r="T64" s="21">
        <f t="shared" si="79"/>
        <v>1216</v>
      </c>
      <c r="U64" s="21">
        <f t="shared" si="79"/>
        <v>2432</v>
      </c>
      <c r="V64" s="21">
        <f t="shared" si="79"/>
        <v>4864</v>
      </c>
      <c r="W64" s="21">
        <f t="shared" si="79"/>
        <v>9728</v>
      </c>
      <c r="X64" s="21">
        <f t="shared" si="79"/>
        <v>19456</v>
      </c>
      <c r="Y64" s="21">
        <f t="shared" si="79"/>
        <v>38912</v>
      </c>
      <c r="Z64" s="21">
        <f t="shared" si="79"/>
        <v>77824</v>
      </c>
      <c r="AA64" s="21">
        <f t="shared" si="79"/>
        <v>155648</v>
      </c>
      <c r="AB64" s="21">
        <f t="shared" si="79"/>
        <v>311296</v>
      </c>
      <c r="AC64" s="21">
        <f t="shared" si="79"/>
        <v>622592</v>
      </c>
      <c r="AD64" s="21">
        <f t="shared" si="79"/>
        <v>1245184</v>
      </c>
      <c r="AE64" s="69">
        <f t="shared" si="79"/>
        <v>2490368</v>
      </c>
      <c r="AF64" s="20">
        <f t="shared" si="79"/>
        <v>4980736</v>
      </c>
      <c r="AG64" s="21">
        <f t="shared" si="79"/>
        <v>9961472</v>
      </c>
      <c r="AH64" s="21">
        <f t="shared" si="79"/>
        <v>19922944</v>
      </c>
      <c r="AI64" s="21">
        <f t="shared" si="79"/>
        <v>39845888</v>
      </c>
      <c r="AJ64" s="69">
        <f t="shared" si="79"/>
        <v>52901928</v>
      </c>
      <c r="AK64" s="45"/>
    </row>
    <row r="65" spans="1:37" x14ac:dyDescent="0.25">
      <c r="A65" s="42"/>
      <c r="B65" s="6"/>
      <c r="C65" s="10"/>
      <c r="D65" s="8"/>
      <c r="E65" s="27">
        <v>2E-3</v>
      </c>
      <c r="F65" s="15"/>
      <c r="G65" s="10"/>
      <c r="H65" s="15"/>
      <c r="I65" s="10"/>
      <c r="J65" s="29">
        <f t="shared" ref="J65:AJ65" si="80">J$18*$D$64*$E$65</f>
        <v>2.3749999999999999E-3</v>
      </c>
      <c r="K65" s="30">
        <f t="shared" si="80"/>
        <v>4.7499999999999999E-3</v>
      </c>
      <c r="L65" s="30">
        <f t="shared" si="80"/>
        <v>9.4999999999999998E-3</v>
      </c>
      <c r="M65" s="30">
        <f t="shared" si="80"/>
        <v>1.9E-2</v>
      </c>
      <c r="N65" s="30">
        <f t="shared" si="80"/>
        <v>3.7999999999999999E-2</v>
      </c>
      <c r="O65" s="30">
        <f t="shared" si="80"/>
        <v>7.5999999999999998E-2</v>
      </c>
      <c r="P65" s="30">
        <f t="shared" si="80"/>
        <v>0.152</v>
      </c>
      <c r="Q65" s="30">
        <f t="shared" si="80"/>
        <v>0.30399999999999999</v>
      </c>
      <c r="R65" s="30">
        <f t="shared" si="80"/>
        <v>0.60799999999999998</v>
      </c>
      <c r="S65" s="30">
        <f t="shared" si="80"/>
        <v>1.216</v>
      </c>
      <c r="T65" s="30">
        <f t="shared" si="80"/>
        <v>2.4319999999999999</v>
      </c>
      <c r="U65" s="30">
        <f t="shared" si="80"/>
        <v>4.8639999999999999</v>
      </c>
      <c r="V65" s="30">
        <f t="shared" si="80"/>
        <v>9.7279999999999998</v>
      </c>
      <c r="W65" s="30">
        <f t="shared" si="80"/>
        <v>19.456</v>
      </c>
      <c r="X65" s="30">
        <f t="shared" si="80"/>
        <v>38.911999999999999</v>
      </c>
      <c r="Y65" s="30">
        <f t="shared" si="80"/>
        <v>77.823999999999998</v>
      </c>
      <c r="Z65" s="30">
        <f t="shared" si="80"/>
        <v>155.648</v>
      </c>
      <c r="AA65" s="30">
        <f t="shared" si="80"/>
        <v>311.29599999999999</v>
      </c>
      <c r="AB65" s="30">
        <f t="shared" si="80"/>
        <v>622.59199999999998</v>
      </c>
      <c r="AC65" s="30">
        <f t="shared" si="80"/>
        <v>1245.184</v>
      </c>
      <c r="AD65" s="30">
        <f t="shared" si="80"/>
        <v>2490.3679999999999</v>
      </c>
      <c r="AE65" s="68">
        <f t="shared" si="80"/>
        <v>4980.7359999999999</v>
      </c>
      <c r="AF65" s="29">
        <f t="shared" si="80"/>
        <v>9961.4719999999998</v>
      </c>
      <c r="AG65" s="30">
        <f t="shared" si="80"/>
        <v>19922.944</v>
      </c>
      <c r="AH65" s="30">
        <f t="shared" si="80"/>
        <v>39845.887999999999</v>
      </c>
      <c r="AI65" s="30">
        <f t="shared" si="80"/>
        <v>79691.775999999998</v>
      </c>
      <c r="AJ65" s="68">
        <f t="shared" si="80"/>
        <v>105803.856</v>
      </c>
      <c r="AK65" s="45"/>
    </row>
    <row r="66" spans="1:37" x14ac:dyDescent="0.25">
      <c r="A66" s="42" t="s">
        <v>20</v>
      </c>
      <c r="B66" s="6">
        <f>'Population by Age - Wikipedia'!D4</f>
        <v>0.19798812289970874</v>
      </c>
      <c r="C66" s="10">
        <f t="shared" si="66"/>
        <v>275630353.22356695</v>
      </c>
      <c r="D66" s="23">
        <f>'Infection Rate by Age'!B12</f>
        <v>2.1000000000000001E-2</v>
      </c>
      <c r="E66" s="17"/>
      <c r="F66" s="10"/>
      <c r="G66" s="10"/>
      <c r="H66" s="10"/>
      <c r="I66" s="10"/>
      <c r="J66" s="20">
        <f t="shared" ref="J66:AJ66" si="81">J$18*$D$66</f>
        <v>0.65625</v>
      </c>
      <c r="K66" s="21">
        <f t="shared" si="81"/>
        <v>1.3125</v>
      </c>
      <c r="L66" s="21">
        <f t="shared" si="81"/>
        <v>2.625</v>
      </c>
      <c r="M66" s="21">
        <f t="shared" si="81"/>
        <v>5.25</v>
      </c>
      <c r="N66" s="21">
        <f t="shared" si="81"/>
        <v>10.5</v>
      </c>
      <c r="O66" s="21">
        <f t="shared" si="81"/>
        <v>21</v>
      </c>
      <c r="P66" s="21">
        <f t="shared" si="81"/>
        <v>42</v>
      </c>
      <c r="Q66" s="21">
        <f t="shared" si="81"/>
        <v>84</v>
      </c>
      <c r="R66" s="21">
        <f t="shared" si="81"/>
        <v>168</v>
      </c>
      <c r="S66" s="21">
        <f t="shared" si="81"/>
        <v>336</v>
      </c>
      <c r="T66" s="21">
        <f t="shared" si="81"/>
        <v>672</v>
      </c>
      <c r="U66" s="21">
        <f t="shared" si="81"/>
        <v>1344</v>
      </c>
      <c r="V66" s="21">
        <f t="shared" si="81"/>
        <v>2688</v>
      </c>
      <c r="W66" s="21">
        <f t="shared" si="81"/>
        <v>5376</v>
      </c>
      <c r="X66" s="21">
        <f t="shared" si="81"/>
        <v>10752</v>
      </c>
      <c r="Y66" s="21">
        <f t="shared" si="81"/>
        <v>21504</v>
      </c>
      <c r="Z66" s="21">
        <f t="shared" si="81"/>
        <v>43008</v>
      </c>
      <c r="AA66" s="21">
        <f t="shared" si="81"/>
        <v>86016</v>
      </c>
      <c r="AB66" s="21">
        <f t="shared" si="81"/>
        <v>172032</v>
      </c>
      <c r="AC66" s="21">
        <f t="shared" si="81"/>
        <v>344064</v>
      </c>
      <c r="AD66" s="21">
        <f t="shared" si="81"/>
        <v>688128</v>
      </c>
      <c r="AE66" s="69">
        <f t="shared" si="81"/>
        <v>1376256</v>
      </c>
      <c r="AF66" s="20">
        <f t="shared" si="81"/>
        <v>2752512</v>
      </c>
      <c r="AG66" s="21">
        <f t="shared" si="81"/>
        <v>5505024</v>
      </c>
      <c r="AH66" s="21">
        <f t="shared" si="81"/>
        <v>11010048</v>
      </c>
      <c r="AI66" s="21">
        <f t="shared" si="81"/>
        <v>22020096</v>
      </c>
      <c r="AJ66" s="69">
        <f t="shared" si="81"/>
        <v>29235276</v>
      </c>
      <c r="AK66" s="45"/>
    </row>
    <row r="67" spans="1:37" x14ac:dyDescent="0.25">
      <c r="A67" s="42"/>
      <c r="B67" s="7"/>
      <c r="C67" s="11"/>
      <c r="D67" s="26"/>
      <c r="E67" s="28">
        <v>0</v>
      </c>
      <c r="F67" s="15"/>
      <c r="G67" s="10"/>
      <c r="H67" s="10"/>
      <c r="I67" s="10"/>
      <c r="J67" s="31">
        <f t="shared" ref="J67:AJ67" si="82">J$18*$D$66*$E$67</f>
        <v>0</v>
      </c>
      <c r="K67" s="32">
        <f t="shared" si="82"/>
        <v>0</v>
      </c>
      <c r="L67" s="32">
        <f t="shared" si="82"/>
        <v>0</v>
      </c>
      <c r="M67" s="32">
        <f t="shared" si="82"/>
        <v>0</v>
      </c>
      <c r="N67" s="32">
        <f t="shared" si="82"/>
        <v>0</v>
      </c>
      <c r="O67" s="32">
        <f t="shared" si="82"/>
        <v>0</v>
      </c>
      <c r="P67" s="32">
        <f t="shared" si="82"/>
        <v>0</v>
      </c>
      <c r="Q67" s="32">
        <f t="shared" si="82"/>
        <v>0</v>
      </c>
      <c r="R67" s="32">
        <f t="shared" si="82"/>
        <v>0</v>
      </c>
      <c r="S67" s="32">
        <f t="shared" si="82"/>
        <v>0</v>
      </c>
      <c r="T67" s="32">
        <f t="shared" si="82"/>
        <v>0</v>
      </c>
      <c r="U67" s="32">
        <f t="shared" si="82"/>
        <v>0</v>
      </c>
      <c r="V67" s="32">
        <f t="shared" si="82"/>
        <v>0</v>
      </c>
      <c r="W67" s="32">
        <f t="shared" si="82"/>
        <v>0</v>
      </c>
      <c r="X67" s="32">
        <f t="shared" si="82"/>
        <v>0</v>
      </c>
      <c r="Y67" s="32">
        <f t="shared" si="82"/>
        <v>0</v>
      </c>
      <c r="Z67" s="32">
        <f t="shared" si="82"/>
        <v>0</v>
      </c>
      <c r="AA67" s="32">
        <f t="shared" si="82"/>
        <v>0</v>
      </c>
      <c r="AB67" s="32">
        <f t="shared" si="82"/>
        <v>0</v>
      </c>
      <c r="AC67" s="32">
        <f t="shared" si="82"/>
        <v>0</v>
      </c>
      <c r="AD67" s="32">
        <f t="shared" si="82"/>
        <v>0</v>
      </c>
      <c r="AE67" s="70">
        <f t="shared" si="82"/>
        <v>0</v>
      </c>
      <c r="AF67" s="29">
        <f t="shared" si="82"/>
        <v>0</v>
      </c>
      <c r="AG67" s="30">
        <f t="shared" si="82"/>
        <v>0</v>
      </c>
      <c r="AH67" s="30">
        <f t="shared" si="82"/>
        <v>0</v>
      </c>
      <c r="AI67" s="30">
        <f t="shared" si="82"/>
        <v>0</v>
      </c>
      <c r="AJ67" s="68">
        <f t="shared" si="82"/>
        <v>0</v>
      </c>
      <c r="AK67" s="45"/>
    </row>
    <row r="68" spans="1:37" x14ac:dyDescent="0.25">
      <c r="A68" s="41" t="s">
        <v>39</v>
      </c>
      <c r="B68" s="14"/>
      <c r="C68" s="10"/>
      <c r="D68" s="10"/>
      <c r="E68" s="15"/>
      <c r="F68" s="10"/>
      <c r="G68" s="10"/>
      <c r="H68" s="10"/>
      <c r="I68" s="10"/>
      <c r="J68" s="18">
        <f t="shared" ref="J68:Z68" si="83">SUM(J50,J52,J54,J56,J58,J60,J62,J64,J66)</f>
        <v>31.25</v>
      </c>
      <c r="K68" s="19">
        <f t="shared" si="83"/>
        <v>62.5</v>
      </c>
      <c r="L68" s="19">
        <f t="shared" si="83"/>
        <v>125</v>
      </c>
      <c r="M68" s="19">
        <f t="shared" si="83"/>
        <v>250</v>
      </c>
      <c r="N68" s="19">
        <f t="shared" si="83"/>
        <v>500</v>
      </c>
      <c r="O68" s="19">
        <f>SUM(O50,O52,O54,O56,O58,O60,O62,O64,O66)</f>
        <v>1000</v>
      </c>
      <c r="P68" s="19">
        <f t="shared" si="83"/>
        <v>2000</v>
      </c>
      <c r="Q68" s="19">
        <f t="shared" si="83"/>
        <v>4000</v>
      </c>
      <c r="R68" s="19">
        <f t="shared" si="83"/>
        <v>8000</v>
      </c>
      <c r="S68" s="19">
        <f t="shared" si="83"/>
        <v>16000</v>
      </c>
      <c r="T68" s="19">
        <f t="shared" si="83"/>
        <v>32000</v>
      </c>
      <c r="U68" s="19">
        <f t="shared" si="83"/>
        <v>64000</v>
      </c>
      <c r="V68" s="19">
        <f t="shared" si="83"/>
        <v>128000</v>
      </c>
      <c r="W68" s="19">
        <f t="shared" si="83"/>
        <v>256000</v>
      </c>
      <c r="X68" s="19">
        <f t="shared" si="83"/>
        <v>512000</v>
      </c>
      <c r="Y68" s="19">
        <f t="shared" si="83"/>
        <v>1024000</v>
      </c>
      <c r="Z68" s="19">
        <f t="shared" si="83"/>
        <v>2048000</v>
      </c>
      <c r="AA68" s="19">
        <f t="shared" ref="AA68:AC69" si="84">SUM(AA50,AA52,AA54,AA56,AA58,AA60,AA62,AA64,AA66)</f>
        <v>4096000</v>
      </c>
      <c r="AB68" s="19">
        <f t="shared" si="84"/>
        <v>8192000</v>
      </c>
      <c r="AC68" s="19">
        <f t="shared" si="84"/>
        <v>16384000</v>
      </c>
      <c r="AD68" s="19">
        <f t="shared" ref="AD68:AJ68" si="85">SUM(AD50,AD52,AD54,AD56,AD58,AD60,AD62,AD64,AD66)</f>
        <v>32768000</v>
      </c>
      <c r="AE68" s="19">
        <f t="shared" si="85"/>
        <v>65536000</v>
      </c>
      <c r="AF68" s="18">
        <f t="shared" si="85"/>
        <v>131072000</v>
      </c>
      <c r="AG68" s="19">
        <f t="shared" si="85"/>
        <v>262144000</v>
      </c>
      <c r="AH68" s="19">
        <f t="shared" ref="AH68" si="86">SUM(AH50,AH52,AH54,AH56,AH58,AH60,AH62,AH64,AH66)</f>
        <v>524288000</v>
      </c>
      <c r="AI68" s="19">
        <f t="shared" si="85"/>
        <v>1048576000</v>
      </c>
      <c r="AJ68" s="59">
        <f t="shared" si="85"/>
        <v>1392156000</v>
      </c>
      <c r="AK68" s="45"/>
    </row>
    <row r="69" spans="1:37" x14ac:dyDescent="0.25">
      <c r="A69" s="43" t="s">
        <v>38</v>
      </c>
      <c r="B69" s="44"/>
      <c r="C69" s="11"/>
      <c r="D69" s="11"/>
      <c r="E69" s="38"/>
      <c r="F69" s="11"/>
      <c r="G69" s="11"/>
      <c r="H69" s="11"/>
      <c r="I69" s="11"/>
      <c r="J69" s="31">
        <f>SUM(J51,J53,J55,J57,J59,J61,J63,J65,J67)</f>
        <v>0.37140624999999999</v>
      </c>
      <c r="K69" s="32">
        <f>SUM(K51,K53,K55,K57,K59,K61,K63,K65,K67)</f>
        <v>0.74281249999999999</v>
      </c>
      <c r="L69" s="32">
        <f t="shared" ref="L69:Z69" si="87">SUM(L51,L53,L55,L57,L59,L61,L63,L65,L67)</f>
        <v>1.485625</v>
      </c>
      <c r="M69" s="32">
        <f t="shared" si="87"/>
        <v>2.9712499999999999</v>
      </c>
      <c r="N69" s="32">
        <f t="shared" si="87"/>
        <v>5.9424999999999999</v>
      </c>
      <c r="O69" s="32">
        <f t="shared" si="87"/>
        <v>11.885</v>
      </c>
      <c r="P69" s="32">
        <f t="shared" si="87"/>
        <v>23.77</v>
      </c>
      <c r="Q69" s="32">
        <f t="shared" si="87"/>
        <v>47.54</v>
      </c>
      <c r="R69" s="32">
        <f t="shared" si="87"/>
        <v>95.08</v>
      </c>
      <c r="S69" s="32">
        <f t="shared" si="87"/>
        <v>190.16</v>
      </c>
      <c r="T69" s="32">
        <f t="shared" si="87"/>
        <v>380.32</v>
      </c>
      <c r="U69" s="32">
        <f t="shared" si="87"/>
        <v>760.64</v>
      </c>
      <c r="V69" s="32">
        <f t="shared" si="87"/>
        <v>1521.28</v>
      </c>
      <c r="W69" s="32">
        <f t="shared" si="87"/>
        <v>3042.56</v>
      </c>
      <c r="X69" s="32">
        <f t="shared" si="87"/>
        <v>6085.12</v>
      </c>
      <c r="Y69" s="32">
        <f t="shared" si="87"/>
        <v>12170.24</v>
      </c>
      <c r="Z69" s="32">
        <f t="shared" si="87"/>
        <v>24340.48</v>
      </c>
      <c r="AA69" s="32">
        <f t="shared" si="84"/>
        <v>48680.959999999999</v>
      </c>
      <c r="AB69" s="32">
        <f t="shared" si="84"/>
        <v>97361.919999999998</v>
      </c>
      <c r="AC69" s="32">
        <f t="shared" si="84"/>
        <v>194723.84</v>
      </c>
      <c r="AD69" s="32">
        <f t="shared" ref="AD69:AJ69" si="88">SUM(AD51,AD53,AD55,AD57,AD59,AD61,AD63,AD65,AD67)</f>
        <v>389447.67999999999</v>
      </c>
      <c r="AE69" s="32">
        <f t="shared" si="88"/>
        <v>778895.35999999999</v>
      </c>
      <c r="AF69" s="31">
        <f t="shared" si="88"/>
        <v>1557790.72</v>
      </c>
      <c r="AG69" s="32">
        <f t="shared" si="88"/>
        <v>3115581.4399999999</v>
      </c>
      <c r="AH69" s="32">
        <f t="shared" ref="AH69" si="89">SUM(AH51,AH53,AH55,AH57,AH59,AH61,AH63,AH65,AH67)</f>
        <v>6231162.8799999999</v>
      </c>
      <c r="AI69" s="32">
        <f t="shared" si="88"/>
        <v>12462325.76</v>
      </c>
      <c r="AJ69" s="70">
        <f t="shared" si="88"/>
        <v>16545774.059999999</v>
      </c>
      <c r="AK69" s="45"/>
    </row>
    <row r="70" spans="1:37" x14ac:dyDescent="0.25">
      <c r="A70" s="42"/>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53" t="s">
        <v>49</v>
      </c>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7" x14ac:dyDescent="0.25">
      <c r="A72" s="4"/>
      <c r="B72" s="9" t="s">
        <v>5</v>
      </c>
      <c r="C72" s="9" t="s">
        <v>3</v>
      </c>
      <c r="D72" s="9"/>
      <c r="E72" s="58"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5"/>
      <c r="AK72" s="47"/>
    </row>
    <row r="73" spans="1:37" x14ac:dyDescent="0.25">
      <c r="A73" s="48" t="s">
        <v>1</v>
      </c>
      <c r="B73" s="24">
        <v>3.9E-2</v>
      </c>
      <c r="C73" s="10">
        <f>$B$5 * B73</f>
        <v>54294084</v>
      </c>
      <c r="D73" s="16"/>
      <c r="E73" s="16"/>
      <c r="F73" s="16"/>
      <c r="G73" s="16"/>
      <c r="H73" s="16"/>
      <c r="I73" s="16"/>
      <c r="J73" s="18">
        <f t="shared" ref="J73:AJ73" si="90">J$18*$B$73</f>
        <v>1.21875</v>
      </c>
      <c r="K73" s="19">
        <f t="shared" si="90"/>
        <v>2.4375</v>
      </c>
      <c r="L73" s="19">
        <f t="shared" si="90"/>
        <v>4.875</v>
      </c>
      <c r="M73" s="19">
        <f t="shared" si="90"/>
        <v>9.75</v>
      </c>
      <c r="N73" s="19">
        <f t="shared" si="90"/>
        <v>19.5</v>
      </c>
      <c r="O73" s="19">
        <f t="shared" si="90"/>
        <v>39</v>
      </c>
      <c r="P73" s="19">
        <f t="shared" si="90"/>
        <v>78</v>
      </c>
      <c r="Q73" s="19">
        <f t="shared" si="90"/>
        <v>156</v>
      </c>
      <c r="R73" s="19">
        <f t="shared" si="90"/>
        <v>312</v>
      </c>
      <c r="S73" s="19">
        <f t="shared" si="90"/>
        <v>624</v>
      </c>
      <c r="T73" s="19">
        <f t="shared" si="90"/>
        <v>1248</v>
      </c>
      <c r="U73" s="19">
        <f t="shared" si="90"/>
        <v>2496</v>
      </c>
      <c r="V73" s="19">
        <f t="shared" si="90"/>
        <v>4992</v>
      </c>
      <c r="W73" s="19">
        <f t="shared" si="90"/>
        <v>9984</v>
      </c>
      <c r="X73" s="19">
        <f t="shared" si="90"/>
        <v>19968</v>
      </c>
      <c r="Y73" s="19">
        <f t="shared" si="90"/>
        <v>39936</v>
      </c>
      <c r="Z73" s="19">
        <f t="shared" si="90"/>
        <v>79872</v>
      </c>
      <c r="AA73" s="19">
        <f t="shared" si="90"/>
        <v>159744</v>
      </c>
      <c r="AB73" s="19">
        <f t="shared" si="90"/>
        <v>319488</v>
      </c>
      <c r="AC73" s="19">
        <f t="shared" si="90"/>
        <v>638976</v>
      </c>
      <c r="AD73" s="19">
        <f t="shared" si="90"/>
        <v>1277952</v>
      </c>
      <c r="AE73" s="19">
        <f t="shared" si="90"/>
        <v>2555904</v>
      </c>
      <c r="AF73" s="18">
        <f t="shared" si="90"/>
        <v>5111808</v>
      </c>
      <c r="AG73" s="19">
        <f t="shared" si="90"/>
        <v>10223616</v>
      </c>
      <c r="AH73" s="19">
        <f t="shared" si="90"/>
        <v>20447232</v>
      </c>
      <c r="AI73" s="19">
        <f t="shared" si="90"/>
        <v>40894464</v>
      </c>
      <c r="AJ73" s="59">
        <f t="shared" si="90"/>
        <v>54294084</v>
      </c>
      <c r="AK73" s="45"/>
    </row>
    <row r="74" spans="1:37" x14ac:dyDescent="0.25">
      <c r="A74" s="48"/>
      <c r="B74" s="16"/>
      <c r="C74" s="16"/>
      <c r="D74" s="25"/>
      <c r="E74" s="46">
        <v>0.105</v>
      </c>
      <c r="F74" s="16"/>
      <c r="G74" s="16"/>
      <c r="H74" s="16"/>
      <c r="I74" s="16"/>
      <c r="J74" s="29">
        <f>J73*$E$74</f>
        <v>0.12796874999999999</v>
      </c>
      <c r="K74" s="30">
        <f t="shared" ref="K74:Z74" si="91">K73*$E$74</f>
        <v>0.25593749999999998</v>
      </c>
      <c r="L74" s="30">
        <f t="shared" si="91"/>
        <v>0.51187499999999997</v>
      </c>
      <c r="M74" s="30">
        <f t="shared" si="91"/>
        <v>1.0237499999999999</v>
      </c>
      <c r="N74" s="30">
        <f t="shared" si="91"/>
        <v>2.0474999999999999</v>
      </c>
      <c r="O74" s="30">
        <f t="shared" si="91"/>
        <v>4.0949999999999998</v>
      </c>
      <c r="P74" s="30">
        <f t="shared" si="91"/>
        <v>8.19</v>
      </c>
      <c r="Q74" s="30">
        <f t="shared" si="91"/>
        <v>16.38</v>
      </c>
      <c r="R74" s="30">
        <f t="shared" si="91"/>
        <v>32.76</v>
      </c>
      <c r="S74" s="30">
        <f t="shared" si="91"/>
        <v>65.52</v>
      </c>
      <c r="T74" s="30">
        <f t="shared" si="91"/>
        <v>131.04</v>
      </c>
      <c r="U74" s="30">
        <f t="shared" si="91"/>
        <v>262.08</v>
      </c>
      <c r="V74" s="30">
        <f t="shared" si="91"/>
        <v>524.16</v>
      </c>
      <c r="W74" s="30">
        <f t="shared" si="91"/>
        <v>1048.32</v>
      </c>
      <c r="X74" s="30">
        <f t="shared" si="91"/>
        <v>2096.64</v>
      </c>
      <c r="Y74" s="30">
        <f t="shared" si="91"/>
        <v>4193.28</v>
      </c>
      <c r="Z74" s="30">
        <f t="shared" si="91"/>
        <v>8386.56</v>
      </c>
      <c r="AA74" s="30">
        <f>AA73*$E$74</f>
        <v>16773.12</v>
      </c>
      <c r="AB74" s="30">
        <f>AB73*$E$74</f>
        <v>33546.239999999998</v>
      </c>
      <c r="AC74" s="30">
        <f>AC73*$E$74</f>
        <v>67092.479999999996</v>
      </c>
      <c r="AD74" s="30">
        <f t="shared" ref="AD74:AJ74" si="92">AD73*$E$74</f>
        <v>134184.95999999999</v>
      </c>
      <c r="AE74" s="30">
        <f t="shared" si="92"/>
        <v>268369.91999999998</v>
      </c>
      <c r="AF74" s="29">
        <f t="shared" si="92"/>
        <v>536739.83999999997</v>
      </c>
      <c r="AG74" s="30">
        <f t="shared" si="92"/>
        <v>1073479.6799999999</v>
      </c>
      <c r="AH74" s="30">
        <f t="shared" ref="AH74" si="93">AH73*$E$74</f>
        <v>2146959.3599999999</v>
      </c>
      <c r="AI74" s="30">
        <f t="shared" si="92"/>
        <v>4293918.7199999997</v>
      </c>
      <c r="AJ74" s="68">
        <f t="shared" si="92"/>
        <v>5700878.8199999994</v>
      </c>
      <c r="AK74" s="45"/>
    </row>
    <row r="75" spans="1:37" x14ac:dyDescent="0.25">
      <c r="A75" s="48" t="s">
        <v>4</v>
      </c>
      <c r="B75" s="24">
        <v>8.8999999999999996E-2</v>
      </c>
      <c r="C75" s="10">
        <f>$B$5 * B75</f>
        <v>123901884</v>
      </c>
      <c r="D75" s="47"/>
      <c r="E75" s="16"/>
      <c r="F75" s="16"/>
      <c r="G75" s="16"/>
      <c r="H75" s="16"/>
      <c r="I75" s="16"/>
      <c r="J75" s="20">
        <f t="shared" ref="J75:AJ75" si="94">J$18*$B$75</f>
        <v>2.78125</v>
      </c>
      <c r="K75" s="21">
        <f t="shared" si="94"/>
        <v>5.5625</v>
      </c>
      <c r="L75" s="21">
        <f t="shared" si="94"/>
        <v>11.125</v>
      </c>
      <c r="M75" s="21">
        <f t="shared" si="94"/>
        <v>22.25</v>
      </c>
      <c r="N75" s="21">
        <f t="shared" si="94"/>
        <v>44.5</v>
      </c>
      <c r="O75" s="21">
        <f t="shared" si="94"/>
        <v>89</v>
      </c>
      <c r="P75" s="21">
        <f t="shared" si="94"/>
        <v>178</v>
      </c>
      <c r="Q75" s="21">
        <f t="shared" si="94"/>
        <v>356</v>
      </c>
      <c r="R75" s="21">
        <f t="shared" si="94"/>
        <v>712</v>
      </c>
      <c r="S75" s="21">
        <f t="shared" si="94"/>
        <v>1424</v>
      </c>
      <c r="T75" s="21">
        <f t="shared" si="94"/>
        <v>2848</v>
      </c>
      <c r="U75" s="21">
        <f t="shared" si="94"/>
        <v>5696</v>
      </c>
      <c r="V75" s="21">
        <f t="shared" si="94"/>
        <v>11392</v>
      </c>
      <c r="W75" s="21">
        <f t="shared" si="94"/>
        <v>22784</v>
      </c>
      <c r="X75" s="21">
        <f t="shared" si="94"/>
        <v>45568</v>
      </c>
      <c r="Y75" s="21">
        <f t="shared" si="94"/>
        <v>91136</v>
      </c>
      <c r="Z75" s="21">
        <f t="shared" si="94"/>
        <v>182272</v>
      </c>
      <c r="AA75" s="21">
        <f t="shared" si="94"/>
        <v>364544</v>
      </c>
      <c r="AB75" s="21">
        <f t="shared" si="94"/>
        <v>729088</v>
      </c>
      <c r="AC75" s="21">
        <f t="shared" si="94"/>
        <v>1458176</v>
      </c>
      <c r="AD75" s="21">
        <f t="shared" si="94"/>
        <v>2916352</v>
      </c>
      <c r="AE75" s="21">
        <f t="shared" si="94"/>
        <v>5832704</v>
      </c>
      <c r="AF75" s="20">
        <f t="shared" si="94"/>
        <v>11665408</v>
      </c>
      <c r="AG75" s="21">
        <f t="shared" si="94"/>
        <v>23330816</v>
      </c>
      <c r="AH75" s="21">
        <f t="shared" si="94"/>
        <v>46661632</v>
      </c>
      <c r="AI75" s="21">
        <f t="shared" si="94"/>
        <v>93323264</v>
      </c>
      <c r="AJ75" s="69">
        <f t="shared" si="94"/>
        <v>123901884</v>
      </c>
      <c r="AK75" s="45"/>
    </row>
    <row r="76" spans="1:37" x14ac:dyDescent="0.25">
      <c r="A76" s="48"/>
      <c r="B76" s="16"/>
      <c r="C76" s="16"/>
      <c r="D76" s="25"/>
      <c r="E76" s="46">
        <v>7.2999999999999995E-2</v>
      </c>
      <c r="F76" s="16"/>
      <c r="G76" s="16"/>
      <c r="H76" s="16"/>
      <c r="I76" s="16"/>
      <c r="J76" s="29">
        <f t="shared" ref="J76:Z76" si="95">J75*$E$76</f>
        <v>0.20303125</v>
      </c>
      <c r="K76" s="30">
        <f t="shared" si="95"/>
        <v>0.40606249999999999</v>
      </c>
      <c r="L76" s="30">
        <f t="shared" si="95"/>
        <v>0.81212499999999999</v>
      </c>
      <c r="M76" s="30">
        <f t="shared" si="95"/>
        <v>1.62425</v>
      </c>
      <c r="N76" s="30">
        <f t="shared" si="95"/>
        <v>3.2484999999999999</v>
      </c>
      <c r="O76" s="30">
        <f t="shared" si="95"/>
        <v>6.4969999999999999</v>
      </c>
      <c r="P76" s="30">
        <f t="shared" si="95"/>
        <v>12.994</v>
      </c>
      <c r="Q76" s="30">
        <f t="shared" si="95"/>
        <v>25.988</v>
      </c>
      <c r="R76" s="30">
        <f t="shared" si="95"/>
        <v>51.975999999999999</v>
      </c>
      <c r="S76" s="30">
        <f t="shared" si="95"/>
        <v>103.952</v>
      </c>
      <c r="T76" s="30">
        <f t="shared" si="95"/>
        <v>207.904</v>
      </c>
      <c r="U76" s="30">
        <f t="shared" si="95"/>
        <v>415.80799999999999</v>
      </c>
      <c r="V76" s="30">
        <f t="shared" si="95"/>
        <v>831.61599999999999</v>
      </c>
      <c r="W76" s="30">
        <f t="shared" si="95"/>
        <v>1663.232</v>
      </c>
      <c r="X76" s="30">
        <f t="shared" si="95"/>
        <v>3326.4639999999999</v>
      </c>
      <c r="Y76" s="30">
        <f t="shared" si="95"/>
        <v>6652.9279999999999</v>
      </c>
      <c r="Z76" s="30">
        <f t="shared" si="95"/>
        <v>13305.856</v>
      </c>
      <c r="AA76" s="30">
        <f>AA75*$E$76</f>
        <v>26611.712</v>
      </c>
      <c r="AB76" s="30">
        <f>AB75*$E$76</f>
        <v>53223.423999999999</v>
      </c>
      <c r="AC76" s="30">
        <f>AC75*$E$76</f>
        <v>106446.848</v>
      </c>
      <c r="AD76" s="30">
        <f t="shared" ref="AD76:AJ76" si="96">AD75*$E$76</f>
        <v>212893.696</v>
      </c>
      <c r="AE76" s="30">
        <f t="shared" si="96"/>
        <v>425787.39199999999</v>
      </c>
      <c r="AF76" s="29">
        <f t="shared" si="96"/>
        <v>851574.78399999999</v>
      </c>
      <c r="AG76" s="30">
        <f t="shared" si="96"/>
        <v>1703149.568</v>
      </c>
      <c r="AH76" s="30">
        <f t="shared" ref="AH76" si="97">AH75*$E$76</f>
        <v>3406299.1359999999</v>
      </c>
      <c r="AI76" s="30">
        <f t="shared" si="96"/>
        <v>6812598.2719999999</v>
      </c>
      <c r="AJ76" s="68">
        <f t="shared" si="96"/>
        <v>9044837.5319999997</v>
      </c>
      <c r="AK76" s="45"/>
    </row>
    <row r="77" spans="1:37" x14ac:dyDescent="0.25">
      <c r="A77" s="48" t="s">
        <v>6</v>
      </c>
      <c r="B77" s="24">
        <v>0.2</v>
      </c>
      <c r="C77" s="10">
        <f>$B$5 * B77</f>
        <v>278431200</v>
      </c>
      <c r="D77" s="47"/>
      <c r="E77" s="16"/>
      <c r="F77" s="16"/>
      <c r="G77" s="16"/>
      <c r="H77" s="16"/>
      <c r="I77" s="16"/>
      <c r="J77" s="20">
        <f t="shared" ref="J77:AJ77" si="98">J$18*$B$77</f>
        <v>6.25</v>
      </c>
      <c r="K77" s="21">
        <f t="shared" si="98"/>
        <v>12.5</v>
      </c>
      <c r="L77" s="21">
        <f t="shared" si="98"/>
        <v>25</v>
      </c>
      <c r="M77" s="21">
        <f t="shared" si="98"/>
        <v>50</v>
      </c>
      <c r="N77" s="21">
        <f t="shared" si="98"/>
        <v>100</v>
      </c>
      <c r="O77" s="21">
        <f t="shared" si="98"/>
        <v>200</v>
      </c>
      <c r="P77" s="21">
        <f t="shared" si="98"/>
        <v>400</v>
      </c>
      <c r="Q77" s="21">
        <f t="shared" si="98"/>
        <v>800</v>
      </c>
      <c r="R77" s="21">
        <f t="shared" si="98"/>
        <v>1600</v>
      </c>
      <c r="S77" s="21">
        <f t="shared" si="98"/>
        <v>3200</v>
      </c>
      <c r="T77" s="21">
        <f t="shared" si="98"/>
        <v>6400</v>
      </c>
      <c r="U77" s="21">
        <f t="shared" si="98"/>
        <v>12800</v>
      </c>
      <c r="V77" s="21">
        <f t="shared" si="98"/>
        <v>25600</v>
      </c>
      <c r="W77" s="21">
        <f t="shared" si="98"/>
        <v>51200</v>
      </c>
      <c r="X77" s="21">
        <f t="shared" si="98"/>
        <v>102400</v>
      </c>
      <c r="Y77" s="21">
        <f t="shared" si="98"/>
        <v>204800</v>
      </c>
      <c r="Z77" s="21">
        <f t="shared" si="98"/>
        <v>409600</v>
      </c>
      <c r="AA77" s="21">
        <f t="shared" si="98"/>
        <v>819200</v>
      </c>
      <c r="AB77" s="21">
        <f t="shared" si="98"/>
        <v>1638400</v>
      </c>
      <c r="AC77" s="21">
        <f t="shared" si="98"/>
        <v>3276800</v>
      </c>
      <c r="AD77" s="21">
        <f t="shared" si="98"/>
        <v>6553600</v>
      </c>
      <c r="AE77" s="21">
        <f t="shared" si="98"/>
        <v>13107200</v>
      </c>
      <c r="AF77" s="20">
        <f t="shared" si="98"/>
        <v>26214400</v>
      </c>
      <c r="AG77" s="21">
        <f t="shared" si="98"/>
        <v>52428800</v>
      </c>
      <c r="AH77" s="21">
        <f t="shared" si="98"/>
        <v>104857600</v>
      </c>
      <c r="AI77" s="21">
        <f t="shared" si="98"/>
        <v>209715200</v>
      </c>
      <c r="AJ77" s="69">
        <f t="shared" si="98"/>
        <v>278431200</v>
      </c>
      <c r="AK77" s="45"/>
    </row>
    <row r="78" spans="1:37" x14ac:dyDescent="0.25">
      <c r="A78" s="48"/>
      <c r="B78" s="16"/>
      <c r="C78" s="16"/>
      <c r="D78" s="25"/>
      <c r="E78" s="46">
        <v>6.3E-2</v>
      </c>
      <c r="F78" s="16"/>
      <c r="G78" s="16"/>
      <c r="H78" s="16"/>
      <c r="I78" s="16"/>
      <c r="J78" s="29">
        <f t="shared" ref="J78:Z78" si="99">J77*$E$78</f>
        <v>0.39374999999999999</v>
      </c>
      <c r="K78" s="30">
        <f t="shared" si="99"/>
        <v>0.78749999999999998</v>
      </c>
      <c r="L78" s="30">
        <f t="shared" si="99"/>
        <v>1.575</v>
      </c>
      <c r="M78" s="30">
        <f t="shared" si="99"/>
        <v>3.15</v>
      </c>
      <c r="N78" s="30">
        <f t="shared" si="99"/>
        <v>6.3</v>
      </c>
      <c r="O78" s="30">
        <f t="shared" si="99"/>
        <v>12.6</v>
      </c>
      <c r="P78" s="30">
        <f t="shared" si="99"/>
        <v>25.2</v>
      </c>
      <c r="Q78" s="30">
        <f t="shared" si="99"/>
        <v>50.4</v>
      </c>
      <c r="R78" s="30">
        <f t="shared" si="99"/>
        <v>100.8</v>
      </c>
      <c r="S78" s="30">
        <f t="shared" si="99"/>
        <v>201.6</v>
      </c>
      <c r="T78" s="30">
        <f t="shared" si="99"/>
        <v>403.2</v>
      </c>
      <c r="U78" s="30">
        <f t="shared" si="99"/>
        <v>806.4</v>
      </c>
      <c r="V78" s="30">
        <f t="shared" si="99"/>
        <v>1612.8</v>
      </c>
      <c r="W78" s="30">
        <f t="shared" si="99"/>
        <v>3225.6</v>
      </c>
      <c r="X78" s="30">
        <f t="shared" si="99"/>
        <v>6451.2</v>
      </c>
      <c r="Y78" s="30">
        <f t="shared" si="99"/>
        <v>12902.4</v>
      </c>
      <c r="Z78" s="30">
        <f t="shared" si="99"/>
        <v>25804.799999999999</v>
      </c>
      <c r="AA78" s="30">
        <f>AA77*$E$78</f>
        <v>51609.599999999999</v>
      </c>
      <c r="AB78" s="30">
        <f>AB77*$E$78</f>
        <v>103219.2</v>
      </c>
      <c r="AC78" s="30">
        <f>AC77*$E$78</f>
        <v>206438.39999999999</v>
      </c>
      <c r="AD78" s="30">
        <f t="shared" ref="AD78:AJ78" si="100">AD77*$E$78</f>
        <v>412876.79999999999</v>
      </c>
      <c r="AE78" s="30">
        <f t="shared" si="100"/>
        <v>825753.59999999998</v>
      </c>
      <c r="AF78" s="29">
        <f>AF77*$E$78</f>
        <v>1651507.2</v>
      </c>
      <c r="AG78" s="30">
        <f t="shared" si="100"/>
        <v>3303014.3999999999</v>
      </c>
      <c r="AH78" s="30">
        <f t="shared" ref="AH78" si="101">AH77*$E$78</f>
        <v>6606028.7999999998</v>
      </c>
      <c r="AI78" s="30">
        <f t="shared" si="100"/>
        <v>13212057.6</v>
      </c>
      <c r="AJ78" s="68">
        <f t="shared" si="100"/>
        <v>17541165.600000001</v>
      </c>
      <c r="AK78" s="45"/>
    </row>
    <row r="79" spans="1:37" x14ac:dyDescent="0.25">
      <c r="A79" s="48" t="s">
        <v>7</v>
      </c>
      <c r="B79" s="24">
        <v>0.29799999999999999</v>
      </c>
      <c r="C79" s="10">
        <f>$B$5 * B79</f>
        <v>414862488</v>
      </c>
      <c r="D79" s="47"/>
      <c r="E79" s="16"/>
      <c r="F79" s="16"/>
      <c r="G79" s="16"/>
      <c r="H79" s="16"/>
      <c r="I79" s="16"/>
      <c r="J79" s="20">
        <f t="shared" ref="J79:AJ79" si="102">J$18*$B$79</f>
        <v>9.3125</v>
      </c>
      <c r="K79" s="21">
        <f t="shared" si="102"/>
        <v>18.625</v>
      </c>
      <c r="L79" s="21">
        <f t="shared" si="102"/>
        <v>37.25</v>
      </c>
      <c r="M79" s="21">
        <f t="shared" si="102"/>
        <v>74.5</v>
      </c>
      <c r="N79" s="21">
        <f t="shared" si="102"/>
        <v>149</v>
      </c>
      <c r="O79" s="21">
        <f t="shared" si="102"/>
        <v>298</v>
      </c>
      <c r="P79" s="21">
        <f t="shared" si="102"/>
        <v>596</v>
      </c>
      <c r="Q79" s="21">
        <f t="shared" si="102"/>
        <v>1192</v>
      </c>
      <c r="R79" s="21">
        <f t="shared" si="102"/>
        <v>2384</v>
      </c>
      <c r="S79" s="21">
        <f t="shared" si="102"/>
        <v>4768</v>
      </c>
      <c r="T79" s="21">
        <f t="shared" si="102"/>
        <v>9536</v>
      </c>
      <c r="U79" s="21">
        <f t="shared" si="102"/>
        <v>19072</v>
      </c>
      <c r="V79" s="21">
        <f t="shared" si="102"/>
        <v>38144</v>
      </c>
      <c r="W79" s="21">
        <f t="shared" si="102"/>
        <v>76288</v>
      </c>
      <c r="X79" s="21">
        <f t="shared" si="102"/>
        <v>152576</v>
      </c>
      <c r="Y79" s="21">
        <f t="shared" si="102"/>
        <v>305152</v>
      </c>
      <c r="Z79" s="21">
        <f t="shared" si="102"/>
        <v>610304</v>
      </c>
      <c r="AA79" s="21">
        <f t="shared" si="102"/>
        <v>1220608</v>
      </c>
      <c r="AB79" s="21">
        <f t="shared" si="102"/>
        <v>2441216</v>
      </c>
      <c r="AC79" s="21">
        <f t="shared" si="102"/>
        <v>4882432</v>
      </c>
      <c r="AD79" s="21">
        <f t="shared" si="102"/>
        <v>9764864</v>
      </c>
      <c r="AE79" s="21">
        <f t="shared" si="102"/>
        <v>19529728</v>
      </c>
      <c r="AF79" s="20">
        <f t="shared" si="102"/>
        <v>39059456</v>
      </c>
      <c r="AG79" s="21">
        <f t="shared" si="102"/>
        <v>78118912</v>
      </c>
      <c r="AH79" s="21">
        <f t="shared" si="102"/>
        <v>156237824</v>
      </c>
      <c r="AI79" s="21">
        <f t="shared" si="102"/>
        <v>312475648</v>
      </c>
      <c r="AJ79" s="69">
        <f t="shared" si="102"/>
        <v>414862488</v>
      </c>
      <c r="AK79" s="45"/>
    </row>
    <row r="80" spans="1:37" x14ac:dyDescent="0.25">
      <c r="A80" s="48"/>
      <c r="B80" s="16"/>
      <c r="C80" s="16"/>
      <c r="D80" s="25"/>
      <c r="E80" s="46">
        <v>0.06</v>
      </c>
      <c r="F80" s="16"/>
      <c r="G80" s="16"/>
      <c r="H80" s="16"/>
      <c r="I80" s="16"/>
      <c r="J80" s="29">
        <f t="shared" ref="J80:Z80" si="103">J79*$E$80</f>
        <v>0.55874999999999997</v>
      </c>
      <c r="K80" s="30">
        <f t="shared" si="103"/>
        <v>1.1174999999999999</v>
      </c>
      <c r="L80" s="30">
        <f t="shared" si="103"/>
        <v>2.2349999999999999</v>
      </c>
      <c r="M80" s="30">
        <f t="shared" si="103"/>
        <v>4.47</v>
      </c>
      <c r="N80" s="30">
        <f t="shared" si="103"/>
        <v>8.94</v>
      </c>
      <c r="O80" s="30">
        <f t="shared" si="103"/>
        <v>17.88</v>
      </c>
      <c r="P80" s="30">
        <f t="shared" si="103"/>
        <v>35.76</v>
      </c>
      <c r="Q80" s="30">
        <f t="shared" si="103"/>
        <v>71.52</v>
      </c>
      <c r="R80" s="30">
        <f t="shared" si="103"/>
        <v>143.04</v>
      </c>
      <c r="S80" s="30">
        <f t="shared" si="103"/>
        <v>286.08</v>
      </c>
      <c r="T80" s="30">
        <f t="shared" si="103"/>
        <v>572.16</v>
      </c>
      <c r="U80" s="30">
        <f t="shared" si="103"/>
        <v>1144.32</v>
      </c>
      <c r="V80" s="30">
        <f t="shared" si="103"/>
        <v>2288.64</v>
      </c>
      <c r="W80" s="30">
        <f t="shared" si="103"/>
        <v>4577.28</v>
      </c>
      <c r="X80" s="30">
        <f t="shared" si="103"/>
        <v>9154.56</v>
      </c>
      <c r="Y80" s="30">
        <f t="shared" si="103"/>
        <v>18309.12</v>
      </c>
      <c r="Z80" s="30">
        <f t="shared" si="103"/>
        <v>36618.239999999998</v>
      </c>
      <c r="AA80" s="30">
        <f>AA79*$E$80</f>
        <v>73236.479999999996</v>
      </c>
      <c r="AB80" s="30">
        <f>AB79*$E$80</f>
        <v>146472.95999999999</v>
      </c>
      <c r="AC80" s="30">
        <f>AC79*$E$80</f>
        <v>292945.91999999998</v>
      </c>
      <c r="AD80" s="30">
        <f t="shared" ref="AD80:AJ80" si="104">AD79*$E$80</f>
        <v>585891.83999999997</v>
      </c>
      <c r="AE80" s="30">
        <f t="shared" si="104"/>
        <v>1171783.6799999999</v>
      </c>
      <c r="AF80" s="29">
        <f t="shared" si="104"/>
        <v>2343567.3599999999</v>
      </c>
      <c r="AG80" s="30">
        <f t="shared" si="104"/>
        <v>4687134.7199999997</v>
      </c>
      <c r="AH80" s="30">
        <f t="shared" ref="AH80" si="105">AH79*$E$80</f>
        <v>9374269.4399999995</v>
      </c>
      <c r="AI80" s="30">
        <f t="shared" si="104"/>
        <v>18748538.879999999</v>
      </c>
      <c r="AJ80" s="68">
        <f t="shared" si="104"/>
        <v>24891749.279999997</v>
      </c>
      <c r="AK80" s="45"/>
    </row>
    <row r="81" spans="1:37" x14ac:dyDescent="0.25">
      <c r="A81" s="48" t="s">
        <v>8</v>
      </c>
      <c r="B81" s="24">
        <v>9.5E-4</v>
      </c>
      <c r="C81" s="10">
        <f>$B$5 * B81</f>
        <v>1322548.2</v>
      </c>
      <c r="D81" s="47"/>
      <c r="E81" s="16"/>
      <c r="F81" s="16"/>
      <c r="G81" s="16"/>
      <c r="H81" s="16"/>
      <c r="I81" s="16"/>
      <c r="J81" s="20">
        <f t="shared" ref="J81:AJ81" si="106">J$18*$B$81</f>
        <v>2.9687499999999999E-2</v>
      </c>
      <c r="K81" s="21">
        <f t="shared" si="106"/>
        <v>5.9374999999999997E-2</v>
      </c>
      <c r="L81" s="21">
        <f t="shared" si="106"/>
        <v>0.11874999999999999</v>
      </c>
      <c r="M81" s="21">
        <f t="shared" si="106"/>
        <v>0.23749999999999999</v>
      </c>
      <c r="N81" s="21">
        <f t="shared" si="106"/>
        <v>0.47499999999999998</v>
      </c>
      <c r="O81" s="21">
        <f t="shared" si="106"/>
        <v>0.95</v>
      </c>
      <c r="P81" s="21">
        <f t="shared" si="106"/>
        <v>1.9</v>
      </c>
      <c r="Q81" s="21">
        <f t="shared" si="106"/>
        <v>3.8</v>
      </c>
      <c r="R81" s="21">
        <f t="shared" si="106"/>
        <v>7.6</v>
      </c>
      <c r="S81" s="21">
        <f t="shared" si="106"/>
        <v>15.2</v>
      </c>
      <c r="T81" s="21">
        <f t="shared" si="106"/>
        <v>30.4</v>
      </c>
      <c r="U81" s="21">
        <f t="shared" si="106"/>
        <v>60.8</v>
      </c>
      <c r="V81" s="21">
        <f t="shared" si="106"/>
        <v>121.6</v>
      </c>
      <c r="W81" s="21">
        <f t="shared" si="106"/>
        <v>243.2</v>
      </c>
      <c r="X81" s="21">
        <f t="shared" si="106"/>
        <v>486.4</v>
      </c>
      <c r="Y81" s="21">
        <f t="shared" si="106"/>
        <v>972.8</v>
      </c>
      <c r="Z81" s="21">
        <f t="shared" si="106"/>
        <v>1945.6</v>
      </c>
      <c r="AA81" s="21">
        <f t="shared" si="106"/>
        <v>3891.2</v>
      </c>
      <c r="AB81" s="21">
        <f t="shared" si="106"/>
        <v>7782.4</v>
      </c>
      <c r="AC81" s="21">
        <f t="shared" si="106"/>
        <v>15564.8</v>
      </c>
      <c r="AD81" s="21">
        <f t="shared" si="106"/>
        <v>31129.599999999999</v>
      </c>
      <c r="AE81" s="21">
        <f t="shared" si="106"/>
        <v>62259.199999999997</v>
      </c>
      <c r="AF81" s="20">
        <f t="shared" si="106"/>
        <v>124518.39999999999</v>
      </c>
      <c r="AG81" s="21">
        <f t="shared" si="106"/>
        <v>249036.79999999999</v>
      </c>
      <c r="AH81" s="21">
        <f t="shared" si="106"/>
        <v>498073.59999999998</v>
      </c>
      <c r="AI81" s="21">
        <f t="shared" si="106"/>
        <v>996147.19999999995</v>
      </c>
      <c r="AJ81" s="69">
        <f t="shared" si="106"/>
        <v>1322548.2</v>
      </c>
      <c r="AK81" s="45"/>
    </row>
    <row r="82" spans="1:37" x14ac:dyDescent="0.25">
      <c r="A82" s="48"/>
      <c r="B82" s="16"/>
      <c r="C82" s="16"/>
      <c r="D82" s="25"/>
      <c r="E82" s="46">
        <v>5.6000000000000001E-2</v>
      </c>
      <c r="F82" s="16"/>
      <c r="G82" s="16"/>
      <c r="H82" s="16"/>
      <c r="I82" s="16"/>
      <c r="J82" s="29">
        <f t="shared" ref="J82:Z82" si="107">J81*$E$82</f>
        <v>1.6624999999999999E-3</v>
      </c>
      <c r="K82" s="30">
        <f t="shared" si="107"/>
        <v>3.3249999999999998E-3</v>
      </c>
      <c r="L82" s="30">
        <f t="shared" si="107"/>
        <v>6.6499999999999997E-3</v>
      </c>
      <c r="M82" s="30">
        <f t="shared" si="107"/>
        <v>1.3299999999999999E-2</v>
      </c>
      <c r="N82" s="30">
        <f t="shared" si="107"/>
        <v>2.6599999999999999E-2</v>
      </c>
      <c r="O82" s="30">
        <f t="shared" si="107"/>
        <v>5.3199999999999997E-2</v>
      </c>
      <c r="P82" s="30">
        <f t="shared" si="107"/>
        <v>0.10639999999999999</v>
      </c>
      <c r="Q82" s="30">
        <f t="shared" si="107"/>
        <v>0.21279999999999999</v>
      </c>
      <c r="R82" s="30">
        <f t="shared" si="107"/>
        <v>0.42559999999999998</v>
      </c>
      <c r="S82" s="30">
        <f t="shared" si="107"/>
        <v>0.85119999999999996</v>
      </c>
      <c r="T82" s="30">
        <f t="shared" si="107"/>
        <v>1.7023999999999999</v>
      </c>
      <c r="U82" s="30">
        <f t="shared" si="107"/>
        <v>3.4047999999999998</v>
      </c>
      <c r="V82" s="30">
        <f t="shared" si="107"/>
        <v>6.8095999999999997</v>
      </c>
      <c r="W82" s="30">
        <f t="shared" si="107"/>
        <v>13.619199999999999</v>
      </c>
      <c r="X82" s="30">
        <f t="shared" si="107"/>
        <v>27.238399999999999</v>
      </c>
      <c r="Y82" s="30">
        <f t="shared" si="107"/>
        <v>54.476799999999997</v>
      </c>
      <c r="Z82" s="30">
        <f t="shared" si="107"/>
        <v>108.95359999999999</v>
      </c>
      <c r="AA82" s="30">
        <f>AA81*$E$82</f>
        <v>217.90719999999999</v>
      </c>
      <c r="AB82" s="30">
        <f>AB81*$E$82</f>
        <v>435.81439999999998</v>
      </c>
      <c r="AC82" s="30">
        <f>AC81*$E$82</f>
        <v>871.62879999999996</v>
      </c>
      <c r="AD82" s="30">
        <f t="shared" ref="AD82:AJ82" si="108">AD81*$E$82</f>
        <v>1743.2575999999999</v>
      </c>
      <c r="AE82" s="30">
        <f t="shared" si="108"/>
        <v>3486.5151999999998</v>
      </c>
      <c r="AF82" s="29">
        <f t="shared" si="108"/>
        <v>6973.0303999999996</v>
      </c>
      <c r="AG82" s="30">
        <f t="shared" si="108"/>
        <v>13946.060799999999</v>
      </c>
      <c r="AH82" s="30">
        <f t="shared" ref="AH82" si="109">AH81*$E$82</f>
        <v>27892.121599999999</v>
      </c>
      <c r="AI82" s="30">
        <f t="shared" si="108"/>
        <v>55784.243199999997</v>
      </c>
      <c r="AJ82" s="68">
        <f t="shared" si="108"/>
        <v>74062.699200000003</v>
      </c>
      <c r="AK82" s="45"/>
    </row>
    <row r="83" spans="1:37" x14ac:dyDescent="0.25">
      <c r="A83" s="48" t="s">
        <v>9</v>
      </c>
      <c r="B83" s="24">
        <v>0.14000000000000001</v>
      </c>
      <c r="C83" s="10">
        <f>$B$5 * B83</f>
        <v>194901840.00000003</v>
      </c>
      <c r="D83" s="47"/>
      <c r="E83" s="16"/>
      <c r="F83" s="16"/>
      <c r="G83" s="16"/>
      <c r="H83" s="16"/>
      <c r="I83" s="16"/>
      <c r="J83" s="20">
        <f t="shared" ref="J83:AJ83" si="110">J$18*$B$83</f>
        <v>4.375</v>
      </c>
      <c r="K83" s="21">
        <f t="shared" si="110"/>
        <v>8.75</v>
      </c>
      <c r="L83" s="21">
        <f t="shared" si="110"/>
        <v>17.5</v>
      </c>
      <c r="M83" s="21">
        <f t="shared" si="110"/>
        <v>35</v>
      </c>
      <c r="N83" s="21">
        <f t="shared" si="110"/>
        <v>70</v>
      </c>
      <c r="O83" s="21">
        <f t="shared" si="110"/>
        <v>140</v>
      </c>
      <c r="P83" s="21">
        <f t="shared" si="110"/>
        <v>280</v>
      </c>
      <c r="Q83" s="21">
        <f t="shared" si="110"/>
        <v>560</v>
      </c>
      <c r="R83" s="21">
        <f t="shared" si="110"/>
        <v>1120</v>
      </c>
      <c r="S83" s="21">
        <f t="shared" si="110"/>
        <v>2240</v>
      </c>
      <c r="T83" s="21">
        <f t="shared" si="110"/>
        <v>4480</v>
      </c>
      <c r="U83" s="21">
        <f t="shared" si="110"/>
        <v>8960</v>
      </c>
      <c r="V83" s="21">
        <f t="shared" si="110"/>
        <v>17920</v>
      </c>
      <c r="W83" s="21">
        <f t="shared" si="110"/>
        <v>35840</v>
      </c>
      <c r="X83" s="21">
        <f t="shared" si="110"/>
        <v>71680</v>
      </c>
      <c r="Y83" s="21">
        <f t="shared" si="110"/>
        <v>143360</v>
      </c>
      <c r="Z83" s="21">
        <f t="shared" si="110"/>
        <v>286720</v>
      </c>
      <c r="AA83" s="21">
        <f t="shared" si="110"/>
        <v>573440</v>
      </c>
      <c r="AB83" s="21">
        <f t="shared" si="110"/>
        <v>1146880</v>
      </c>
      <c r="AC83" s="21">
        <f t="shared" si="110"/>
        <v>2293760</v>
      </c>
      <c r="AD83" s="21">
        <f t="shared" si="110"/>
        <v>4587520</v>
      </c>
      <c r="AE83" s="21">
        <f t="shared" si="110"/>
        <v>9175040</v>
      </c>
      <c r="AF83" s="20">
        <f t="shared" si="110"/>
        <v>18350080</v>
      </c>
      <c r="AG83" s="21">
        <f t="shared" si="110"/>
        <v>36700160</v>
      </c>
      <c r="AH83" s="21">
        <f t="shared" si="110"/>
        <v>73400320</v>
      </c>
      <c r="AI83" s="21">
        <f t="shared" si="110"/>
        <v>146800640</v>
      </c>
      <c r="AJ83" s="69">
        <f t="shared" si="110"/>
        <v>194901840.00000003</v>
      </c>
      <c r="AK83" s="45"/>
    </row>
    <row r="84" spans="1:37" x14ac:dyDescent="0.25">
      <c r="A84" s="37"/>
      <c r="B84" s="39"/>
      <c r="C84" s="39"/>
      <c r="D84" s="54"/>
      <c r="E84" s="55" t="s">
        <v>10</v>
      </c>
      <c r="F84" s="39"/>
      <c r="G84" s="39"/>
      <c r="H84" s="39"/>
      <c r="I84" s="39"/>
      <c r="J84" s="29" t="s">
        <v>10</v>
      </c>
      <c r="K84" s="30" t="s">
        <v>10</v>
      </c>
      <c r="L84" s="30" t="s">
        <v>10</v>
      </c>
      <c r="M84" s="30" t="s">
        <v>10</v>
      </c>
      <c r="N84" s="30" t="s">
        <v>10</v>
      </c>
      <c r="O84" s="30" t="s">
        <v>10</v>
      </c>
      <c r="P84" s="30" t="s">
        <v>10</v>
      </c>
      <c r="Q84" s="30" t="s">
        <v>10</v>
      </c>
      <c r="R84" s="30" t="s">
        <v>10</v>
      </c>
      <c r="S84" s="30" t="s">
        <v>10</v>
      </c>
      <c r="T84" s="30" t="s">
        <v>10</v>
      </c>
      <c r="U84" s="30" t="s">
        <v>10</v>
      </c>
      <c r="V84" s="30" t="s">
        <v>10</v>
      </c>
      <c r="W84" s="30" t="s">
        <v>10</v>
      </c>
      <c r="X84" s="30" t="s">
        <v>10</v>
      </c>
      <c r="Y84" s="30" t="s">
        <v>10</v>
      </c>
      <c r="Z84" s="30" t="s">
        <v>10</v>
      </c>
      <c r="AA84" s="30" t="s">
        <v>10</v>
      </c>
      <c r="AB84" s="30" t="s">
        <v>10</v>
      </c>
      <c r="AC84" s="30" t="s">
        <v>10</v>
      </c>
      <c r="AD84" s="30" t="s">
        <v>10</v>
      </c>
      <c r="AE84" s="30" t="s">
        <v>10</v>
      </c>
      <c r="AF84" s="29" t="s">
        <v>10</v>
      </c>
      <c r="AG84" s="30" t="s">
        <v>10</v>
      </c>
      <c r="AH84" s="30" t="s">
        <v>10</v>
      </c>
      <c r="AI84" s="30" t="s">
        <v>10</v>
      </c>
      <c r="AJ84" s="68" t="s">
        <v>10</v>
      </c>
      <c r="AK84" s="45"/>
    </row>
    <row r="85" spans="1:37" x14ac:dyDescent="0.25">
      <c r="A85" s="41" t="s">
        <v>197</v>
      </c>
      <c r="B85" s="16"/>
      <c r="C85" s="16"/>
      <c r="D85" s="47"/>
      <c r="E85" s="16"/>
      <c r="F85" s="16"/>
      <c r="G85" s="16"/>
      <c r="H85" s="16"/>
      <c r="I85" s="16"/>
      <c r="J85" s="18">
        <f>SUM(J73,J75,J77,J79,J81,J83)</f>
        <v>23.967187500000001</v>
      </c>
      <c r="K85" s="19">
        <f t="shared" ref="K85:Z85" si="111">SUM(K73,K75,K77,K79,K81,K83)</f>
        <v>47.934375000000003</v>
      </c>
      <c r="L85" s="19">
        <f t="shared" si="111"/>
        <v>95.868750000000006</v>
      </c>
      <c r="M85" s="19">
        <f t="shared" si="111"/>
        <v>191.73750000000001</v>
      </c>
      <c r="N85" s="19">
        <f t="shared" si="111"/>
        <v>383.47500000000002</v>
      </c>
      <c r="O85" s="19">
        <f t="shared" si="111"/>
        <v>766.95</v>
      </c>
      <c r="P85" s="19">
        <f>SUM(P73,P75,P77,P79,P81,P83)</f>
        <v>1533.9</v>
      </c>
      <c r="Q85" s="19">
        <f t="shared" si="111"/>
        <v>3067.8</v>
      </c>
      <c r="R85" s="19">
        <f t="shared" si="111"/>
        <v>6135.6</v>
      </c>
      <c r="S85" s="19">
        <f t="shared" si="111"/>
        <v>12271.2</v>
      </c>
      <c r="T85" s="19">
        <f t="shared" si="111"/>
        <v>24542.400000000001</v>
      </c>
      <c r="U85" s="19">
        <f t="shared" si="111"/>
        <v>49084.800000000003</v>
      </c>
      <c r="V85" s="19">
        <f t="shared" si="111"/>
        <v>98169.600000000006</v>
      </c>
      <c r="W85" s="19">
        <f t="shared" si="111"/>
        <v>196339.20000000001</v>
      </c>
      <c r="X85" s="19">
        <f t="shared" si="111"/>
        <v>392678.40000000002</v>
      </c>
      <c r="Y85" s="19">
        <f t="shared" si="111"/>
        <v>785356.80000000005</v>
      </c>
      <c r="Z85" s="19">
        <f t="shared" si="111"/>
        <v>1570713.6000000001</v>
      </c>
      <c r="AA85" s="19">
        <f t="shared" ref="AA85:AC86" si="112">SUM(AA73,AA75,AA77,AA79,AA81,AA83)</f>
        <v>3141427.2000000002</v>
      </c>
      <c r="AB85" s="19">
        <f t="shared" si="112"/>
        <v>6282854.4000000004</v>
      </c>
      <c r="AC85" s="19">
        <f t="shared" si="112"/>
        <v>12565708.800000001</v>
      </c>
      <c r="AD85" s="19">
        <f t="shared" ref="AD85:AJ85" si="113">SUM(AD73,AD75,AD77,AD79,AD81,AD83)</f>
        <v>25131417.600000001</v>
      </c>
      <c r="AE85" s="19">
        <f t="shared" si="113"/>
        <v>50262835.200000003</v>
      </c>
      <c r="AF85" s="18">
        <f t="shared" si="113"/>
        <v>100525670.40000001</v>
      </c>
      <c r="AG85" s="19">
        <f t="shared" si="113"/>
        <v>201051340.80000001</v>
      </c>
      <c r="AH85" s="19">
        <f t="shared" ref="AH85" si="114">SUM(AH73,AH75,AH77,AH79,AH81,AH83)</f>
        <v>402102681.60000002</v>
      </c>
      <c r="AI85" s="19">
        <f t="shared" si="113"/>
        <v>804205363.20000005</v>
      </c>
      <c r="AJ85" s="59">
        <f t="shared" si="113"/>
        <v>1067714044.2</v>
      </c>
      <c r="AK85" s="45"/>
    </row>
    <row r="86" spans="1:37" x14ac:dyDescent="0.25">
      <c r="A86" s="37" t="s">
        <v>40</v>
      </c>
      <c r="B86" s="39"/>
      <c r="C86" s="39"/>
      <c r="D86" s="39"/>
      <c r="E86" s="39"/>
      <c r="F86" s="39"/>
      <c r="G86" s="39"/>
      <c r="H86" s="39"/>
      <c r="I86" s="39"/>
      <c r="J86" s="31">
        <f>SUM(J74,J76,J78,J80,J82,J84)</f>
        <v>1.2851625</v>
      </c>
      <c r="K86" s="32">
        <f t="shared" ref="K86:Z86" si="115">SUM(K74,K76,K78,K80,K82,K84)</f>
        <v>2.570325</v>
      </c>
      <c r="L86" s="32">
        <f t="shared" si="115"/>
        <v>5.1406499999999999</v>
      </c>
      <c r="M86" s="32">
        <f t="shared" si="115"/>
        <v>10.2813</v>
      </c>
      <c r="N86" s="32">
        <f t="shared" si="115"/>
        <v>20.5626</v>
      </c>
      <c r="O86" s="32">
        <f t="shared" si="115"/>
        <v>41.1252</v>
      </c>
      <c r="P86" s="32">
        <f t="shared" si="115"/>
        <v>82.250399999999999</v>
      </c>
      <c r="Q86" s="32">
        <f t="shared" si="115"/>
        <v>164.5008</v>
      </c>
      <c r="R86" s="32">
        <f t="shared" si="115"/>
        <v>329.0016</v>
      </c>
      <c r="S86" s="32">
        <f t="shared" si="115"/>
        <v>658.00319999999999</v>
      </c>
      <c r="T86" s="32">
        <f t="shared" si="115"/>
        <v>1316.0064</v>
      </c>
      <c r="U86" s="32">
        <f t="shared" si="115"/>
        <v>2632.0128</v>
      </c>
      <c r="V86" s="32">
        <f t="shared" si="115"/>
        <v>5264.0255999999999</v>
      </c>
      <c r="W86" s="32">
        <f t="shared" si="115"/>
        <v>10528.0512</v>
      </c>
      <c r="X86" s="32">
        <f t="shared" si="115"/>
        <v>21056.1024</v>
      </c>
      <c r="Y86" s="32">
        <f t="shared" si="115"/>
        <v>42112.2048</v>
      </c>
      <c r="Z86" s="32">
        <f t="shared" si="115"/>
        <v>84224.409599999999</v>
      </c>
      <c r="AA86" s="32">
        <f t="shared" si="112"/>
        <v>168448.8192</v>
      </c>
      <c r="AB86" s="32">
        <f t="shared" si="112"/>
        <v>336897.6384</v>
      </c>
      <c r="AC86" s="32">
        <f t="shared" si="112"/>
        <v>673795.27679999999</v>
      </c>
      <c r="AD86" s="32">
        <f t="shared" ref="AD86:AJ86" si="116">SUM(AD74,AD76,AD78,AD80,AD82,AD84)</f>
        <v>1347590.5536</v>
      </c>
      <c r="AE86" s="32">
        <f t="shared" si="116"/>
        <v>2695181.1072</v>
      </c>
      <c r="AF86" s="31">
        <f t="shared" si="116"/>
        <v>5390362.2143999999</v>
      </c>
      <c r="AG86" s="32">
        <f t="shared" si="116"/>
        <v>10780724.4288</v>
      </c>
      <c r="AH86" s="32">
        <f t="shared" ref="AH86" si="117">SUM(AH74,AH76,AH78,AH80,AH82,AH84)</f>
        <v>21561448.8576</v>
      </c>
      <c r="AI86" s="32">
        <f t="shared" si="116"/>
        <v>43122897.7152</v>
      </c>
      <c r="AJ86" s="70">
        <f t="shared" si="116"/>
        <v>57252693.93119999</v>
      </c>
      <c r="AK86" s="45"/>
    </row>
    <row r="90" spans="1:37" x14ac:dyDescent="0.25">
      <c r="E90" s="2"/>
    </row>
    <row r="91" spans="1:37" x14ac:dyDescent="0.25">
      <c r="E91" s="2"/>
    </row>
    <row r="93" spans="1:37" x14ac:dyDescent="0.25">
      <c r="E93" s="270"/>
    </row>
  </sheetData>
  <conditionalFormatting sqref="AF29:AK29 J29:AD29">
    <cfRule type="cellIs" dxfId="24" priority="34" operator="greaterThan">
      <formula>$C$8</formula>
    </cfRule>
  </conditionalFormatting>
  <conditionalFormatting sqref="J31:AJ31">
    <cfRule type="cellIs" dxfId="23" priority="33" operator="greaterThan">
      <formula>$C$9</formula>
    </cfRule>
  </conditionalFormatting>
  <conditionalFormatting sqref="J50:AJ50">
    <cfRule type="cellIs" dxfId="22" priority="32" operator="greaterThan">
      <formula>$C$50</formula>
    </cfRule>
  </conditionalFormatting>
  <conditionalFormatting sqref="J52:AJ52">
    <cfRule type="cellIs" dxfId="21" priority="31" operator="greaterThan">
      <formula>$C$52</formula>
    </cfRule>
  </conditionalFormatting>
  <conditionalFormatting sqref="J54:AJ54">
    <cfRule type="cellIs" dxfId="20" priority="30" operator="greaterThan">
      <formula>$C$54</formula>
    </cfRule>
  </conditionalFormatting>
  <conditionalFormatting sqref="J56:AJ56">
    <cfRule type="cellIs" dxfId="19" priority="22" operator="greaterThan">
      <formula>$C$56</formula>
    </cfRule>
  </conditionalFormatting>
  <conditionalFormatting sqref="J58:AJ58">
    <cfRule type="cellIs" dxfId="18" priority="21" operator="greaterThan">
      <formula>$C$58</formula>
    </cfRule>
  </conditionalFormatting>
  <conditionalFormatting sqref="J60:AJ60">
    <cfRule type="cellIs" dxfId="17" priority="20" operator="greaterThan">
      <formula>$C$60</formula>
    </cfRule>
  </conditionalFormatting>
  <conditionalFormatting sqref="J62:AJ62">
    <cfRule type="cellIs" dxfId="16" priority="19" operator="greaterThan">
      <formula>$C$62</formula>
    </cfRule>
  </conditionalFormatting>
  <conditionalFormatting sqref="J64:AJ64">
    <cfRule type="cellIs" dxfId="15" priority="18" operator="greaterThan">
      <formula>$C$64</formula>
    </cfRule>
  </conditionalFormatting>
  <conditionalFormatting sqref="J66:AJ66">
    <cfRule type="cellIs" dxfId="14" priority="17" operator="greaterThan">
      <formula>$C$66</formula>
    </cfRule>
  </conditionalFormatting>
  <conditionalFormatting sqref="J20:AJ20">
    <cfRule type="cellIs" dxfId="13" priority="16" operator="equal">
      <formula>0</formula>
    </cfRule>
  </conditionalFormatting>
  <conditionalFormatting sqref="J27:AD27 AF27:AJ27 AF29:AJ29 K31:AJ31 J29:AD29">
    <cfRule type="cellIs" dxfId="12" priority="15" operator="equal">
      <formula>0</formula>
    </cfRule>
  </conditionalFormatting>
  <conditionalFormatting sqref="D50">
    <cfRule type="cellIs" dxfId="11" priority="12" operator="greaterThan">
      <formula>$B$50</formula>
    </cfRule>
  </conditionalFormatting>
  <conditionalFormatting sqref="D52">
    <cfRule type="cellIs" dxfId="10" priority="11" operator="greaterThan">
      <formula>$B$52</formula>
    </cfRule>
  </conditionalFormatting>
  <conditionalFormatting sqref="D54">
    <cfRule type="cellIs" dxfId="9" priority="10" operator="greaterThan">
      <formula>$B$54</formula>
    </cfRule>
  </conditionalFormatting>
  <conditionalFormatting sqref="D56">
    <cfRule type="cellIs" dxfId="8" priority="9" operator="greaterThan">
      <formula>$B$56</formula>
    </cfRule>
  </conditionalFormatting>
  <conditionalFormatting sqref="D58">
    <cfRule type="cellIs" dxfId="7" priority="8" operator="greaterThan">
      <formula>$B$58</formula>
    </cfRule>
  </conditionalFormatting>
  <conditionalFormatting sqref="D60">
    <cfRule type="cellIs" dxfId="6" priority="7" operator="greaterThan">
      <formula>$B$60</formula>
    </cfRule>
  </conditionalFormatting>
  <conditionalFormatting sqref="D62">
    <cfRule type="cellIs" dxfId="5" priority="6" operator="greaterThan">
      <formula>$B$62</formula>
    </cfRule>
  </conditionalFormatting>
  <conditionalFormatting sqref="D64">
    <cfRule type="cellIs" dxfId="4" priority="5" operator="greaterThan">
      <formula>$B$64</formula>
    </cfRule>
  </conditionalFormatting>
  <conditionalFormatting sqref="D66">
    <cfRule type="cellIs" dxfId="3" priority="4" operator="greaterThan">
      <formula>$B$66</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A42" r:id="rId3" xr:uid="{168ADFE7-28CA-4E37-B04A-0F894FC4F702}"/>
    <hyperlink ref="A5" r:id="rId4" xr:uid="{C82EF781-DCE9-40F2-B400-788BB6410A85}"/>
    <hyperlink ref="F49"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G5" sqref="G5"/>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118</v>
      </c>
      <c r="C3" s="152">
        <f>Projections!B5</f>
        <v>1392156000</v>
      </c>
      <c r="J3" s="2"/>
    </row>
    <row r="4" spans="2:10" x14ac:dyDescent="0.25">
      <c r="B4" s="169" t="s">
        <v>135</v>
      </c>
      <c r="C4" s="152">
        <f>Projections!J18</f>
        <v>31.25</v>
      </c>
      <c r="J4" s="2"/>
    </row>
    <row r="5" spans="2:10" x14ac:dyDescent="0.25">
      <c r="B5" s="169" t="s">
        <v>136</v>
      </c>
      <c r="C5" s="150">
        <f>Projections!J17</f>
        <v>43895</v>
      </c>
      <c r="J5" s="2"/>
    </row>
    <row r="6" spans="2:10" x14ac:dyDescent="0.25">
      <c r="B6" s="169" t="s">
        <v>119</v>
      </c>
      <c r="C6" s="152">
        <v>106475</v>
      </c>
    </row>
    <row r="7" spans="2:10" x14ac:dyDescent="0.25">
      <c r="B7" s="169" t="s">
        <v>121</v>
      </c>
      <c r="C7" s="150">
        <f ca="1">NOW()</f>
        <v>43971.496979745367</v>
      </c>
    </row>
    <row r="8" spans="2:10" x14ac:dyDescent="0.25">
      <c r="B8" s="169" t="s">
        <v>137</v>
      </c>
      <c r="C8" s="151">
        <f ca="1">C7-C5</f>
        <v>76.496979745366843</v>
      </c>
    </row>
    <row r="9" spans="2:10" x14ac:dyDescent="0.25">
      <c r="B9" s="169" t="s">
        <v>120</v>
      </c>
      <c r="C9" s="153">
        <f ca="1">C8/(LOG(C6/C4)/LOG(2))</f>
        <v>6.5190524715034259</v>
      </c>
      <c r="D9" t="s">
        <v>97</v>
      </c>
      <c r="F9" t="s">
        <v>138</v>
      </c>
    </row>
    <row r="10" spans="2:10" x14ac:dyDescent="0.25">
      <c r="B10" s="169" t="s">
        <v>125</v>
      </c>
      <c r="C10" s="152">
        <f>Projections!C8</f>
        <v>689882.90580000007</v>
      </c>
    </row>
    <row r="11" spans="2:10" x14ac:dyDescent="0.25">
      <c r="B11" s="170" t="s">
        <v>126</v>
      </c>
      <c r="C11" s="157">
        <f>Projections!C9</f>
        <v>47959.774200000007</v>
      </c>
    </row>
    <row r="12" spans="2:10" s="66" customFormat="1" x14ac:dyDescent="0.25">
      <c r="B12" s="61" t="s">
        <v>166</v>
      </c>
      <c r="C12" s="158">
        <f>C6/Projections!B6</f>
        <v>1086479.5918367347</v>
      </c>
    </row>
    <row r="13" spans="2:10" s="66" customFormat="1" x14ac:dyDescent="0.25">
      <c r="B13" s="48" t="s">
        <v>167</v>
      </c>
      <c r="C13" s="159">
        <f ca="1">(C4/Projections!B6)*(2^(((C7-21)-C5)/C9))</f>
        <v>116494.5232134017</v>
      </c>
    </row>
    <row r="14" spans="2:10" s="66" customFormat="1" x14ac:dyDescent="0.25">
      <c r="B14" s="49" t="s">
        <v>168</v>
      </c>
      <c r="C14" s="141">
        <f ca="1">C12-C13</f>
        <v>969985.06862333301</v>
      </c>
      <c r="E14" s="155"/>
      <c r="F14" s="156" t="s">
        <v>142</v>
      </c>
      <c r="G14" s="154"/>
    </row>
    <row r="15" spans="2:10" x14ac:dyDescent="0.25">
      <c r="B15" s="4" t="s">
        <v>139</v>
      </c>
      <c r="C15" s="63">
        <f>C6*Projections!B10</f>
        <v>86244.75</v>
      </c>
      <c r="I15" s="149"/>
    </row>
    <row r="16" spans="2:10" x14ac:dyDescent="0.25">
      <c r="B16" s="41" t="s">
        <v>149</v>
      </c>
      <c r="C16" s="77">
        <f ca="1">(C4*Projections!B10)*(2^(((C7-21)-C5)/C9))</f>
        <v>9247.335252679828</v>
      </c>
      <c r="I16" s="149"/>
    </row>
    <row r="17" spans="2:9" x14ac:dyDescent="0.25">
      <c r="B17" s="41" t="s">
        <v>140</v>
      </c>
      <c r="C17" s="77">
        <f ca="1">C15-C16</f>
        <v>76997.414747320174</v>
      </c>
      <c r="F17" t="s">
        <v>143</v>
      </c>
      <c r="I17" s="149"/>
    </row>
    <row r="18" spans="2:9" x14ac:dyDescent="0.25">
      <c r="B18" s="4" t="s">
        <v>145</v>
      </c>
      <c r="C18" s="63">
        <f>C6*Projections!B11</f>
        <v>14906.500000000002</v>
      </c>
    </row>
    <row r="19" spans="2:9" x14ac:dyDescent="0.25">
      <c r="B19" s="41" t="s">
        <v>150</v>
      </c>
      <c r="C19" s="77">
        <f ca="1">(C4*Projections!B11)*(2^(((C7-49)-C5)/C9))</f>
        <v>81.415082358366632</v>
      </c>
    </row>
    <row r="20" spans="2:9" x14ac:dyDescent="0.25">
      <c r="B20" s="41" t="s">
        <v>144</v>
      </c>
      <c r="C20" s="77">
        <f ca="1">C18-C19</f>
        <v>14825.084917641636</v>
      </c>
      <c r="F20" t="s">
        <v>148</v>
      </c>
    </row>
    <row r="21" spans="2:9" x14ac:dyDescent="0.25">
      <c r="B21" s="4" t="s">
        <v>146</v>
      </c>
      <c r="C21" s="63">
        <f>C6*Projections!B12</f>
        <v>5323.75</v>
      </c>
      <c r="I21" s="149"/>
    </row>
    <row r="22" spans="2:9" x14ac:dyDescent="0.25">
      <c r="B22" s="41" t="s">
        <v>151</v>
      </c>
      <c r="C22" s="77">
        <f ca="1">(C4*Projections!B12)*(2^(((C7-49)-C5)/C9))</f>
        <v>29.07681512798808</v>
      </c>
      <c r="I22" s="149"/>
    </row>
    <row r="23" spans="2:9" x14ac:dyDescent="0.25">
      <c r="B23" s="41" t="s">
        <v>147</v>
      </c>
      <c r="C23" s="77">
        <f ca="1">C21-C22</f>
        <v>5294.6731848720119</v>
      </c>
      <c r="I23" s="149"/>
    </row>
    <row r="24" spans="2:9" x14ac:dyDescent="0.25">
      <c r="B24" s="4" t="s">
        <v>152</v>
      </c>
      <c r="C24" s="63">
        <f>C6*Projections!B13</f>
        <v>3620.15</v>
      </c>
    </row>
    <row r="25" spans="2:9" x14ac:dyDescent="0.25">
      <c r="B25" s="37" t="s">
        <v>153</v>
      </c>
      <c r="C25" s="60">
        <f ca="1">(C4*Projections!B13)*(2^(((C7-42)-C5)/C9))</f>
        <v>41.619267866195351</v>
      </c>
      <c r="F25" t="s">
        <v>154</v>
      </c>
    </row>
    <row r="26" spans="2:9" x14ac:dyDescent="0.25">
      <c r="B26" s="41" t="s">
        <v>130</v>
      </c>
      <c r="C26" s="162">
        <f ca="1">C9*(LOG(C10/C21)/LOG(2))</f>
        <v>45.749177474026268</v>
      </c>
      <c r="D26" t="s">
        <v>97</v>
      </c>
      <c r="F26" s="66" t="s">
        <v>155</v>
      </c>
    </row>
    <row r="27" spans="2:9" x14ac:dyDescent="0.25">
      <c r="B27" s="37" t="s">
        <v>127</v>
      </c>
      <c r="C27" s="161">
        <f ca="1">C7+C26</f>
        <v>44017.246157219393</v>
      </c>
      <c r="F27" t="s">
        <v>156</v>
      </c>
    </row>
    <row r="28" spans="2:9" x14ac:dyDescent="0.25">
      <c r="B28" s="4" t="s">
        <v>131</v>
      </c>
      <c r="C28" s="160">
        <f ca="1">C9*(LOG(C11/C21)/LOG(2))</f>
        <v>20.673937183317385</v>
      </c>
      <c r="D28" t="s">
        <v>97</v>
      </c>
    </row>
    <row r="29" spans="2:9" x14ac:dyDescent="0.25">
      <c r="B29" s="37" t="s">
        <v>128</v>
      </c>
      <c r="C29" s="161">
        <f ca="1">C7+C28</f>
        <v>43992.170916928684</v>
      </c>
      <c r="F29" t="s">
        <v>156</v>
      </c>
    </row>
    <row r="30" spans="2:9" x14ac:dyDescent="0.25">
      <c r="B30" s="4" t="s">
        <v>132</v>
      </c>
      <c r="C30" s="160">
        <f ca="1">C9*(LOG((C3*0.6)/C12)/LOG(2))</f>
        <v>62.494756348116482</v>
      </c>
      <c r="D30" t="s">
        <v>97</v>
      </c>
    </row>
    <row r="31" spans="2:9" x14ac:dyDescent="0.25">
      <c r="B31" s="37" t="s">
        <v>129</v>
      </c>
      <c r="C31" s="161">
        <f ca="1">C7+C30</f>
        <v>44033.991736093485</v>
      </c>
    </row>
    <row r="34" spans="2:6" x14ac:dyDescent="0.25">
      <c r="B34" s="4" t="s">
        <v>133</v>
      </c>
      <c r="C34" s="150">
        <f ca="1">C7+30</f>
        <v>44001.496979745367</v>
      </c>
      <c r="F34" t="s">
        <v>169</v>
      </c>
    </row>
    <row r="35" spans="2:6" x14ac:dyDescent="0.25">
      <c r="B35" s="41" t="s">
        <v>134</v>
      </c>
      <c r="C35" s="77">
        <f ca="1">C6*(2^((C34-C7)/C9))</f>
        <v>2585570.0755529888</v>
      </c>
      <c r="F35" t="s">
        <v>141</v>
      </c>
    </row>
    <row r="36" spans="2:6" x14ac:dyDescent="0.25">
      <c r="B36" s="41" t="s">
        <v>175</v>
      </c>
      <c r="C36" s="77">
        <f ca="1">C35/Projections!B6</f>
        <v>26383368.117887639</v>
      </c>
    </row>
    <row r="37" spans="2:6" x14ac:dyDescent="0.25">
      <c r="B37" s="41" t="s">
        <v>73</v>
      </c>
      <c r="C37" s="77">
        <f ca="1">C35*Projections!B10</f>
        <v>2094311.7611979211</v>
      </c>
    </row>
    <row r="38" spans="2:6" x14ac:dyDescent="0.25">
      <c r="B38" s="41" t="s">
        <v>122</v>
      </c>
      <c r="C38" s="77">
        <f ca="1">C35*Projections!B11</f>
        <v>361979.81057741848</v>
      </c>
    </row>
    <row r="39" spans="2:6" x14ac:dyDescent="0.25">
      <c r="B39" s="41" t="s">
        <v>123</v>
      </c>
      <c r="C39" s="77">
        <f ca="1">C35*Projections!B12</f>
        <v>129278.50377764944</v>
      </c>
    </row>
    <row r="40" spans="2:6" x14ac:dyDescent="0.25">
      <c r="B40" s="37" t="s">
        <v>124</v>
      </c>
      <c r="C40" s="60">
        <f ca="1">C35*Projections!B13</f>
        <v>87909.382568801622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38" t="s">
        <v>184</v>
      </c>
      <c r="B2" t="s">
        <v>46</v>
      </c>
      <c r="D2" t="s">
        <v>186</v>
      </c>
    </row>
    <row r="3" spans="1:4" x14ac:dyDescent="0.25">
      <c r="A3" s="241" t="s">
        <v>21</v>
      </c>
      <c r="B3" s="242">
        <v>112806778</v>
      </c>
      <c r="C3" s="243"/>
      <c r="D3" s="5"/>
    </row>
    <row r="4" spans="1:4" x14ac:dyDescent="0.25">
      <c r="A4" s="244" t="s">
        <v>22</v>
      </c>
      <c r="B4" s="245">
        <v>126928126</v>
      </c>
      <c r="C4" s="245">
        <f>SUM(B3:B4)</f>
        <v>239734904</v>
      </c>
      <c r="D4" s="246">
        <f>C4/$B$25</f>
        <v>0.19798812289970874</v>
      </c>
    </row>
    <row r="5" spans="1:4" x14ac:dyDescent="0.25">
      <c r="A5" s="241" t="s">
        <v>23</v>
      </c>
      <c r="B5" s="242">
        <v>132709212</v>
      </c>
      <c r="C5" s="243"/>
      <c r="D5" s="5"/>
    </row>
    <row r="6" spans="1:4" x14ac:dyDescent="0.25">
      <c r="A6" s="244" t="s">
        <v>24</v>
      </c>
      <c r="B6" s="245">
        <v>120526449</v>
      </c>
      <c r="C6" s="245">
        <f>SUM(B5:B6)</f>
        <v>253235661</v>
      </c>
      <c r="D6" s="246">
        <f>C6/$B$25</f>
        <v>0.20913789496692137</v>
      </c>
    </row>
    <row r="7" spans="1:4" x14ac:dyDescent="0.25">
      <c r="A7" s="241" t="s">
        <v>25</v>
      </c>
      <c r="B7" s="242">
        <v>111424222</v>
      </c>
      <c r="C7" s="243"/>
      <c r="D7" s="5"/>
    </row>
    <row r="8" spans="1:4" x14ac:dyDescent="0.25">
      <c r="A8" s="244" t="s">
        <v>26</v>
      </c>
      <c r="B8" s="245">
        <v>101413965</v>
      </c>
      <c r="C8" s="245">
        <f>SUM(B7:B8)</f>
        <v>212838187</v>
      </c>
      <c r="D8" s="246">
        <f>C8/$B$25</f>
        <v>0.17577512670206416</v>
      </c>
    </row>
    <row r="9" spans="1:4" x14ac:dyDescent="0.25">
      <c r="A9" s="241" t="s">
        <v>27</v>
      </c>
      <c r="B9" s="242">
        <v>88594951</v>
      </c>
      <c r="C9" s="243"/>
      <c r="D9" s="5"/>
    </row>
    <row r="10" spans="1:4" x14ac:dyDescent="0.25">
      <c r="A10" s="244" t="s">
        <v>28</v>
      </c>
      <c r="B10" s="245">
        <v>85140684</v>
      </c>
      <c r="C10" s="245">
        <f>SUM(B9:B10)</f>
        <v>173735635</v>
      </c>
      <c r="D10" s="246">
        <f>C10/$B$25</f>
        <v>0.14348178625853722</v>
      </c>
    </row>
    <row r="11" spans="1:4" x14ac:dyDescent="0.25">
      <c r="A11" s="241" t="s">
        <v>29</v>
      </c>
      <c r="B11" s="242">
        <v>72438112</v>
      </c>
      <c r="C11" s="243"/>
      <c r="D11" s="5"/>
    </row>
    <row r="12" spans="1:4" x14ac:dyDescent="0.25">
      <c r="A12" s="244" t="s">
        <v>30</v>
      </c>
      <c r="B12" s="245">
        <v>62318327</v>
      </c>
      <c r="C12" s="245">
        <f>SUM(B11:B12)</f>
        <v>134756439</v>
      </c>
      <c r="D12" s="246">
        <f>C12/$B$25</f>
        <v>0.11129032093824395</v>
      </c>
    </row>
    <row r="13" spans="1:4" x14ac:dyDescent="0.25">
      <c r="A13" s="241" t="s">
        <v>31</v>
      </c>
      <c r="B13" s="242">
        <v>49069254</v>
      </c>
      <c r="C13" s="243"/>
      <c r="D13" s="5"/>
    </row>
    <row r="14" spans="1:4" x14ac:dyDescent="0.25">
      <c r="A14" s="244" t="s">
        <v>32</v>
      </c>
      <c r="B14" s="245">
        <v>39146055</v>
      </c>
      <c r="C14" s="245">
        <f>SUM(B13:B14)</f>
        <v>88215309</v>
      </c>
      <c r="D14" s="246">
        <f>C14/$B$25</f>
        <v>7.2853736141516481E-2</v>
      </c>
    </row>
    <row r="15" spans="1:4" x14ac:dyDescent="0.25">
      <c r="A15" s="241" t="s">
        <v>33</v>
      </c>
      <c r="B15" s="242">
        <v>37663707</v>
      </c>
      <c r="C15" s="243"/>
      <c r="D15" s="5"/>
    </row>
    <row r="16" spans="1:4" x14ac:dyDescent="0.25">
      <c r="A16" s="244" t="s">
        <v>34</v>
      </c>
      <c r="B16" s="245">
        <v>26454983</v>
      </c>
      <c r="C16" s="245">
        <f>SUM(B15:B16)</f>
        <v>64118690</v>
      </c>
      <c r="D16" s="246">
        <f>C16/$B$25</f>
        <v>5.2953236529497287E-2</v>
      </c>
    </row>
    <row r="17" spans="1:4" x14ac:dyDescent="0.25">
      <c r="A17" s="241" t="s">
        <v>35</v>
      </c>
      <c r="B17" s="242">
        <v>19208842</v>
      </c>
      <c r="C17" s="243"/>
      <c r="D17" s="5"/>
    </row>
    <row r="18" spans="1:4" x14ac:dyDescent="0.25">
      <c r="A18" s="247" t="s">
        <v>36</v>
      </c>
      <c r="B18" s="248">
        <v>9232503</v>
      </c>
      <c r="C18" s="248">
        <f>SUM(B17:B18)</f>
        <v>28441345</v>
      </c>
      <c r="D18" s="212">
        <f>C18/$B$25</f>
        <v>2.3488646898463382E-2</v>
      </c>
    </row>
    <row r="19" spans="1:4" x14ac:dyDescent="0.25">
      <c r="A19" s="241" t="s">
        <v>37</v>
      </c>
      <c r="B19" s="242">
        <v>6220229</v>
      </c>
      <c r="C19" s="243"/>
      <c r="D19" s="5"/>
    </row>
    <row r="20" spans="1:4" x14ac:dyDescent="0.25">
      <c r="A20" s="247" t="s">
        <v>179</v>
      </c>
      <c r="B20" s="248">
        <v>2383167</v>
      </c>
      <c r="C20" s="248"/>
      <c r="D20" s="212"/>
    </row>
    <row r="21" spans="1:4" x14ac:dyDescent="0.25">
      <c r="A21" s="247" t="s">
        <v>180</v>
      </c>
      <c r="B21" s="248">
        <v>1446534</v>
      </c>
      <c r="C21" s="249"/>
      <c r="D21" s="17"/>
    </row>
    <row r="22" spans="1:4" x14ac:dyDescent="0.25">
      <c r="A22" s="247" t="s">
        <v>181</v>
      </c>
      <c r="B22" s="248">
        <v>633297</v>
      </c>
      <c r="C22" s="249"/>
      <c r="D22" s="17"/>
    </row>
    <row r="23" spans="1:4" x14ac:dyDescent="0.25">
      <c r="A23" s="244" t="s">
        <v>182</v>
      </c>
      <c r="B23" s="245">
        <v>605778</v>
      </c>
      <c r="C23" s="245">
        <f>SUM(B19:B23)</f>
        <v>11289005</v>
      </c>
      <c r="D23" s="246">
        <f>C23/$B$25</f>
        <v>9.323168516819004E-3</v>
      </c>
    </row>
    <row r="24" spans="1:4" x14ac:dyDescent="0.25">
      <c r="A24" s="244" t="s">
        <v>183</v>
      </c>
      <c r="B24" s="245">
        <v>4489802</v>
      </c>
      <c r="C24" s="250"/>
      <c r="D24" s="246">
        <f>B24/B25</f>
        <v>3.7079601482283868E-3</v>
      </c>
    </row>
    <row r="25" spans="1:4" x14ac:dyDescent="0.25">
      <c r="A25" s="239" t="s">
        <v>46</v>
      </c>
      <c r="B25" s="240">
        <f>SUM(B3:B24)</f>
        <v>1210854977</v>
      </c>
    </row>
    <row r="26" spans="1:4" x14ac:dyDescent="0.25">
      <c r="A26" s="218"/>
    </row>
    <row r="27" spans="1:4" x14ac:dyDescent="0.25">
      <c r="A27" s="219"/>
    </row>
    <row r="28" spans="1:4" x14ac:dyDescent="0.25">
      <c r="A28" s="218"/>
    </row>
    <row r="29" spans="1:4" x14ac:dyDescent="0.25">
      <c r="A29" s="219"/>
    </row>
    <row r="30" spans="1:4" x14ac:dyDescent="0.25">
      <c r="A30" s="218"/>
    </row>
    <row r="31" spans="1:4" x14ac:dyDescent="0.25">
      <c r="A31" s="219"/>
    </row>
    <row r="32" spans="1:4" x14ac:dyDescent="0.25">
      <c r="A32" s="218"/>
    </row>
    <row r="33" spans="1:1" x14ac:dyDescent="0.25">
      <c r="A33" s="219"/>
    </row>
    <row r="34" spans="1:1" x14ac:dyDescent="0.25">
      <c r="A34" s="218"/>
    </row>
    <row r="35" spans="1:1" x14ac:dyDescent="0.25">
      <c r="A35" s="219"/>
    </row>
    <row r="36" spans="1:1" x14ac:dyDescent="0.25">
      <c r="A36" s="218"/>
    </row>
    <row r="37" spans="1:1" x14ac:dyDescent="0.25">
      <c r="A37" s="219"/>
    </row>
    <row r="38" spans="1:1" x14ac:dyDescent="0.25">
      <c r="A38" s="218"/>
    </row>
    <row r="39" spans="1:1" x14ac:dyDescent="0.25">
      <c r="A39" s="219"/>
    </row>
    <row r="40" spans="1:1" x14ac:dyDescent="0.25">
      <c r="A40" s="218"/>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4"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2020-05-20T01:55:39Z</dcterms:modified>
</cp:coreProperties>
</file>