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1BF95B2C-7DF0-4C75-8A7A-DC2EE74CFBE7}" xr6:coauthVersionLast="45" xr6:coauthVersionMax="45" xr10:uidLastSave="{00000000-0000-0000-0000-000000000000}"/>
  <bookViews>
    <workbookView xWindow="225" yWindow="0" windowWidth="37605" windowHeight="2100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237" i="1" l="1"/>
  <c r="AI237" i="1" l="1"/>
  <c r="AM234" i="1" l="1"/>
  <c r="AR234" i="1" l="1"/>
  <c r="AG237" i="1"/>
  <c r="AH237" i="1"/>
  <c r="AW234" i="1" l="1"/>
  <c r="AF237" i="1"/>
  <c r="AE237" i="1" l="1"/>
  <c r="V60" i="1" l="1"/>
  <c r="BF210" i="1" l="1"/>
  <c r="Q237" i="1"/>
  <c r="R237" i="1"/>
  <c r="S237" i="1"/>
  <c r="T237" i="1"/>
  <c r="U237" i="1"/>
  <c r="V237" i="1"/>
  <c r="W237" i="1"/>
  <c r="X237" i="1"/>
  <c r="Y237" i="1"/>
  <c r="Z237" i="1"/>
  <c r="AA237" i="1"/>
  <c r="AB237" i="1"/>
  <c r="AC237" i="1"/>
  <c r="AD237" i="1"/>
  <c r="P237" i="1"/>
  <c r="E34" i="4" l="1"/>
  <c r="C45" i="4"/>
  <c r="BH214" i="1" l="1"/>
  <c r="BH211" i="1"/>
  <c r="BH210" i="1" s="1"/>
  <c r="BH218" i="1" s="1"/>
  <c r="BE214" i="1"/>
  <c r="BF214" i="1"/>
  <c r="BD214" i="1"/>
  <c r="BH216" i="1" l="1"/>
  <c r="BH215" i="1"/>
  <c r="C5" i="5"/>
  <c r="C4" i="5"/>
  <c r="B258" i="1"/>
  <c r="B254" i="1"/>
  <c r="B256" i="1"/>
  <c r="B252" i="1"/>
  <c r="B250" i="1"/>
  <c r="B248" i="1"/>
  <c r="B246" i="1"/>
  <c r="B244" i="1"/>
  <c r="B242"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Q209" i="1"/>
  <c r="P233" i="1"/>
  <c r="R209" i="1" l="1"/>
  <c r="Q235" i="1"/>
  <c r="S209" i="1" l="1"/>
  <c r="Q233" i="1"/>
  <c r="P235" i="1"/>
  <c r="P232" i="1"/>
  <c r="T209" i="1" l="1"/>
  <c r="R233" i="1"/>
  <c r="P220" i="1"/>
  <c r="P221" i="1" s="1"/>
  <c r="P222" i="1"/>
  <c r="P223" i="1" s="1"/>
  <c r="U209" i="1" l="1"/>
  <c r="S233" i="1"/>
  <c r="P218" i="1"/>
  <c r="P219" i="1" s="1"/>
  <c r="P214" i="1"/>
  <c r="P216" i="1" s="1"/>
  <c r="P217" i="1" s="1"/>
  <c r="C12" i="5"/>
  <c r="C7" i="5"/>
  <c r="C8" i="5" s="1"/>
  <c r="C9" i="5" s="1"/>
  <c r="C21" i="5"/>
  <c r="C18" i="5"/>
  <c r="C15" i="5"/>
  <c r="C24" i="5"/>
  <c r="C3" i="5"/>
  <c r="V209" i="1" l="1"/>
  <c r="C30" i="5"/>
  <c r="P215" i="1"/>
  <c r="T233" i="1"/>
  <c r="P212" i="1"/>
  <c r="P213" i="1" s="1"/>
  <c r="C34" i="5"/>
  <c r="W209" i="1" l="1"/>
  <c r="U233" i="1"/>
  <c r="C13" i="5"/>
  <c r="C14" i="5" s="1"/>
  <c r="BG210" i="1"/>
  <c r="P228" i="1"/>
  <c r="P226" i="1"/>
  <c r="P229" i="1"/>
  <c r="P227" i="1"/>
  <c r="BH234" i="1" l="1"/>
  <c r="BG234" i="1"/>
  <c r="X209" i="1"/>
  <c r="BG267" i="1"/>
  <c r="BG268" i="1" s="1"/>
  <c r="BG265" i="1"/>
  <c r="BG271" i="1"/>
  <c r="BG272" i="1" s="1"/>
  <c r="BG275" i="1"/>
  <c r="BG269" i="1"/>
  <c r="BG270" i="1" s="1"/>
  <c r="BG273" i="1"/>
  <c r="BG274" i="1" s="1"/>
  <c r="V233" i="1"/>
  <c r="BG211" i="1"/>
  <c r="BH224" i="1"/>
  <c r="BH222" i="1"/>
  <c r="BH220" i="1"/>
  <c r="BG218" i="1"/>
  <c r="BG214" i="1"/>
  <c r="BG216" i="1" s="1"/>
  <c r="C22" i="5"/>
  <c r="C23" i="5" s="1"/>
  <c r="C35" i="5"/>
  <c r="C40" i="5" s="1"/>
  <c r="C25" i="5"/>
  <c r="C19" i="5"/>
  <c r="C20" i="5" s="1"/>
  <c r="C16" i="5"/>
  <c r="C17" i="5" s="1"/>
  <c r="C31" i="5"/>
  <c r="AP25" i="4"/>
  <c r="E31" i="4"/>
  <c r="B17" i="4" s="1"/>
  <c r="K20" i="4" l="1"/>
  <c r="B18" i="4"/>
  <c r="B19" i="4" s="1"/>
  <c r="Y209" i="1"/>
  <c r="BG266" i="1"/>
  <c r="BG278" i="1" s="1"/>
  <c r="BG277"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Z209" i="1"/>
  <c r="E18" i="4"/>
  <c r="K21" i="4" s="1"/>
  <c r="N20" i="4"/>
  <c r="H17" i="4"/>
  <c r="P265" i="1"/>
  <c r="P266" i="1" s="1"/>
  <c r="AA209" i="1" l="1"/>
  <c r="E19" i="4"/>
  <c r="Q20" i="4"/>
  <c r="H18" i="4"/>
  <c r="N22" i="4" s="1"/>
  <c r="K17" i="4"/>
  <c r="Y24" i="4"/>
  <c r="B14" i="3"/>
  <c r="AB209" i="1" l="1"/>
  <c r="H19" i="4"/>
  <c r="T20" i="4"/>
  <c r="K18" i="4"/>
  <c r="K19" i="4" s="1"/>
  <c r="N21" i="4"/>
  <c r="AB24" i="4" s="1"/>
  <c r="N17" i="4"/>
  <c r="AC209" i="1" l="1"/>
  <c r="Q17" i="4"/>
  <c r="T17" i="4" s="1"/>
  <c r="W20" i="4"/>
  <c r="N18" i="4"/>
  <c r="N19" i="4" s="1"/>
  <c r="Q21" i="4"/>
  <c r="AE24" i="4" s="1"/>
  <c r="Q22" i="4"/>
  <c r="AD209" i="1" l="1"/>
  <c r="T18" i="4"/>
  <c r="T19" i="4" s="1"/>
  <c r="AC20" i="4"/>
  <c r="Z20" i="4"/>
  <c r="Q18" i="4"/>
  <c r="Q19" i="4" s="1"/>
  <c r="T21" i="4"/>
  <c r="AH24" i="4" s="1"/>
  <c r="T22" i="4"/>
  <c r="T23" i="4"/>
  <c r="W17" i="4"/>
  <c r="W21" i="4" l="1"/>
  <c r="AK24" i="4" s="1"/>
  <c r="W23" i="4"/>
  <c r="AH209" i="1"/>
  <c r="W18" i="4"/>
  <c r="W19" i="4" s="1"/>
  <c r="AF20" i="4"/>
  <c r="W22" i="4"/>
  <c r="Z21" i="4"/>
  <c r="AN24" i="4" s="1"/>
  <c r="Z23" i="4"/>
  <c r="Z22" i="4"/>
  <c r="Z17" i="4"/>
  <c r="C275" i="1"/>
  <c r="C273" i="1"/>
  <c r="C271" i="1"/>
  <c r="C269" i="1"/>
  <c r="C267" i="1"/>
  <c r="C265" i="1"/>
  <c r="P224" i="1"/>
  <c r="C5" i="3"/>
  <c r="D244" i="1" s="1"/>
  <c r="AH235" i="1" l="1"/>
  <c r="AG209" i="1"/>
  <c r="AE209" i="1"/>
  <c r="AF209" i="1"/>
  <c r="AL209" i="1"/>
  <c r="AJ209" i="1" s="1"/>
  <c r="Z18" i="4"/>
  <c r="Z19" i="4" s="1"/>
  <c r="AI20" i="4"/>
  <c r="BG244" i="1"/>
  <c r="BG245" i="1"/>
  <c r="AC21" i="4"/>
  <c r="AC22" i="4"/>
  <c r="AC23" i="4"/>
  <c r="AC17" i="4"/>
  <c r="BG224" i="1"/>
  <c r="C7" i="3"/>
  <c r="D248" i="1" s="1"/>
  <c r="C4" i="3"/>
  <c r="D242" i="1" s="1"/>
  <c r="C12" i="3"/>
  <c r="D258" i="1" s="1"/>
  <c r="C11" i="3"/>
  <c r="D256" i="1" s="1"/>
  <c r="C10" i="3"/>
  <c r="D254" i="1" s="1"/>
  <c r="C9" i="3"/>
  <c r="D252" i="1" s="1"/>
  <c r="C8" i="3"/>
  <c r="D250" i="1" s="1"/>
  <c r="C6" i="3"/>
  <c r="D246" i="1" s="1"/>
  <c r="C199" i="1"/>
  <c r="C10" i="5" s="1"/>
  <c r="C26" i="5" s="1"/>
  <c r="C27" i="5" s="1"/>
  <c r="C200" i="1"/>
  <c r="C11" i="5" s="1"/>
  <c r="C28" i="5" s="1"/>
  <c r="C29" i="5" s="1"/>
  <c r="P245" i="1"/>
  <c r="P275" i="1"/>
  <c r="P273" i="1"/>
  <c r="P271" i="1"/>
  <c r="P272" i="1" s="1"/>
  <c r="P269" i="1"/>
  <c r="P270" i="1" s="1"/>
  <c r="P267" i="1"/>
  <c r="P268" i="1" s="1"/>
  <c r="C244" i="1"/>
  <c r="C246" i="1"/>
  <c r="C248" i="1"/>
  <c r="C250" i="1"/>
  <c r="C252" i="1"/>
  <c r="C254" i="1"/>
  <c r="C256" i="1"/>
  <c r="C258" i="1"/>
  <c r="C242" i="1"/>
  <c r="P211" i="1"/>
  <c r="Q210" i="1"/>
  <c r="AI209" i="1" l="1"/>
  <c r="AK209" i="1"/>
  <c r="AE232" i="1"/>
  <c r="AE233" i="1"/>
  <c r="AG233" i="1"/>
  <c r="AG232" i="1"/>
  <c r="AF233" i="1"/>
  <c r="AF232" i="1"/>
  <c r="AE235" i="1"/>
  <c r="AG235" i="1"/>
  <c r="AF235" i="1"/>
  <c r="AQ209" i="1"/>
  <c r="BG242" i="1"/>
  <c r="BG243" i="1"/>
  <c r="AL20" i="4"/>
  <c r="AC18" i="4"/>
  <c r="AC19" i="4" s="1"/>
  <c r="BG254" i="1"/>
  <c r="BG255" i="1"/>
  <c r="BG247" i="1"/>
  <c r="BG246" i="1"/>
  <c r="BG250" i="1"/>
  <c r="BG251" i="1"/>
  <c r="BG257" i="1"/>
  <c r="BG256" i="1"/>
  <c r="BG249" i="1"/>
  <c r="BG248" i="1"/>
  <c r="BG253" i="1"/>
  <c r="BG252" i="1"/>
  <c r="P259" i="1"/>
  <c r="BG259" i="1"/>
  <c r="BG258" i="1"/>
  <c r="Q222" i="1"/>
  <c r="Q223" i="1" s="1"/>
  <c r="Q218" i="1"/>
  <c r="Q219" i="1" s="1"/>
  <c r="Q226" i="1"/>
  <c r="Q229" i="1"/>
  <c r="Q232" i="1"/>
  <c r="Q227" i="1"/>
  <c r="Q228" i="1"/>
  <c r="Q214" i="1"/>
  <c r="AF22" i="4"/>
  <c r="AF23" i="4"/>
  <c r="AF21" i="4"/>
  <c r="AF17" i="4"/>
  <c r="P243" i="1"/>
  <c r="P242" i="1"/>
  <c r="P251" i="1"/>
  <c r="P250" i="1"/>
  <c r="P254" i="1"/>
  <c r="P253" i="1"/>
  <c r="P256" i="1"/>
  <c r="P246" i="1"/>
  <c r="R210" i="1"/>
  <c r="Q269" i="1"/>
  <c r="Q270" i="1" s="1"/>
  <c r="P247" i="1"/>
  <c r="Q258" i="1"/>
  <c r="Q267" i="1"/>
  <c r="Q268" i="1" s="1"/>
  <c r="P255" i="1"/>
  <c r="Q256" i="1"/>
  <c r="Q275" i="1"/>
  <c r="P244" i="1"/>
  <c r="P252" i="1"/>
  <c r="Q273" i="1"/>
  <c r="Q274" i="1" s="1"/>
  <c r="Q271" i="1"/>
  <c r="Q272" i="1" s="1"/>
  <c r="Q254" i="1"/>
  <c r="Q247" i="1"/>
  <c r="Q251" i="1"/>
  <c r="Q255" i="1"/>
  <c r="Q259" i="1"/>
  <c r="P277" i="1"/>
  <c r="Q265" i="1"/>
  <c r="Q266" i="1" s="1"/>
  <c r="P248" i="1"/>
  <c r="Q244" i="1"/>
  <c r="P249" i="1"/>
  <c r="P257" i="1"/>
  <c r="Q248" i="1"/>
  <c r="Q245" i="1"/>
  <c r="Q252" i="1"/>
  <c r="P258" i="1"/>
  <c r="Q242" i="1"/>
  <c r="Q249" i="1"/>
  <c r="Q253" i="1"/>
  <c r="Q257" i="1"/>
  <c r="Q246" i="1"/>
  <c r="Q243" i="1"/>
  <c r="Q250" i="1"/>
  <c r="P274" i="1"/>
  <c r="P278" i="1" s="1"/>
  <c r="Q211" i="1"/>
  <c r="Q224" i="1"/>
  <c r="AK233" i="1" l="1"/>
  <c r="AK232" i="1"/>
  <c r="AJ232" i="1"/>
  <c r="AJ233" i="1"/>
  <c r="AI232" i="1"/>
  <c r="AI233" i="1"/>
  <c r="AM209" i="1"/>
  <c r="AO209" i="1"/>
  <c r="AN209" i="1"/>
  <c r="AP209" i="1"/>
  <c r="R218" i="1"/>
  <c r="R219" i="1" s="1"/>
  <c r="AV209" i="1"/>
  <c r="AS209" i="1" s="1"/>
  <c r="AO20" i="4"/>
  <c r="AF18" i="4"/>
  <c r="AF19" i="4" s="1"/>
  <c r="BG261" i="1"/>
  <c r="BG260" i="1"/>
  <c r="R267" i="1"/>
  <c r="R268" i="1" s="1"/>
  <c r="R248" i="1"/>
  <c r="R222" i="1"/>
  <c r="R223" i="1" s="1"/>
  <c r="R273" i="1"/>
  <c r="R274" i="1" s="1"/>
  <c r="R244" i="1"/>
  <c r="R243" i="1"/>
  <c r="R265" i="1"/>
  <c r="R266" i="1" s="1"/>
  <c r="R245" i="1"/>
  <c r="R211" i="1"/>
  <c r="Q215" i="1"/>
  <c r="Q216" i="1"/>
  <c r="Q217" i="1" s="1"/>
  <c r="R235" i="1"/>
  <c r="S210" i="1"/>
  <c r="R214" i="1"/>
  <c r="R224" i="1"/>
  <c r="R258" i="1"/>
  <c r="R257" i="1"/>
  <c r="R269" i="1"/>
  <c r="R270" i="1" s="1"/>
  <c r="R253" i="1"/>
  <c r="R252" i="1"/>
  <c r="R228" i="1"/>
  <c r="R226" i="1"/>
  <c r="R229" i="1"/>
  <c r="R232" i="1"/>
  <c r="R227" i="1"/>
  <c r="AI23" i="4"/>
  <c r="AI21" i="4"/>
  <c r="AI22" i="4"/>
  <c r="AI17" i="4"/>
  <c r="AI18" i="4" s="1"/>
  <c r="P261" i="1"/>
  <c r="Q261" i="1"/>
  <c r="R255" i="1"/>
  <c r="R254" i="1"/>
  <c r="R250" i="1"/>
  <c r="R247" i="1"/>
  <c r="R249" i="1"/>
  <c r="R242" i="1"/>
  <c r="R251" i="1"/>
  <c r="R256" i="1"/>
  <c r="R275" i="1"/>
  <c r="R246" i="1"/>
  <c r="R271" i="1"/>
  <c r="R272" i="1" s="1"/>
  <c r="R259" i="1"/>
  <c r="Q277" i="1"/>
  <c r="P260" i="1"/>
  <c r="Q260" i="1"/>
  <c r="Q278" i="1"/>
  <c r="AS233" i="1" l="1"/>
  <c r="AS232" i="1"/>
  <c r="AM232" i="1"/>
  <c r="AM233" i="1"/>
  <c r="AM235" i="1"/>
  <c r="AR209" i="1"/>
  <c r="BA209" i="1"/>
  <c r="AW209" i="1" s="1"/>
  <c r="AP233" i="1"/>
  <c r="AP232" i="1"/>
  <c r="AT209" i="1"/>
  <c r="AO233" i="1"/>
  <c r="AO232" i="1"/>
  <c r="AN233" i="1"/>
  <c r="AN232" i="1"/>
  <c r="AU209" i="1"/>
  <c r="S218" i="1"/>
  <c r="S219" i="1" s="1"/>
  <c r="S259" i="1"/>
  <c r="S249" i="1"/>
  <c r="S247" i="1"/>
  <c r="S245" i="1"/>
  <c r="S267" i="1"/>
  <c r="S268" i="1" s="1"/>
  <c r="S255" i="1"/>
  <c r="S254" i="1"/>
  <c r="S246" i="1"/>
  <c r="S257" i="1"/>
  <c r="S252" i="1"/>
  <c r="S275" i="1"/>
  <c r="S242" i="1"/>
  <c r="S222" i="1"/>
  <c r="S223" i="1" s="1"/>
  <c r="S253" i="1"/>
  <c r="S251" i="1"/>
  <c r="S244" i="1"/>
  <c r="S265" i="1"/>
  <c r="S266" i="1" s="1"/>
  <c r="S248" i="1"/>
  <c r="T210" i="1"/>
  <c r="S258" i="1"/>
  <c r="S256" i="1"/>
  <c r="S224" i="1"/>
  <c r="S269" i="1"/>
  <c r="S270" i="1" s="1"/>
  <c r="R278" i="1"/>
  <c r="S243" i="1"/>
  <c r="S271" i="1"/>
  <c r="S272" i="1" s="1"/>
  <c r="S273" i="1"/>
  <c r="S274" i="1" s="1"/>
  <c r="S211" i="1"/>
  <c r="S250" i="1"/>
  <c r="S235" i="1"/>
  <c r="R215" i="1"/>
  <c r="R216" i="1"/>
  <c r="R217" i="1" s="1"/>
  <c r="S227" i="1"/>
  <c r="S228" i="1"/>
  <c r="S229" i="1"/>
  <c r="S232" i="1"/>
  <c r="S226" i="1"/>
  <c r="R277" i="1"/>
  <c r="S214" i="1"/>
  <c r="AL22" i="4"/>
  <c r="AL21" i="4"/>
  <c r="AL23" i="4"/>
  <c r="AL17" i="4"/>
  <c r="AL18" i="4" s="1"/>
  <c r="AI19" i="4"/>
  <c r="R260" i="1"/>
  <c r="R261" i="1"/>
  <c r="AW232" i="1" l="1"/>
  <c r="AW233" i="1"/>
  <c r="AW235" i="1"/>
  <c r="AY209" i="1"/>
  <c r="AU233" i="1"/>
  <c r="AU232" i="1"/>
  <c r="AX209" i="1"/>
  <c r="AR232" i="1"/>
  <c r="AR233" i="1"/>
  <c r="AR235" i="1"/>
  <c r="AZ209" i="1"/>
  <c r="AT232" i="1"/>
  <c r="AT233" i="1"/>
  <c r="T254" i="1"/>
  <c r="BB209" i="1"/>
  <c r="T258" i="1"/>
  <c r="T255" i="1"/>
  <c r="T267" i="1"/>
  <c r="T268" i="1" s="1"/>
  <c r="T252" i="1"/>
  <c r="T253" i="1"/>
  <c r="T244" i="1"/>
  <c r="T250" i="1"/>
  <c r="T265" i="1"/>
  <c r="T266" i="1" s="1"/>
  <c r="S261" i="1"/>
  <c r="T251" i="1"/>
  <c r="T243" i="1"/>
  <c r="T273" i="1"/>
  <c r="T274" i="1" s="1"/>
  <c r="T257" i="1"/>
  <c r="T249" i="1"/>
  <c r="T256" i="1"/>
  <c r="T271" i="1"/>
  <c r="T272" i="1" s="1"/>
  <c r="S278" i="1"/>
  <c r="T218" i="1"/>
  <c r="T211" i="1"/>
  <c r="T245" i="1"/>
  <c r="T246" i="1"/>
  <c r="T269" i="1"/>
  <c r="T270" i="1" s="1"/>
  <c r="T214" i="1"/>
  <c r="T216" i="1" s="1"/>
  <c r="T224" i="1"/>
  <c r="T248" i="1"/>
  <c r="U210" i="1"/>
  <c r="U242" i="1" s="1"/>
  <c r="T259" i="1"/>
  <c r="S260" i="1"/>
  <c r="T247" i="1"/>
  <c r="T275" i="1"/>
  <c r="S277" i="1"/>
  <c r="T242" i="1"/>
  <c r="T235" i="1"/>
  <c r="S215" i="1"/>
  <c r="S216" i="1"/>
  <c r="S217" i="1" s="1"/>
  <c r="T227" i="1"/>
  <c r="T232" i="1"/>
  <c r="T228" i="1"/>
  <c r="T229" i="1"/>
  <c r="T226" i="1"/>
  <c r="AO21" i="4"/>
  <c r="AO22" i="4"/>
  <c r="AO23" i="4"/>
  <c r="AO17" i="4"/>
  <c r="AO18" i="4" s="1"/>
  <c r="AO19" i="4" s="1"/>
  <c r="AL19" i="4"/>
  <c r="AX232" i="1" l="1"/>
  <c r="AX233" i="1"/>
  <c r="AY233" i="1"/>
  <c r="AY232" i="1"/>
  <c r="U252" i="1"/>
  <c r="AZ233" i="1"/>
  <c r="AZ232" i="1"/>
  <c r="U255" i="1"/>
  <c r="BC209" i="1"/>
  <c r="BB232" i="1"/>
  <c r="BB233" i="1"/>
  <c r="U245" i="1"/>
  <c r="T260" i="1"/>
  <c r="T278" i="1"/>
  <c r="U258" i="1"/>
  <c r="U224" i="1"/>
  <c r="V210" i="1"/>
  <c r="V214" i="1" s="1"/>
  <c r="U247" i="1"/>
  <c r="U273" i="1"/>
  <c r="U274" i="1" s="1"/>
  <c r="U253" i="1"/>
  <c r="U254" i="1"/>
  <c r="T277" i="1"/>
  <c r="U250" i="1"/>
  <c r="T261" i="1"/>
  <c r="U211" i="1"/>
  <c r="U248" i="1"/>
  <c r="U271" i="1"/>
  <c r="U272" i="1" s="1"/>
  <c r="U218" i="1"/>
  <c r="U267" i="1"/>
  <c r="U268" i="1" s="1"/>
  <c r="U249" i="1"/>
  <c r="U214" i="1"/>
  <c r="U215" i="1" s="1"/>
  <c r="U257" i="1"/>
  <c r="U256" i="1"/>
  <c r="U251" i="1"/>
  <c r="U269" i="1"/>
  <c r="U270" i="1" s="1"/>
  <c r="U244" i="1"/>
  <c r="U265" i="1"/>
  <c r="U266" i="1" s="1"/>
  <c r="U275" i="1"/>
  <c r="U246" i="1"/>
  <c r="T215" i="1"/>
  <c r="U243" i="1"/>
  <c r="U259" i="1"/>
  <c r="U235" i="1"/>
  <c r="U227" i="1"/>
  <c r="U228" i="1"/>
  <c r="U226" i="1"/>
  <c r="U229" i="1"/>
  <c r="U232" i="1"/>
  <c r="V256" i="1" l="1"/>
  <c r="V218" i="1"/>
  <c r="BD209" i="1"/>
  <c r="BC233" i="1"/>
  <c r="BC232" i="1"/>
  <c r="V224" i="1"/>
  <c r="V253" i="1"/>
  <c r="V265" i="1"/>
  <c r="V275" i="1"/>
  <c r="V250" i="1"/>
  <c r="V251" i="1"/>
  <c r="V243" i="1"/>
  <c r="V257" i="1"/>
  <c r="V244" i="1"/>
  <c r="V242" i="1"/>
  <c r="V247" i="1"/>
  <c r="V254" i="1"/>
  <c r="V255" i="1"/>
  <c r="V211" i="1"/>
  <c r="V267" i="1"/>
  <c r="V268" i="1" s="1"/>
  <c r="V252" i="1"/>
  <c r="V245" i="1"/>
  <c r="V271" i="1"/>
  <c r="V272" i="1" s="1"/>
  <c r="V269" i="1"/>
  <c r="V270" i="1" s="1"/>
  <c r="V249" i="1"/>
  <c r="V248" i="1"/>
  <c r="W210" i="1"/>
  <c r="V259" i="1"/>
  <c r="V258" i="1"/>
  <c r="V273" i="1"/>
  <c r="V274" i="1" s="1"/>
  <c r="V246" i="1"/>
  <c r="U278" i="1"/>
  <c r="U261" i="1"/>
  <c r="U277" i="1"/>
  <c r="U260" i="1"/>
  <c r="U216" i="1"/>
  <c r="V235" i="1"/>
  <c r="V215" i="1"/>
  <c r="V216" i="1"/>
  <c r="V227" i="1"/>
  <c r="V228" i="1"/>
  <c r="V229" i="1"/>
  <c r="V226" i="1"/>
  <c r="V232" i="1"/>
  <c r="V266" i="1"/>
  <c r="W252" i="1" l="1"/>
  <c r="BE209" i="1"/>
  <c r="BD232" i="1"/>
  <c r="BD233" i="1"/>
  <c r="W255" i="1"/>
  <c r="W267" i="1"/>
  <c r="W268" i="1" s="1"/>
  <c r="W242" i="1"/>
  <c r="W265" i="1"/>
  <c r="W266" i="1" s="1"/>
  <c r="W224" i="1"/>
  <c r="W253" i="1"/>
  <c r="W258" i="1"/>
  <c r="W275" i="1"/>
  <c r="W247" i="1"/>
  <c r="X210" i="1"/>
  <c r="W254" i="1"/>
  <c r="W259" i="1"/>
  <c r="W243" i="1"/>
  <c r="V260" i="1"/>
  <c r="W249" i="1"/>
  <c r="V261" i="1"/>
  <c r="V277" i="1"/>
  <c r="W245" i="1"/>
  <c r="W256" i="1"/>
  <c r="W251" i="1"/>
  <c r="W250" i="1"/>
  <c r="W269" i="1"/>
  <c r="W270" i="1" s="1"/>
  <c r="V278" i="1"/>
  <c r="W214" i="1"/>
  <c r="W215" i="1" s="1"/>
  <c r="W271" i="1"/>
  <c r="W272" i="1" s="1"/>
  <c r="W218" i="1"/>
  <c r="W211" i="1"/>
  <c r="W244" i="1"/>
  <c r="W246" i="1"/>
  <c r="W257" i="1"/>
  <c r="W273" i="1"/>
  <c r="W274" i="1" s="1"/>
  <c r="W248" i="1"/>
  <c r="X235" i="1"/>
  <c r="W235" i="1"/>
  <c r="W233" i="1"/>
  <c r="W232" i="1"/>
  <c r="W227" i="1"/>
  <c r="W229" i="1"/>
  <c r="W228" i="1"/>
  <c r="W226" i="1"/>
  <c r="X218" i="1" l="1"/>
  <c r="BF209" i="1"/>
  <c r="BE232" i="1"/>
  <c r="BE233" i="1"/>
  <c r="X255" i="1"/>
  <c r="X258" i="1"/>
  <c r="X259" i="1"/>
  <c r="X211" i="1"/>
  <c r="X273" i="1"/>
  <c r="X274" i="1" s="1"/>
  <c r="X271" i="1"/>
  <c r="X272" i="1" s="1"/>
  <c r="X269" i="1"/>
  <c r="X270" i="1" s="1"/>
  <c r="X250" i="1"/>
  <c r="X267" i="1"/>
  <c r="X268" i="1" s="1"/>
  <c r="X253" i="1"/>
  <c r="X245" i="1"/>
  <c r="X243" i="1"/>
  <c r="X242" i="1"/>
  <c r="X251" i="1"/>
  <c r="X257" i="1"/>
  <c r="X224" i="1"/>
  <c r="X244" i="1"/>
  <c r="X252" i="1"/>
  <c r="X256" i="1"/>
  <c r="X265" i="1"/>
  <c r="X266" i="1" s="1"/>
  <c r="X249" i="1"/>
  <c r="X254" i="1"/>
  <c r="X248" i="1"/>
  <c r="X247" i="1"/>
  <c r="Y210" i="1"/>
  <c r="Y248" i="1" s="1"/>
  <c r="X246" i="1"/>
  <c r="X275" i="1"/>
  <c r="X214" i="1"/>
  <c r="X215" i="1" s="1"/>
  <c r="W261" i="1"/>
  <c r="W216" i="1"/>
  <c r="W260" i="1"/>
  <c r="W277" i="1"/>
  <c r="W278" i="1"/>
  <c r="X232" i="1"/>
  <c r="X233" i="1"/>
  <c r="X227" i="1"/>
  <c r="X229" i="1"/>
  <c r="X226" i="1"/>
  <c r="X228" i="1"/>
  <c r="Y275" i="1"/>
  <c r="Y271" i="1"/>
  <c r="Y272" i="1" s="1"/>
  <c r="Y224" i="1" l="1"/>
  <c r="Y214" i="1"/>
  <c r="Y216" i="1" s="1"/>
  <c r="Y211" i="1"/>
  <c r="BG209" i="1"/>
  <c r="BF232" i="1"/>
  <c r="BF233" i="1"/>
  <c r="X278" i="1"/>
  <c r="X277" i="1"/>
  <c r="X261" i="1"/>
  <c r="X260" i="1"/>
  <c r="Y245" i="1"/>
  <c r="Y247" i="1"/>
  <c r="Y255" i="1"/>
  <c r="Y242" i="1"/>
  <c r="Z210" i="1"/>
  <c r="Y256" i="1"/>
  <c r="Y269" i="1"/>
  <c r="Y270" i="1" s="1"/>
  <c r="Y265" i="1"/>
  <c r="Y266" i="1" s="1"/>
  <c r="Y258" i="1"/>
  <c r="Y267" i="1"/>
  <c r="Y268" i="1" s="1"/>
  <c r="Y253" i="1"/>
  <c r="Y249" i="1"/>
  <c r="Y254" i="1"/>
  <c r="Y244" i="1"/>
  <c r="Y218" i="1"/>
  <c r="Y252" i="1"/>
  <c r="Y250" i="1"/>
  <c r="Y243" i="1"/>
  <c r="Y259" i="1"/>
  <c r="Y251" i="1"/>
  <c r="Y273" i="1"/>
  <c r="Y274" i="1" s="1"/>
  <c r="Y257" i="1"/>
  <c r="Y246" i="1"/>
  <c r="X216" i="1"/>
  <c r="Y215" i="1"/>
  <c r="Y235" i="1"/>
  <c r="Y233" i="1"/>
  <c r="Y232" i="1"/>
  <c r="Y228" i="1"/>
  <c r="Y229" i="1"/>
  <c r="Y226" i="1"/>
  <c r="Y227" i="1"/>
  <c r="Z218" i="1" l="1"/>
  <c r="Z247" i="1"/>
  <c r="Z252" i="1"/>
  <c r="Z250" i="1"/>
  <c r="Z267" i="1"/>
  <c r="Z268" i="1" s="1"/>
  <c r="Z254" i="1"/>
  <c r="Y260" i="1"/>
  <c r="Z258" i="1"/>
  <c r="Z265" i="1"/>
  <c r="Z266" i="1" s="1"/>
  <c r="Z244" i="1"/>
  <c r="Z251" i="1"/>
  <c r="Z224" i="1"/>
  <c r="Z269" i="1"/>
  <c r="Z270" i="1" s="1"/>
  <c r="Z256" i="1"/>
  <c r="Z253" i="1"/>
  <c r="Z259" i="1"/>
  <c r="Z245" i="1"/>
  <c r="Z249" i="1"/>
  <c r="Z271" i="1"/>
  <c r="Z272" i="1" s="1"/>
  <c r="Z257" i="1"/>
  <c r="AA210" i="1"/>
  <c r="AA256" i="1" s="1"/>
  <c r="Z242" i="1"/>
  <c r="Z214" i="1"/>
  <c r="Z216" i="1" s="1"/>
  <c r="Y261" i="1"/>
  <c r="Z255" i="1"/>
  <c r="Z248" i="1"/>
  <c r="Z273" i="1"/>
  <c r="Z274" i="1" s="1"/>
  <c r="Z243" i="1"/>
  <c r="Z246" i="1"/>
  <c r="Z275" i="1"/>
  <c r="Z211" i="1"/>
  <c r="Y277" i="1"/>
  <c r="Y278" i="1"/>
  <c r="Z235" i="1"/>
  <c r="Z233" i="1"/>
  <c r="Z232" i="1"/>
  <c r="Z229" i="1"/>
  <c r="Z226" i="1"/>
  <c r="Z228" i="1"/>
  <c r="Z227" i="1"/>
  <c r="AA269" i="1" l="1"/>
  <c r="AA270" i="1" s="1"/>
  <c r="AA254" i="1"/>
  <c r="AA211" i="1"/>
  <c r="AA247" i="1"/>
  <c r="AA273" i="1"/>
  <c r="AA274" i="1" s="1"/>
  <c r="Z215" i="1"/>
  <c r="AA275" i="1"/>
  <c r="AA259" i="1"/>
  <c r="AA249" i="1"/>
  <c r="AA250" i="1"/>
  <c r="AA248" i="1"/>
  <c r="AA245" i="1"/>
  <c r="AA258" i="1"/>
  <c r="AA242" i="1"/>
  <c r="Z277" i="1"/>
  <c r="Z260" i="1"/>
  <c r="AA252" i="1"/>
  <c r="AA257" i="1"/>
  <c r="AA224" i="1"/>
  <c r="AA255" i="1"/>
  <c r="AA218" i="1"/>
  <c r="AA246" i="1"/>
  <c r="AA244" i="1"/>
  <c r="AB210" i="1"/>
  <c r="AB275" i="1" s="1"/>
  <c r="AA243" i="1"/>
  <c r="AA214" i="1"/>
  <c r="AA216" i="1" s="1"/>
  <c r="AA253" i="1"/>
  <c r="AA271" i="1"/>
  <c r="AA272" i="1" s="1"/>
  <c r="AA251" i="1"/>
  <c r="Z261" i="1"/>
  <c r="Z278" i="1"/>
  <c r="AA267" i="1"/>
  <c r="AA268" i="1" s="1"/>
  <c r="AA265" i="1"/>
  <c r="AA266" i="1" s="1"/>
  <c r="AA233" i="1"/>
  <c r="AA235" i="1"/>
  <c r="AA226" i="1"/>
  <c r="AA228" i="1"/>
  <c r="AA232" i="1"/>
  <c r="AA227" i="1"/>
  <c r="AA229" i="1"/>
  <c r="AB250" i="1" l="1"/>
  <c r="AB267" i="1"/>
  <c r="AB268" i="1" s="1"/>
  <c r="AB256" i="1"/>
  <c r="AB249" i="1"/>
  <c r="AB246" i="1"/>
  <c r="AB218" i="1"/>
  <c r="AB252" i="1"/>
  <c r="AB269" i="1"/>
  <c r="AB270" i="1" s="1"/>
  <c r="AB254" i="1"/>
  <c r="AB253" i="1"/>
  <c r="AB257" i="1"/>
  <c r="AB244" i="1"/>
  <c r="AB214" i="1"/>
  <c r="AB215" i="1" s="1"/>
  <c r="AB271" i="1"/>
  <c r="AB272" i="1" s="1"/>
  <c r="AB211" i="1"/>
  <c r="AA261" i="1"/>
  <c r="AA260" i="1"/>
  <c r="AB242" i="1"/>
  <c r="AB243" i="1"/>
  <c r="AB251" i="1"/>
  <c r="AB247" i="1"/>
  <c r="AB245" i="1"/>
  <c r="AB248" i="1"/>
  <c r="AA215" i="1"/>
  <c r="AB258" i="1"/>
  <c r="AC210" i="1"/>
  <c r="AB273" i="1"/>
  <c r="AB274" i="1" s="1"/>
  <c r="AA277" i="1"/>
  <c r="AB265" i="1"/>
  <c r="AB266" i="1" s="1"/>
  <c r="AB255" i="1"/>
  <c r="AB259" i="1"/>
  <c r="AB224" i="1"/>
  <c r="AA278" i="1"/>
  <c r="AB233" i="1"/>
  <c r="AB235" i="1"/>
  <c r="AB226" i="1"/>
  <c r="AB228" i="1"/>
  <c r="AB229" i="1"/>
  <c r="AB232" i="1"/>
  <c r="AB227" i="1"/>
  <c r="AC218" i="1" l="1"/>
  <c r="AB216" i="1"/>
  <c r="AB261" i="1"/>
  <c r="AB260" i="1"/>
  <c r="AC243" i="1"/>
  <c r="AC244" i="1"/>
  <c r="AC256" i="1"/>
  <c r="AC259" i="1"/>
  <c r="AC242" i="1"/>
  <c r="AC253" i="1"/>
  <c r="AC275" i="1"/>
  <c r="AC251" i="1"/>
  <c r="AC248" i="1"/>
  <c r="AC246" i="1"/>
  <c r="AC267" i="1"/>
  <c r="AC268" i="1" s="1"/>
  <c r="AC249" i="1"/>
  <c r="AC245" i="1"/>
  <c r="AC255" i="1"/>
  <c r="AC252" i="1"/>
  <c r="AC247" i="1"/>
  <c r="AC211" i="1"/>
  <c r="AD210" i="1"/>
  <c r="AC214" i="1"/>
  <c r="AC215" i="1" s="1"/>
  <c r="AC269" i="1"/>
  <c r="AC270" i="1" s="1"/>
  <c r="AC254" i="1"/>
  <c r="AC224" i="1"/>
  <c r="AC258" i="1"/>
  <c r="AB278" i="1"/>
  <c r="AB277" i="1"/>
  <c r="AC265" i="1"/>
  <c r="AC266" i="1" s="1"/>
  <c r="AC250" i="1"/>
  <c r="AC257" i="1"/>
  <c r="AC273" i="1"/>
  <c r="AC274" i="1" s="1"/>
  <c r="AC271" i="1"/>
  <c r="AC272" i="1" s="1"/>
  <c r="AC233" i="1"/>
  <c r="AC235" i="1"/>
  <c r="AC229" i="1"/>
  <c r="AC228" i="1"/>
  <c r="AC226" i="1"/>
  <c r="AC232" i="1"/>
  <c r="AC227" i="1"/>
  <c r="AD218" i="1" l="1"/>
  <c r="AD249" i="1"/>
  <c r="AD248" i="1"/>
  <c r="AD250" i="1"/>
  <c r="AD254" i="1"/>
  <c r="AH210" i="1"/>
  <c r="AD245" i="1"/>
  <c r="AD224" i="1"/>
  <c r="AD247" i="1"/>
  <c r="AD273" i="1"/>
  <c r="AD274" i="1" s="1"/>
  <c r="AD253" i="1"/>
  <c r="AD211" i="1"/>
  <c r="AD251" i="1"/>
  <c r="AD267" i="1"/>
  <c r="AD268" i="1" s="1"/>
  <c r="AD214" i="1"/>
  <c r="AD215" i="1" s="1"/>
  <c r="AD243" i="1"/>
  <c r="AD275" i="1"/>
  <c r="AD269" i="1"/>
  <c r="AD270" i="1" s="1"/>
  <c r="AD271" i="1"/>
  <c r="AD272" i="1" s="1"/>
  <c r="AD255" i="1"/>
  <c r="AC261" i="1"/>
  <c r="AD257" i="1"/>
  <c r="AD256" i="1"/>
  <c r="AD258" i="1"/>
  <c r="AD252" i="1"/>
  <c r="AD242" i="1"/>
  <c r="AD259" i="1"/>
  <c r="AC260" i="1"/>
  <c r="AC216" i="1"/>
  <c r="AC278" i="1"/>
  <c r="AC277" i="1"/>
  <c r="AD244" i="1"/>
  <c r="AD246" i="1"/>
  <c r="AD265" i="1"/>
  <c r="AD266" i="1" s="1"/>
  <c r="AD233" i="1"/>
  <c r="AD235" i="1"/>
  <c r="AD229" i="1"/>
  <c r="AD226" i="1"/>
  <c r="AD228" i="1"/>
  <c r="AD232" i="1"/>
  <c r="AD227" i="1"/>
  <c r="AH254" i="1"/>
  <c r="AH251" i="1" l="1"/>
  <c r="AH249" i="1"/>
  <c r="AH244" i="1"/>
  <c r="AE210" i="1"/>
  <c r="AG210" i="1"/>
  <c r="AF210" i="1"/>
  <c r="AH271" i="1"/>
  <c r="AH272" i="1" s="1"/>
  <c r="AH245" i="1"/>
  <c r="AH273" i="1"/>
  <c r="AH274" i="1" s="1"/>
  <c r="AH242" i="1"/>
  <c r="AH252" i="1"/>
  <c r="AH257" i="1"/>
  <c r="AH267" i="1"/>
  <c r="AH268" i="1" s="1"/>
  <c r="AH256" i="1"/>
  <c r="AH259" i="1"/>
  <c r="AH246" i="1"/>
  <c r="AH258" i="1"/>
  <c r="AH211" i="1"/>
  <c r="AH218" i="1"/>
  <c r="AH243" i="1"/>
  <c r="AH255" i="1"/>
  <c r="AH247" i="1"/>
  <c r="AH214" i="1"/>
  <c r="AH215" i="1" s="1"/>
  <c r="AH253" i="1"/>
  <c r="AH269" i="1"/>
  <c r="AH270" i="1" s="1"/>
  <c r="AH275" i="1"/>
  <c r="AH248" i="1"/>
  <c r="AL210" i="1"/>
  <c r="AI210" i="1" s="1"/>
  <c r="AH250" i="1"/>
  <c r="AH265" i="1"/>
  <c r="AH266" i="1" s="1"/>
  <c r="AH224" i="1"/>
  <c r="AD278" i="1"/>
  <c r="AD261" i="1"/>
  <c r="AD216" i="1"/>
  <c r="AD260" i="1"/>
  <c r="AD277" i="1"/>
  <c r="AH233" i="1"/>
  <c r="AH226" i="1"/>
  <c r="AH228" i="1"/>
  <c r="AH232" i="1"/>
  <c r="AH227" i="1"/>
  <c r="AH229" i="1"/>
  <c r="AL234" i="1" l="1"/>
  <c r="AJ210" i="1"/>
  <c r="AK210" i="1"/>
  <c r="AL255" i="1"/>
  <c r="AQ234" i="1"/>
  <c r="AV234" i="1" s="1"/>
  <c r="BA234" i="1" s="1"/>
  <c r="BB234" i="1" s="1"/>
  <c r="AL245" i="1"/>
  <c r="AL257" i="1"/>
  <c r="AL224" i="1"/>
  <c r="AQ210" i="1"/>
  <c r="AL256" i="1"/>
  <c r="AH216" i="1"/>
  <c r="AL259" i="1"/>
  <c r="AL271" i="1"/>
  <c r="AL272" i="1" s="1"/>
  <c r="AL246" i="1"/>
  <c r="AL242" i="1"/>
  <c r="AL267" i="1"/>
  <c r="AL268" i="1" s="1"/>
  <c r="AL250" i="1"/>
  <c r="AL252" i="1"/>
  <c r="AL211" i="1"/>
  <c r="AL273" i="1"/>
  <c r="AL274" i="1" s="1"/>
  <c r="AL269" i="1"/>
  <c r="AL270" i="1" s="1"/>
  <c r="AL275" i="1"/>
  <c r="AL258" i="1"/>
  <c r="AL243" i="1"/>
  <c r="AL244" i="1"/>
  <c r="AL251" i="1"/>
  <c r="AL218" i="1"/>
  <c r="AL265" i="1"/>
  <c r="AL266" i="1" s="1"/>
  <c r="AL248" i="1"/>
  <c r="AH260" i="1"/>
  <c r="AH261" i="1"/>
  <c r="AL254" i="1"/>
  <c r="AH277" i="1"/>
  <c r="AL214" i="1"/>
  <c r="AL215" i="1" s="1"/>
  <c r="AL247" i="1"/>
  <c r="AL249" i="1"/>
  <c r="AL253" i="1"/>
  <c r="AH278" i="1"/>
  <c r="AF267" i="1"/>
  <c r="AF268" i="1" s="1"/>
  <c r="AF273" i="1"/>
  <c r="AF274" i="1" s="1"/>
  <c r="AF269" i="1"/>
  <c r="AF270" i="1" s="1"/>
  <c r="AF224" i="1"/>
  <c r="AF211" i="1"/>
  <c r="AF214" i="1"/>
  <c r="AF265" i="1"/>
  <c r="AF218" i="1"/>
  <c r="AF275" i="1"/>
  <c r="AF271" i="1"/>
  <c r="AF272" i="1" s="1"/>
  <c r="AF245" i="1"/>
  <c r="AF244" i="1"/>
  <c r="AF253" i="1"/>
  <c r="AF246" i="1"/>
  <c r="AF250" i="1"/>
  <c r="AF252" i="1"/>
  <c r="AF256" i="1"/>
  <c r="AF247" i="1"/>
  <c r="AF251" i="1"/>
  <c r="AF257" i="1"/>
  <c r="AF258" i="1"/>
  <c r="AF254" i="1"/>
  <c r="AF242" i="1"/>
  <c r="AF248" i="1"/>
  <c r="AF259" i="1"/>
  <c r="AF255" i="1"/>
  <c r="AF249" i="1"/>
  <c r="AF243" i="1"/>
  <c r="AG267" i="1"/>
  <c r="AG268" i="1" s="1"/>
  <c r="AG273" i="1"/>
  <c r="AG274" i="1" s="1"/>
  <c r="AG214" i="1"/>
  <c r="AG269" i="1"/>
  <c r="AG270" i="1" s="1"/>
  <c r="AG271" i="1"/>
  <c r="AG272" i="1" s="1"/>
  <c r="AG265" i="1"/>
  <c r="AG218" i="1"/>
  <c r="AG275" i="1"/>
  <c r="AG224" i="1"/>
  <c r="AG211" i="1"/>
  <c r="AG244" i="1"/>
  <c r="AG245" i="1"/>
  <c r="AG256" i="1"/>
  <c r="AG257" i="1"/>
  <c r="AG246" i="1"/>
  <c r="AG250" i="1"/>
  <c r="AG242" i="1"/>
  <c r="AG253" i="1"/>
  <c r="AG252" i="1"/>
  <c r="AG247" i="1"/>
  <c r="AG251" i="1"/>
  <c r="AG249" i="1"/>
  <c r="AG258" i="1"/>
  <c r="AG254" i="1"/>
  <c r="AG248" i="1"/>
  <c r="AG259" i="1"/>
  <c r="AG255" i="1"/>
  <c r="AG243" i="1"/>
  <c r="AE211" i="1"/>
  <c r="AE218" i="1"/>
  <c r="AE265" i="1"/>
  <c r="AE214" i="1"/>
  <c r="AE275" i="1"/>
  <c r="AE271" i="1"/>
  <c r="AE272" i="1" s="1"/>
  <c r="AE224" i="1"/>
  <c r="AE267" i="1"/>
  <c r="AE268" i="1" s="1"/>
  <c r="AE273" i="1"/>
  <c r="AE274" i="1" s="1"/>
  <c r="AE269" i="1"/>
  <c r="AE270" i="1" s="1"/>
  <c r="AE244" i="1"/>
  <c r="AE245" i="1"/>
  <c r="AE246" i="1"/>
  <c r="AE250" i="1"/>
  <c r="AE252" i="1"/>
  <c r="AE256" i="1"/>
  <c r="AE247" i="1"/>
  <c r="AE251" i="1"/>
  <c r="AE257" i="1"/>
  <c r="AE253" i="1"/>
  <c r="AE254" i="1"/>
  <c r="AE242" i="1"/>
  <c r="AE248" i="1"/>
  <c r="AE259" i="1"/>
  <c r="AE255" i="1"/>
  <c r="AE243" i="1"/>
  <c r="AE258" i="1"/>
  <c r="AE249" i="1"/>
  <c r="AL235" i="1"/>
  <c r="AL233" i="1"/>
  <c r="W217" i="1" s="1"/>
  <c r="AL232" i="1"/>
  <c r="AL227" i="1"/>
  <c r="AL226" i="1"/>
  <c r="AL228" i="1"/>
  <c r="AL229" i="1"/>
  <c r="AQ246" i="1"/>
  <c r="Z219" i="1" l="1"/>
  <c r="AB225" i="1"/>
  <c r="W222" i="1"/>
  <c r="W223" i="1" s="1"/>
  <c r="V217" i="1"/>
  <c r="U217" i="1"/>
  <c r="AB217" i="1"/>
  <c r="AE219" i="1"/>
  <c r="V220" i="1"/>
  <c r="V221" i="1" s="1"/>
  <c r="AX220" i="1"/>
  <c r="AX222" i="1"/>
  <c r="AX223" i="1" s="1"/>
  <c r="AX225" i="1"/>
  <c r="T220" i="1"/>
  <c r="T221" i="1" s="1"/>
  <c r="AE222" i="1"/>
  <c r="AE223" i="1" s="1"/>
  <c r="V222" i="1"/>
  <c r="V223" i="1" s="1"/>
  <c r="Y220" i="1"/>
  <c r="Y221" i="1" s="1"/>
  <c r="AA217" i="1"/>
  <c r="Y219" i="1"/>
  <c r="AJ225" i="1"/>
  <c r="AF225" i="1"/>
  <c r="Q220" i="1"/>
  <c r="Q221" i="1" s="1"/>
  <c r="Q212" i="1" s="1"/>
  <c r="Q213" i="1" s="1"/>
  <c r="AC217" i="1"/>
  <c r="V219" i="1"/>
  <c r="U219" i="1"/>
  <c r="AE225" i="1"/>
  <c r="T217" i="1"/>
  <c r="AG225" i="1"/>
  <c r="U220" i="1"/>
  <c r="U221" i="1" s="1"/>
  <c r="X222" i="1"/>
  <c r="X223" i="1" s="1"/>
  <c r="AD225" i="1"/>
  <c r="U222" i="1"/>
  <c r="U223" i="1" s="1"/>
  <c r="T219" i="1"/>
  <c r="S220" i="1"/>
  <c r="S221" i="1" s="1"/>
  <c r="S212" i="1" s="1"/>
  <c r="S213" i="1" s="1"/>
  <c r="Z217" i="1"/>
  <c r="Y222" i="1"/>
  <c r="Y223" i="1" s="1"/>
  <c r="R220" i="1"/>
  <c r="R221" i="1" s="1"/>
  <c r="R212" i="1" s="1"/>
  <c r="R213" i="1" s="1"/>
  <c r="W220" i="1"/>
  <c r="W221" i="1" s="1"/>
  <c r="AC225" i="1"/>
  <c r="Z220" i="1"/>
  <c r="Z221" i="1" s="1"/>
  <c r="X219" i="1"/>
  <c r="AI225" i="1"/>
  <c r="T222" i="1"/>
  <c r="T223" i="1" s="1"/>
  <c r="W219" i="1"/>
  <c r="Y217" i="1"/>
  <c r="X217" i="1"/>
  <c r="Z222" i="1"/>
  <c r="Z223" i="1" s="1"/>
  <c r="AK225" i="1"/>
  <c r="X220" i="1"/>
  <c r="X221" i="1" s="1"/>
  <c r="AQ218" i="1"/>
  <c r="AQ271" i="1"/>
  <c r="AQ272" i="1" s="1"/>
  <c r="AN210" i="1"/>
  <c r="AQ265" i="1"/>
  <c r="AQ266" i="1" s="1"/>
  <c r="AM210" i="1"/>
  <c r="AO210" i="1"/>
  <c r="AP210" i="1"/>
  <c r="AQ214" i="1"/>
  <c r="AQ216" i="1" s="1"/>
  <c r="AV210" i="1"/>
  <c r="AV224" i="1" s="1"/>
  <c r="AQ249" i="1"/>
  <c r="AQ224" i="1"/>
  <c r="AQ258" i="1"/>
  <c r="AQ255" i="1"/>
  <c r="AQ248" i="1"/>
  <c r="AQ250" i="1"/>
  <c r="AQ259" i="1"/>
  <c r="AQ253" i="1"/>
  <c r="AQ275" i="1"/>
  <c r="AQ243" i="1"/>
  <c r="AQ251" i="1"/>
  <c r="AQ244" i="1"/>
  <c r="AQ257" i="1"/>
  <c r="AQ269" i="1"/>
  <c r="AQ270" i="1" s="1"/>
  <c r="AQ273" i="1"/>
  <c r="AQ274" i="1" s="1"/>
  <c r="AK214" i="1"/>
  <c r="AK269" i="1"/>
  <c r="AK270" i="1" s="1"/>
  <c r="AK273" i="1"/>
  <c r="AK274" i="1" s="1"/>
  <c r="AK242" i="1"/>
  <c r="AK246" i="1"/>
  <c r="AK250" i="1"/>
  <c r="AK254" i="1"/>
  <c r="AK258" i="1"/>
  <c r="AK265" i="1"/>
  <c r="AK249" i="1"/>
  <c r="AK243" i="1"/>
  <c r="AK247" i="1"/>
  <c r="AK251" i="1"/>
  <c r="AK255" i="1"/>
  <c r="AK259" i="1"/>
  <c r="AK234" i="1"/>
  <c r="AK257" i="1"/>
  <c r="AK267" i="1"/>
  <c r="AK268" i="1" s="1"/>
  <c r="AK271" i="1"/>
  <c r="AK272" i="1" s="1"/>
  <c r="AK275" i="1"/>
  <c r="AK244" i="1"/>
  <c r="AK248" i="1"/>
  <c r="AK252" i="1"/>
  <c r="AK256" i="1"/>
  <c r="AK253" i="1"/>
  <c r="AK245" i="1"/>
  <c r="AK224" i="1"/>
  <c r="AK218" i="1"/>
  <c r="AK211" i="1"/>
  <c r="AQ247" i="1"/>
  <c r="AQ211" i="1"/>
  <c r="AJ218" i="1"/>
  <c r="AJ269" i="1"/>
  <c r="AJ270" i="1" s="1"/>
  <c r="AJ273" i="1"/>
  <c r="AJ274" i="1" s="1"/>
  <c r="AJ242" i="1"/>
  <c r="AJ246" i="1"/>
  <c r="AJ250" i="1"/>
  <c r="AJ254" i="1"/>
  <c r="AJ258" i="1"/>
  <c r="AJ271" i="1"/>
  <c r="AJ272" i="1" s="1"/>
  <c r="AJ248" i="1"/>
  <c r="AJ245" i="1"/>
  <c r="AJ265" i="1"/>
  <c r="AJ267" i="1"/>
  <c r="AJ268" i="1" s="1"/>
  <c r="AJ244" i="1"/>
  <c r="AJ256" i="1"/>
  <c r="AJ253" i="1"/>
  <c r="AJ243" i="1"/>
  <c r="AJ247" i="1"/>
  <c r="AJ251" i="1"/>
  <c r="AJ255" i="1"/>
  <c r="AJ259" i="1"/>
  <c r="AJ275" i="1"/>
  <c r="AJ252" i="1"/>
  <c r="AJ249" i="1"/>
  <c r="AJ257" i="1"/>
  <c r="AJ211" i="1"/>
  <c r="AJ214" i="1"/>
  <c r="AJ224" i="1"/>
  <c r="AQ254" i="1"/>
  <c r="AQ245" i="1"/>
  <c r="AQ252" i="1"/>
  <c r="AQ242" i="1"/>
  <c r="AQ256" i="1"/>
  <c r="AQ267" i="1"/>
  <c r="AQ268" i="1" s="1"/>
  <c r="AI224" i="1"/>
  <c r="AI265" i="1"/>
  <c r="AI253" i="1"/>
  <c r="AI246" i="1"/>
  <c r="AI250" i="1"/>
  <c r="AI243" i="1"/>
  <c r="AI247" i="1"/>
  <c r="AI251" i="1"/>
  <c r="AI255" i="1"/>
  <c r="AI259" i="1"/>
  <c r="AI245" i="1"/>
  <c r="AI269" i="1"/>
  <c r="AI270" i="1" s="1"/>
  <c r="AI254" i="1"/>
  <c r="AI258" i="1"/>
  <c r="AI267" i="1"/>
  <c r="AI268" i="1" s="1"/>
  <c r="AI271" i="1"/>
  <c r="AI272" i="1" s="1"/>
  <c r="AI275" i="1"/>
  <c r="AI244" i="1"/>
  <c r="AI248" i="1"/>
  <c r="AI252" i="1"/>
  <c r="AI256" i="1"/>
  <c r="AI257" i="1"/>
  <c r="AI242" i="1"/>
  <c r="AI249" i="1"/>
  <c r="AI273" i="1"/>
  <c r="AI274" i="1" s="1"/>
  <c r="AI211" i="1"/>
  <c r="AI218" i="1"/>
  <c r="AI214" i="1"/>
  <c r="BC234" i="1"/>
  <c r="BB235" i="1"/>
  <c r="AL216" i="1"/>
  <c r="AL277" i="1"/>
  <c r="AL260" i="1"/>
  <c r="AL278" i="1"/>
  <c r="AL261" i="1"/>
  <c r="AG261" i="1"/>
  <c r="AE261" i="1"/>
  <c r="AE215" i="1"/>
  <c r="AE216" i="1"/>
  <c r="AE217" i="1" s="1"/>
  <c r="AE277" i="1"/>
  <c r="AE266" i="1"/>
  <c r="AE278" i="1" s="1"/>
  <c r="AF260" i="1"/>
  <c r="AG266" i="1"/>
  <c r="AG278" i="1" s="1"/>
  <c r="AG277" i="1"/>
  <c r="AG260" i="1"/>
  <c r="AG215" i="1"/>
  <c r="AG216" i="1"/>
  <c r="AF266" i="1"/>
  <c r="AF278" i="1" s="1"/>
  <c r="AF277" i="1"/>
  <c r="AE260" i="1"/>
  <c r="AF215" i="1"/>
  <c r="AF216" i="1"/>
  <c r="AF261" i="1"/>
  <c r="AD217" i="1"/>
  <c r="AB219" i="1"/>
  <c r="AC219" i="1"/>
  <c r="AD219" i="1"/>
  <c r="AA219" i="1"/>
  <c r="AA222" i="1"/>
  <c r="AA223" i="1" s="1"/>
  <c r="AA220" i="1"/>
  <c r="AA221" i="1" s="1"/>
  <c r="AB220" i="1"/>
  <c r="AB221" i="1" s="1"/>
  <c r="AB222" i="1"/>
  <c r="AB223" i="1" s="1"/>
  <c r="AC222" i="1"/>
  <c r="AC223" i="1" s="1"/>
  <c r="AC220" i="1"/>
  <c r="AC221" i="1" s="1"/>
  <c r="AD222" i="1"/>
  <c r="AD223" i="1" s="1"/>
  <c r="AH225" i="1"/>
  <c r="AQ233" i="1"/>
  <c r="AQ235" i="1"/>
  <c r="AQ227" i="1"/>
  <c r="AQ228" i="1"/>
  <c r="AQ226" i="1"/>
  <c r="AQ229" i="1"/>
  <c r="AQ232" i="1"/>
  <c r="V212" i="1" l="1"/>
  <c r="V213" i="1" s="1"/>
  <c r="U212" i="1"/>
  <c r="U213" i="1" s="1"/>
  <c r="T212" i="1"/>
  <c r="T213" i="1" s="1"/>
  <c r="W212" i="1"/>
  <c r="W213" i="1" s="1"/>
  <c r="AV246" i="1"/>
  <c r="AX221" i="1"/>
  <c r="Y212" i="1"/>
  <c r="Y213" i="1" s="1"/>
  <c r="X212" i="1"/>
  <c r="X213" i="1" s="1"/>
  <c r="Z212" i="1"/>
  <c r="Z213" i="1" s="1"/>
  <c r="AN267" i="1"/>
  <c r="AN268" i="1" s="1"/>
  <c r="AN271" i="1"/>
  <c r="AN272" i="1" s="1"/>
  <c r="AN275" i="1"/>
  <c r="AN243" i="1"/>
  <c r="AN246" i="1"/>
  <c r="AN249" i="1"/>
  <c r="AN252" i="1"/>
  <c r="AN255" i="1"/>
  <c r="AN258" i="1"/>
  <c r="AN247" i="1"/>
  <c r="AN259" i="1"/>
  <c r="AN244" i="1"/>
  <c r="AN253" i="1"/>
  <c r="AN256" i="1"/>
  <c r="AN265" i="1"/>
  <c r="AN269" i="1"/>
  <c r="AN270" i="1" s="1"/>
  <c r="AN250" i="1"/>
  <c r="AN273" i="1"/>
  <c r="AN274" i="1" s="1"/>
  <c r="AN242" i="1"/>
  <c r="AN245" i="1"/>
  <c r="AN248" i="1"/>
  <c r="AN251" i="1"/>
  <c r="AN254" i="1"/>
  <c r="AN257" i="1"/>
  <c r="AM258" i="1"/>
  <c r="AM251" i="1"/>
  <c r="AM254" i="1"/>
  <c r="AM267" i="1"/>
  <c r="AM268" i="1" s="1"/>
  <c r="AM271" i="1"/>
  <c r="AM272" i="1" s="1"/>
  <c r="AM275" i="1"/>
  <c r="AM243" i="1"/>
  <c r="AM246" i="1"/>
  <c r="AM249" i="1"/>
  <c r="AM252" i="1"/>
  <c r="AM255" i="1"/>
  <c r="AM245" i="1"/>
  <c r="AM248" i="1"/>
  <c r="AM265" i="1"/>
  <c r="AM269" i="1"/>
  <c r="AM270" i="1" s="1"/>
  <c r="AM244" i="1"/>
  <c r="AM247" i="1"/>
  <c r="AM250" i="1"/>
  <c r="AM253" i="1"/>
  <c r="AM256" i="1"/>
  <c r="AM259" i="1"/>
  <c r="AM257" i="1"/>
  <c r="AM273" i="1"/>
  <c r="AM274" i="1" s="1"/>
  <c r="AM242" i="1"/>
  <c r="AT210" i="1"/>
  <c r="AR210" i="1"/>
  <c r="AU210" i="1"/>
  <c r="AP247" i="1"/>
  <c r="AP273" i="1"/>
  <c r="AP274" i="1" s="1"/>
  <c r="AP242" i="1"/>
  <c r="AP245" i="1"/>
  <c r="AP248" i="1"/>
  <c r="AP251" i="1"/>
  <c r="AP254" i="1"/>
  <c r="AP257" i="1"/>
  <c r="AP253" i="1"/>
  <c r="AP244" i="1"/>
  <c r="AP265" i="1"/>
  <c r="AP269" i="1"/>
  <c r="AP270" i="1" s="1"/>
  <c r="AP267" i="1"/>
  <c r="AP268" i="1" s="1"/>
  <c r="AP271" i="1"/>
  <c r="AP272" i="1" s="1"/>
  <c r="AP275" i="1"/>
  <c r="AP243" i="1"/>
  <c r="AP246" i="1"/>
  <c r="AP249" i="1"/>
  <c r="AP252" i="1"/>
  <c r="AP255" i="1"/>
  <c r="AP258" i="1"/>
  <c r="AP250" i="1"/>
  <c r="AP259" i="1"/>
  <c r="AP256" i="1"/>
  <c r="AS210" i="1"/>
  <c r="AO273" i="1"/>
  <c r="AO274" i="1" s="1"/>
  <c r="AO242" i="1"/>
  <c r="AO245" i="1"/>
  <c r="AO248" i="1"/>
  <c r="AO251" i="1"/>
  <c r="AO254" i="1"/>
  <c r="AO257" i="1"/>
  <c r="AO247" i="1"/>
  <c r="AO253" i="1"/>
  <c r="AO267" i="1"/>
  <c r="AO268" i="1" s="1"/>
  <c r="AO271" i="1"/>
  <c r="AO272" i="1" s="1"/>
  <c r="AO275" i="1"/>
  <c r="AO243" i="1"/>
  <c r="AO246" i="1"/>
  <c r="AO249" i="1"/>
  <c r="AO252" i="1"/>
  <c r="AO255" i="1"/>
  <c r="AO258" i="1"/>
  <c r="AO256" i="1"/>
  <c r="AO250" i="1"/>
  <c r="AO259" i="1"/>
  <c r="AO265" i="1"/>
  <c r="AO269" i="1"/>
  <c r="AO270" i="1" s="1"/>
  <c r="AO244" i="1"/>
  <c r="AV248" i="1"/>
  <c r="AV250" i="1"/>
  <c r="AV254" i="1"/>
  <c r="AV252" i="1"/>
  <c r="AV242" i="1"/>
  <c r="AV244" i="1"/>
  <c r="BA210" i="1"/>
  <c r="D206" i="1" s="1"/>
  <c r="AV211" i="1"/>
  <c r="AQ215" i="1"/>
  <c r="AV245" i="1"/>
  <c r="AI235" i="1"/>
  <c r="AN234" i="1"/>
  <c r="AJ235" i="1"/>
  <c r="AO234" i="1"/>
  <c r="AV275" i="1"/>
  <c r="AP211" i="1"/>
  <c r="AP224" i="1"/>
  <c r="AP214" i="1"/>
  <c r="AP218" i="1"/>
  <c r="AV249" i="1"/>
  <c r="AV258" i="1"/>
  <c r="AV253" i="1"/>
  <c r="AV247" i="1"/>
  <c r="AV269" i="1"/>
  <c r="AV270" i="1" s="1"/>
  <c r="AO211" i="1"/>
  <c r="AO224" i="1"/>
  <c r="AO214" i="1"/>
  <c r="AO218" i="1"/>
  <c r="AK235" i="1"/>
  <c r="AP234" i="1"/>
  <c r="AM211" i="1"/>
  <c r="AM224" i="1"/>
  <c r="AM214" i="1"/>
  <c r="AM218" i="1"/>
  <c r="AV251" i="1"/>
  <c r="AV273" i="1"/>
  <c r="AV274" i="1" s="1"/>
  <c r="AV255" i="1"/>
  <c r="AV243" i="1"/>
  <c r="AV271" i="1"/>
  <c r="AV272" i="1" s="1"/>
  <c r="AV218" i="1"/>
  <c r="AV267" i="1"/>
  <c r="AV268" i="1" s="1"/>
  <c r="AV256" i="1"/>
  <c r="AV259" i="1"/>
  <c r="AV265" i="1"/>
  <c r="AV214" i="1"/>
  <c r="AV216" i="1" s="1"/>
  <c r="AN211" i="1"/>
  <c r="AN224" i="1"/>
  <c r="AN214" i="1"/>
  <c r="AN218" i="1"/>
  <c r="AV257" i="1"/>
  <c r="AK260" i="1"/>
  <c r="AQ260" i="1"/>
  <c r="AQ277" i="1"/>
  <c r="AQ261" i="1"/>
  <c r="AQ278" i="1"/>
  <c r="AI216" i="1"/>
  <c r="AI215" i="1"/>
  <c r="AJ216" i="1"/>
  <c r="AJ215" i="1"/>
  <c r="AJ260" i="1"/>
  <c r="AK261" i="1"/>
  <c r="AI261" i="1"/>
  <c r="AI266" i="1"/>
  <c r="AI278" i="1" s="1"/>
  <c r="AI277" i="1"/>
  <c r="AK266" i="1"/>
  <c r="AK278" i="1" s="1"/>
  <c r="AK277" i="1"/>
  <c r="AK216" i="1"/>
  <c r="AK215" i="1"/>
  <c r="AJ266" i="1"/>
  <c r="AJ278" i="1" s="1"/>
  <c r="AJ277" i="1"/>
  <c r="AI260" i="1"/>
  <c r="AJ261" i="1"/>
  <c r="BD234" i="1"/>
  <c r="BC235" i="1"/>
  <c r="AC212" i="1"/>
  <c r="AC213" i="1" s="1"/>
  <c r="AB212" i="1"/>
  <c r="AB213" i="1" s="1"/>
  <c r="AA212" i="1"/>
  <c r="AA213" i="1" s="1"/>
  <c r="AV233" i="1"/>
  <c r="AV235" i="1"/>
  <c r="AV228" i="1"/>
  <c r="AV227" i="1"/>
  <c r="AV226" i="1"/>
  <c r="AV229" i="1"/>
  <c r="AV232" i="1"/>
  <c r="AW220" i="1" l="1"/>
  <c r="BA248" i="1"/>
  <c r="BA265" i="1"/>
  <c r="BA243" i="1"/>
  <c r="BA271" i="1"/>
  <c r="BA272" i="1" s="1"/>
  <c r="BA269" i="1"/>
  <c r="BA270" i="1" s="1"/>
  <c r="BA254" i="1"/>
  <c r="BA214" i="1"/>
  <c r="BA216" i="1" s="1"/>
  <c r="AW222" i="1"/>
  <c r="AW223" i="1" s="1"/>
  <c r="AW221" i="1" s="1"/>
  <c r="AX210" i="1"/>
  <c r="AY210" i="1"/>
  <c r="AZ210" i="1"/>
  <c r="AW210" i="1"/>
  <c r="BA251" i="1"/>
  <c r="BA258" i="1"/>
  <c r="AW225" i="1"/>
  <c r="BA253" i="1"/>
  <c r="BA256" i="1"/>
  <c r="BA267" i="1"/>
  <c r="BA268" i="1" s="1"/>
  <c r="AM260" i="1"/>
  <c r="AM261" i="1"/>
  <c r="BA252" i="1"/>
  <c r="BA249" i="1"/>
  <c r="BA255" i="1"/>
  <c r="BA218" i="1"/>
  <c r="BA257" i="1"/>
  <c r="BA247" i="1"/>
  <c r="BA259" i="1"/>
  <c r="BA244" i="1"/>
  <c r="BA242" i="1"/>
  <c r="BA275" i="1"/>
  <c r="BA224" i="1"/>
  <c r="BA211" i="1"/>
  <c r="BA273" i="1"/>
  <c r="BA274" i="1" s="1"/>
  <c r="AR220" i="1"/>
  <c r="AR225" i="1"/>
  <c r="AO235" i="1"/>
  <c r="AT234" i="1"/>
  <c r="AN235" i="1"/>
  <c r="AS234" i="1"/>
  <c r="AO260" i="1"/>
  <c r="AS265" i="1"/>
  <c r="AS269" i="1"/>
  <c r="AS270" i="1" s="1"/>
  <c r="AS244" i="1"/>
  <c r="AS247" i="1"/>
  <c r="AS250" i="1"/>
  <c r="AS253" i="1"/>
  <c r="AS256" i="1"/>
  <c r="AS259" i="1"/>
  <c r="AS273" i="1"/>
  <c r="AS274" i="1" s="1"/>
  <c r="AS242" i="1"/>
  <c r="AS245" i="1"/>
  <c r="AS248" i="1"/>
  <c r="AS251" i="1"/>
  <c r="AS254" i="1"/>
  <c r="AS257" i="1"/>
  <c r="AS211" i="1"/>
  <c r="AS224" i="1"/>
  <c r="AS267" i="1"/>
  <c r="AS268" i="1" s="1"/>
  <c r="AS271" i="1"/>
  <c r="AS272" i="1" s="1"/>
  <c r="AS275" i="1"/>
  <c r="AS243" i="1"/>
  <c r="AS246" i="1"/>
  <c r="AS249" i="1"/>
  <c r="AS252" i="1"/>
  <c r="AS255" i="1"/>
  <c r="AS258" i="1"/>
  <c r="AS214" i="1"/>
  <c r="AS218" i="1"/>
  <c r="AP261" i="1"/>
  <c r="AU218" i="1"/>
  <c r="AU265" i="1"/>
  <c r="AU269" i="1"/>
  <c r="AU270" i="1" s="1"/>
  <c r="AU244" i="1"/>
  <c r="AU247" i="1"/>
  <c r="AU250" i="1"/>
  <c r="AU253" i="1"/>
  <c r="AU256" i="1"/>
  <c r="AU259" i="1"/>
  <c r="AU273" i="1"/>
  <c r="AU274" i="1" s="1"/>
  <c r="AU242" i="1"/>
  <c r="AU245" i="1"/>
  <c r="AU248" i="1"/>
  <c r="AU251" i="1"/>
  <c r="AU254" i="1"/>
  <c r="AU257" i="1"/>
  <c r="AU211" i="1"/>
  <c r="AU224" i="1"/>
  <c r="AU267" i="1"/>
  <c r="AU268" i="1" s="1"/>
  <c r="AU271" i="1"/>
  <c r="AU272" i="1" s="1"/>
  <c r="AU275" i="1"/>
  <c r="AU243" i="1"/>
  <c r="AU246" i="1"/>
  <c r="AU249" i="1"/>
  <c r="AU252" i="1"/>
  <c r="AU255" i="1"/>
  <c r="AU258" i="1"/>
  <c r="AU214" i="1"/>
  <c r="AN277" i="1"/>
  <c r="AN266" i="1"/>
  <c r="AN278" i="1" s="1"/>
  <c r="AO266" i="1"/>
  <c r="AO278" i="1" s="1"/>
  <c r="AO277" i="1"/>
  <c r="AP266" i="1"/>
  <c r="AP278" i="1" s="1"/>
  <c r="AP277" i="1"/>
  <c r="AR265" i="1"/>
  <c r="AR269" i="1"/>
  <c r="AR270" i="1" s="1"/>
  <c r="AR244" i="1"/>
  <c r="AR247" i="1"/>
  <c r="AR250" i="1"/>
  <c r="AR253" i="1"/>
  <c r="AR256" i="1"/>
  <c r="AR259" i="1"/>
  <c r="AR273" i="1"/>
  <c r="AR274" i="1" s="1"/>
  <c r="AR242" i="1"/>
  <c r="AR245" i="1"/>
  <c r="AR248" i="1"/>
  <c r="AR251" i="1"/>
  <c r="AR254" i="1"/>
  <c r="AR257" i="1"/>
  <c r="AR211" i="1"/>
  <c r="AR224" i="1"/>
  <c r="AR267" i="1"/>
  <c r="AR268" i="1" s="1"/>
  <c r="AR271" i="1"/>
  <c r="AR272" i="1" s="1"/>
  <c r="AR275" i="1"/>
  <c r="AR243" i="1"/>
  <c r="AR246" i="1"/>
  <c r="AR249" i="1"/>
  <c r="AR252" i="1"/>
  <c r="AR255" i="1"/>
  <c r="AR258" i="1"/>
  <c r="AR214" i="1"/>
  <c r="AR218" i="1"/>
  <c r="AR219" i="1" s="1"/>
  <c r="AM277" i="1"/>
  <c r="AM266" i="1"/>
  <c r="AM278" i="1" s="1"/>
  <c r="AP260" i="1"/>
  <c r="AT249" i="1"/>
  <c r="AT214" i="1"/>
  <c r="AT255" i="1"/>
  <c r="AT265" i="1"/>
  <c r="AT269" i="1"/>
  <c r="AT270" i="1" s="1"/>
  <c r="AT244" i="1"/>
  <c r="AT247" i="1"/>
  <c r="AT250" i="1"/>
  <c r="AT253" i="1"/>
  <c r="AT256" i="1"/>
  <c r="AT259" i="1"/>
  <c r="AT271" i="1"/>
  <c r="AT272" i="1" s="1"/>
  <c r="AT243" i="1"/>
  <c r="AT246" i="1"/>
  <c r="AT252" i="1"/>
  <c r="AT273" i="1"/>
  <c r="AT274" i="1" s="1"/>
  <c r="AT242" i="1"/>
  <c r="AT245" i="1"/>
  <c r="AT248" i="1"/>
  <c r="AT251" i="1"/>
  <c r="AT254" i="1"/>
  <c r="AT257" i="1"/>
  <c r="AT211" i="1"/>
  <c r="AT267" i="1"/>
  <c r="AT268" i="1" s="1"/>
  <c r="AT224" i="1"/>
  <c r="AT258" i="1"/>
  <c r="AT218" i="1"/>
  <c r="AT275" i="1"/>
  <c r="AN261" i="1"/>
  <c r="AV277" i="1"/>
  <c r="AO261" i="1"/>
  <c r="AN260" i="1"/>
  <c r="AP235" i="1"/>
  <c r="AU234" i="1"/>
  <c r="BA250" i="1"/>
  <c r="BB210" i="1"/>
  <c r="BB248" i="1" s="1"/>
  <c r="AV260" i="1"/>
  <c r="BA246" i="1"/>
  <c r="BA245" i="1"/>
  <c r="AV215" i="1"/>
  <c r="AN219" i="1"/>
  <c r="AV261" i="1"/>
  <c r="AO216" i="1"/>
  <c r="AO217" i="1" s="1"/>
  <c r="AO215" i="1"/>
  <c r="AN216" i="1"/>
  <c r="AN215" i="1"/>
  <c r="AP215" i="1"/>
  <c r="AP216" i="1"/>
  <c r="AV266" i="1"/>
  <c r="AV278" i="1" s="1"/>
  <c r="AI219" i="1"/>
  <c r="AM225" i="1"/>
  <c r="AN222" i="1"/>
  <c r="AN223" i="1" s="1"/>
  <c r="AN225" i="1"/>
  <c r="AN220" i="1"/>
  <c r="AP225" i="1"/>
  <c r="AM222" i="1"/>
  <c r="AM223" i="1" s="1"/>
  <c r="AM219" i="1"/>
  <c r="AM216" i="1"/>
  <c r="AM217" i="1" s="1"/>
  <c r="AM215" i="1"/>
  <c r="AJ220" i="1"/>
  <c r="AI220" i="1"/>
  <c r="AJ222" i="1"/>
  <c r="AJ223" i="1" s="1"/>
  <c r="AI222" i="1"/>
  <c r="AI223" i="1" s="1"/>
  <c r="AK220" i="1"/>
  <c r="AK222" i="1"/>
  <c r="AK223" i="1" s="1"/>
  <c r="AJ217" i="1"/>
  <c r="AI217" i="1"/>
  <c r="AK217" i="1"/>
  <c r="AJ219" i="1"/>
  <c r="AK219" i="1"/>
  <c r="BE234" i="1"/>
  <c r="BD235" i="1"/>
  <c r="BA215" i="1"/>
  <c r="BB273" i="1"/>
  <c r="BB274" i="1" s="1"/>
  <c r="BB271" i="1"/>
  <c r="BB272" i="1" s="1"/>
  <c r="BA233" i="1"/>
  <c r="AO222" i="1" s="1"/>
  <c r="AO223" i="1" s="1"/>
  <c r="BA235" i="1"/>
  <c r="BA229" i="1"/>
  <c r="BA226" i="1"/>
  <c r="BA232" i="1"/>
  <c r="BA227" i="1"/>
  <c r="BA228" i="1"/>
  <c r="BA266" i="1"/>
  <c r="BA278" i="1" l="1"/>
  <c r="BB224" i="1"/>
  <c r="BB245" i="1"/>
  <c r="BB243" i="1"/>
  <c r="BB211" i="1"/>
  <c r="AS235" i="1"/>
  <c r="AX234" i="1"/>
  <c r="AX235" i="1" s="1"/>
  <c r="AT235" i="1"/>
  <c r="AU219" i="1" s="1"/>
  <c r="AY234" i="1"/>
  <c r="AY235" i="1" s="1"/>
  <c r="AU235" i="1"/>
  <c r="AV217" i="1" s="1"/>
  <c r="AZ234" i="1"/>
  <c r="AZ235" i="1" s="1"/>
  <c r="BA219" i="1" s="1"/>
  <c r="AW265" i="1"/>
  <c r="AW269" i="1"/>
  <c r="AW270" i="1" s="1"/>
  <c r="AW273" i="1"/>
  <c r="AW274" i="1" s="1"/>
  <c r="AW211" i="1"/>
  <c r="AW267" i="1"/>
  <c r="AW268" i="1" s="1"/>
  <c r="AW224" i="1"/>
  <c r="AW271" i="1"/>
  <c r="AW272" i="1" s="1"/>
  <c r="AW275" i="1"/>
  <c r="AW214" i="1"/>
  <c r="AW218" i="1"/>
  <c r="AW219" i="1" s="1"/>
  <c r="AW212" i="1" s="1"/>
  <c r="AW213" i="1" s="1"/>
  <c r="AW245" i="1"/>
  <c r="AW244" i="1"/>
  <c r="AW247" i="1"/>
  <c r="AW250" i="1"/>
  <c r="AW255" i="1"/>
  <c r="AW242" i="1"/>
  <c r="AW258" i="1"/>
  <c r="AW243" i="1"/>
  <c r="AW259" i="1"/>
  <c r="AW252" i="1"/>
  <c r="AW254" i="1"/>
  <c r="AW257" i="1"/>
  <c r="AW248" i="1"/>
  <c r="AW251" i="1"/>
  <c r="AW246" i="1"/>
  <c r="AW253" i="1"/>
  <c r="AW256" i="1"/>
  <c r="AW249" i="1"/>
  <c r="AZ271" i="1"/>
  <c r="AZ272" i="1" s="1"/>
  <c r="AZ265" i="1"/>
  <c r="AZ269" i="1"/>
  <c r="AZ270" i="1" s="1"/>
  <c r="AZ224" i="1"/>
  <c r="AZ214" i="1"/>
  <c r="AZ273" i="1"/>
  <c r="AZ274" i="1" s="1"/>
  <c r="AZ211" i="1"/>
  <c r="AZ275" i="1"/>
  <c r="AZ218" i="1"/>
  <c r="AZ267" i="1"/>
  <c r="AZ268" i="1" s="1"/>
  <c r="AZ245" i="1"/>
  <c r="AZ244" i="1"/>
  <c r="AZ259" i="1"/>
  <c r="AZ251" i="1"/>
  <c r="AZ257" i="1"/>
  <c r="AZ254" i="1"/>
  <c r="AZ249" i="1"/>
  <c r="AZ258" i="1"/>
  <c r="AZ253" i="1"/>
  <c r="AZ242" i="1"/>
  <c r="AZ255" i="1"/>
  <c r="AZ256" i="1"/>
  <c r="AZ247" i="1"/>
  <c r="AZ252" i="1"/>
  <c r="AZ243" i="1"/>
  <c r="AZ250" i="1"/>
  <c r="AZ248" i="1"/>
  <c r="AZ246" i="1"/>
  <c r="AY218" i="1"/>
  <c r="AY265" i="1"/>
  <c r="AY269" i="1"/>
  <c r="AY270" i="1" s="1"/>
  <c r="AY275" i="1"/>
  <c r="AY273" i="1"/>
  <c r="AY274" i="1" s="1"/>
  <c r="AY211" i="1"/>
  <c r="AY214" i="1"/>
  <c r="AY224" i="1"/>
  <c r="AY267" i="1"/>
  <c r="AY268" i="1" s="1"/>
  <c r="AY271" i="1"/>
  <c r="AY272" i="1" s="1"/>
  <c r="AY245" i="1"/>
  <c r="AY244" i="1"/>
  <c r="AY254" i="1"/>
  <c r="AY246" i="1"/>
  <c r="AY259" i="1"/>
  <c r="AY249" i="1"/>
  <c r="AY255" i="1"/>
  <c r="AY242" i="1"/>
  <c r="AY256" i="1"/>
  <c r="AY248" i="1"/>
  <c r="AY258" i="1"/>
  <c r="AY253" i="1"/>
  <c r="AY257" i="1"/>
  <c r="AY247" i="1"/>
  <c r="AY250" i="1"/>
  <c r="AY252" i="1"/>
  <c r="AY243" i="1"/>
  <c r="AY251" i="1"/>
  <c r="AX265" i="1"/>
  <c r="AX269" i="1"/>
  <c r="AX270" i="1" s="1"/>
  <c r="AX273" i="1"/>
  <c r="AX274" i="1" s="1"/>
  <c r="AX211" i="1"/>
  <c r="AX218" i="1"/>
  <c r="AX219" i="1" s="1"/>
  <c r="AX224" i="1"/>
  <c r="AX275" i="1"/>
  <c r="AX214" i="1"/>
  <c r="AX271" i="1"/>
  <c r="AX272" i="1" s="1"/>
  <c r="AX267" i="1"/>
  <c r="AX268" i="1" s="1"/>
  <c r="AX244" i="1"/>
  <c r="AX245" i="1"/>
  <c r="AX246" i="1"/>
  <c r="AX249" i="1"/>
  <c r="AX251" i="1"/>
  <c r="AX253" i="1"/>
  <c r="AX256" i="1"/>
  <c r="AX258" i="1"/>
  <c r="AX255" i="1"/>
  <c r="AX247" i="1"/>
  <c r="AX242" i="1"/>
  <c r="AX250" i="1"/>
  <c r="AX252" i="1"/>
  <c r="AX257" i="1"/>
  <c r="AX243" i="1"/>
  <c r="AX248" i="1"/>
  <c r="AX259" i="1"/>
  <c r="AX254" i="1"/>
  <c r="AX212" i="1"/>
  <c r="AX213" i="1" s="1"/>
  <c r="BB246" i="1"/>
  <c r="BB244" i="1"/>
  <c r="BA261" i="1"/>
  <c r="AM220" i="1"/>
  <c r="AM221" i="1" s="1"/>
  <c r="AM212" i="1" s="1"/>
  <c r="AM213" i="1" s="1"/>
  <c r="AP220" i="1"/>
  <c r="AR222" i="1"/>
  <c r="AR223" i="1" s="1"/>
  <c r="AR221" i="1" s="1"/>
  <c r="AR212" i="1" s="1"/>
  <c r="AR213" i="1" s="1"/>
  <c r="AS219" i="1"/>
  <c r="AS220" i="1"/>
  <c r="AS225" i="1"/>
  <c r="AS222" i="1"/>
  <c r="AS223" i="1" s="1"/>
  <c r="AO219" i="1"/>
  <c r="AT219" i="1"/>
  <c r="AO225" i="1"/>
  <c r="AN217" i="1"/>
  <c r="BA260" i="1"/>
  <c r="AP219" i="1"/>
  <c r="BA277" i="1"/>
  <c r="AP222" i="1"/>
  <c r="AP223" i="1" s="1"/>
  <c r="AO220" i="1"/>
  <c r="AO221" i="1" s="1"/>
  <c r="AO212" i="1" s="1"/>
  <c r="AO213" i="1" s="1"/>
  <c r="AP217" i="1"/>
  <c r="AT260" i="1"/>
  <c r="BB218" i="1"/>
  <c r="BB219" i="1" s="1"/>
  <c r="BB275" i="1"/>
  <c r="BB242" i="1"/>
  <c r="AT277" i="1"/>
  <c r="AT266" i="1"/>
  <c r="AT278" i="1" s="1"/>
  <c r="BC210" i="1"/>
  <c r="BC259" i="1" s="1"/>
  <c r="BB265" i="1"/>
  <c r="BB266" i="1" s="1"/>
  <c r="BB269" i="1"/>
  <c r="BB270" i="1" s="1"/>
  <c r="AT215" i="1"/>
  <c r="AT216" i="1"/>
  <c r="AT217" i="1" s="1"/>
  <c r="AS215" i="1"/>
  <c r="AS216" i="1"/>
  <c r="AS217" i="1" s="1"/>
  <c r="AS260" i="1"/>
  <c r="BB259" i="1"/>
  <c r="BB267" i="1"/>
  <c r="BB268" i="1" s="1"/>
  <c r="BB214" i="1"/>
  <c r="BB216" i="1" s="1"/>
  <c r="BB217" i="1" s="1"/>
  <c r="AR277" i="1"/>
  <c r="AR266" i="1"/>
  <c r="AR278" i="1" s="1"/>
  <c r="AS277" i="1"/>
  <c r="AS266" i="1"/>
  <c r="AS278" i="1" s="1"/>
  <c r="AS261" i="1"/>
  <c r="BB256" i="1"/>
  <c r="AU261" i="1"/>
  <c r="BB257" i="1"/>
  <c r="BB255" i="1"/>
  <c r="BB254" i="1"/>
  <c r="AU215" i="1"/>
  <c r="AU216" i="1"/>
  <c r="AU260" i="1"/>
  <c r="AT222" i="1"/>
  <c r="AT223" i="1" s="1"/>
  <c r="AT225" i="1"/>
  <c r="AT220" i="1"/>
  <c r="BB258" i="1"/>
  <c r="BB253" i="1"/>
  <c r="BB251" i="1"/>
  <c r="BB252" i="1"/>
  <c r="AR261" i="1"/>
  <c r="AU277" i="1"/>
  <c r="AU266" i="1"/>
  <c r="AU278" i="1" s="1"/>
  <c r="AU222" i="1"/>
  <c r="AU223" i="1" s="1"/>
  <c r="BB249" i="1"/>
  <c r="BB250" i="1"/>
  <c r="BB247" i="1"/>
  <c r="AT261" i="1"/>
  <c r="AR215" i="1"/>
  <c r="AR216" i="1"/>
  <c r="AR217" i="1" s="1"/>
  <c r="AR260" i="1"/>
  <c r="AN221" i="1"/>
  <c r="AN212" i="1" s="1"/>
  <c r="AN213" i="1" s="1"/>
  <c r="AK221" i="1"/>
  <c r="AK212" i="1" s="1"/>
  <c r="AK213" i="1" s="1"/>
  <c r="AI221" i="1"/>
  <c r="AI212" i="1" s="1"/>
  <c r="AI213" i="1" s="1"/>
  <c r="AJ221" i="1"/>
  <c r="AJ212" i="1" s="1"/>
  <c r="AJ213" i="1" s="1"/>
  <c r="AH220" i="1"/>
  <c r="AL220" i="1"/>
  <c r="BF234" i="1"/>
  <c r="BF235" i="1" s="1"/>
  <c r="BE235" i="1"/>
  <c r="AF222" i="1"/>
  <c r="AF223" i="1" s="1"/>
  <c r="AF219" i="1"/>
  <c r="AF217" i="1"/>
  <c r="AH219" i="1"/>
  <c r="AL219" i="1"/>
  <c r="AQ219" i="1"/>
  <c r="AG219" i="1"/>
  <c r="AQ217" i="1"/>
  <c r="AG220" i="1"/>
  <c r="AG217" i="1"/>
  <c r="AG222" i="1"/>
  <c r="AG223" i="1" s="1"/>
  <c r="AF220" i="1"/>
  <c r="BB225" i="1"/>
  <c r="AH217" i="1"/>
  <c r="AL217" i="1"/>
  <c r="AH222" i="1"/>
  <c r="AH223" i="1" s="1"/>
  <c r="AL225" i="1"/>
  <c r="BD220" i="1"/>
  <c r="BE220" i="1"/>
  <c r="BE222" i="1"/>
  <c r="BE223" i="1" s="1"/>
  <c r="BC251" i="1"/>
  <c r="BB222" i="1"/>
  <c r="BB223" i="1" s="1"/>
  <c r="BC225" i="1"/>
  <c r="BE225" i="1"/>
  <c r="BD225" i="1"/>
  <c r="BC211" i="1"/>
  <c r="BD222" i="1"/>
  <c r="BD223" i="1" s="1"/>
  <c r="BB220" i="1"/>
  <c r="BC222" i="1"/>
  <c r="BC223" i="1" s="1"/>
  <c r="BC220" i="1"/>
  <c r="AD220" i="1"/>
  <c r="AD221" i="1" s="1"/>
  <c r="AQ225" i="1"/>
  <c r="BG233" i="1"/>
  <c r="BG235" i="1"/>
  <c r="BG220" i="1" s="1"/>
  <c r="BG229" i="1"/>
  <c r="BG226" i="1"/>
  <c r="BG232" i="1"/>
  <c r="BH209" i="1"/>
  <c r="BG228" i="1"/>
  <c r="BG227" i="1"/>
  <c r="AU225" i="1" l="1"/>
  <c r="AU220" i="1"/>
  <c r="AY219" i="1"/>
  <c r="BA220" i="1"/>
  <c r="AP221" i="1"/>
  <c r="BA225" i="1"/>
  <c r="BA217" i="1"/>
  <c r="AU217" i="1"/>
  <c r="AV219" i="1"/>
  <c r="BC256" i="1"/>
  <c r="BC254" i="1"/>
  <c r="BC250" i="1"/>
  <c r="BC257" i="1"/>
  <c r="BC255" i="1"/>
  <c r="AZ219" i="1"/>
  <c r="AW260" i="1"/>
  <c r="AP212" i="1"/>
  <c r="AP213" i="1" s="1"/>
  <c r="AV225" i="1"/>
  <c r="AY215" i="1"/>
  <c r="AY216" i="1"/>
  <c r="AY217" i="1" s="1"/>
  <c r="AY260" i="1"/>
  <c r="AX261" i="1"/>
  <c r="AX277" i="1"/>
  <c r="AX266" i="1"/>
  <c r="AX278" i="1" s="1"/>
  <c r="AZ260" i="1"/>
  <c r="AY261" i="1"/>
  <c r="AW277" i="1"/>
  <c r="AW266" i="1"/>
  <c r="AW278" i="1" s="1"/>
  <c r="AY277" i="1"/>
  <c r="AY266" i="1"/>
  <c r="AY278" i="1" s="1"/>
  <c r="AZ215" i="1"/>
  <c r="AZ216" i="1"/>
  <c r="AZ217" i="1" s="1"/>
  <c r="AX215" i="1"/>
  <c r="AX216" i="1"/>
  <c r="AX217" i="1" s="1"/>
  <c r="AZ222" i="1"/>
  <c r="AZ223" i="1" s="1"/>
  <c r="AZ220" i="1"/>
  <c r="AZ225" i="1"/>
  <c r="AW216" i="1"/>
  <c r="AW217" i="1" s="1"/>
  <c r="AW215" i="1"/>
  <c r="AZ277" i="1"/>
  <c r="AZ266" i="1"/>
  <c r="AZ278" i="1" s="1"/>
  <c r="AY222" i="1"/>
  <c r="AY223" i="1" s="1"/>
  <c r="AY220" i="1"/>
  <c r="AY225" i="1"/>
  <c r="BB260" i="1"/>
  <c r="AX260" i="1"/>
  <c r="AZ261" i="1"/>
  <c r="AW261" i="1"/>
  <c r="BB261" i="1"/>
  <c r="AS221" i="1"/>
  <c r="AS212" i="1" s="1"/>
  <c r="AS213" i="1" s="1"/>
  <c r="AU221" i="1"/>
  <c r="AU212" i="1" s="1"/>
  <c r="AU213" i="1" s="1"/>
  <c r="BB215" i="1"/>
  <c r="BC252" i="1"/>
  <c r="BC253" i="1"/>
  <c r="BC248" i="1"/>
  <c r="BC249" i="1"/>
  <c r="BB277" i="1"/>
  <c r="BC245" i="1"/>
  <c r="BB278" i="1"/>
  <c r="BC242" i="1"/>
  <c r="BC243" i="1"/>
  <c r="BC244" i="1"/>
  <c r="BC271" i="1"/>
  <c r="BC272" i="1" s="1"/>
  <c r="BC273" i="1"/>
  <c r="BC274" i="1" s="1"/>
  <c r="BC275" i="1"/>
  <c r="BC247" i="1"/>
  <c r="BD210" i="1"/>
  <c r="BD257" i="1" s="1"/>
  <c r="BC265" i="1"/>
  <c r="BC266" i="1" s="1"/>
  <c r="BC269" i="1"/>
  <c r="BC270" i="1" s="1"/>
  <c r="BC246" i="1"/>
  <c r="BC218" i="1"/>
  <c r="BC219" i="1" s="1"/>
  <c r="BC214" i="1"/>
  <c r="BC216" i="1" s="1"/>
  <c r="BC217" i="1" s="1"/>
  <c r="AT221" i="1"/>
  <c r="AT212" i="1" s="1"/>
  <c r="AT213" i="1" s="1"/>
  <c r="BC267" i="1"/>
  <c r="BC268" i="1" s="1"/>
  <c r="BC224" i="1"/>
  <c r="BC258" i="1"/>
  <c r="BF225" i="1"/>
  <c r="AG221" i="1"/>
  <c r="AG212" i="1" s="1"/>
  <c r="AG213" i="1" s="1"/>
  <c r="AF221" i="1"/>
  <c r="AF212" i="1" s="1"/>
  <c r="AF213" i="1" s="1"/>
  <c r="BE221" i="1"/>
  <c r="BD221" i="1"/>
  <c r="BF222" i="1"/>
  <c r="BF223" i="1" s="1"/>
  <c r="BG217" i="1"/>
  <c r="BB221" i="1"/>
  <c r="BB212" i="1" s="1"/>
  <c r="BB213" i="1" s="1"/>
  <c r="AD212" i="1"/>
  <c r="AD213" i="1" s="1"/>
  <c r="BC221" i="1"/>
  <c r="BA222" i="1"/>
  <c r="BA223" i="1" s="1"/>
  <c r="BA221" i="1" s="1"/>
  <c r="AQ220" i="1"/>
  <c r="BG225" i="1"/>
  <c r="AH221" i="1"/>
  <c r="AV222" i="1"/>
  <c r="AV223" i="1" s="1"/>
  <c r="AL222" i="1"/>
  <c r="AL223" i="1" s="1"/>
  <c r="AV220" i="1"/>
  <c r="AQ222" i="1"/>
  <c r="AQ223" i="1" s="1"/>
  <c r="BG219" i="1"/>
  <c r="BG222" i="1"/>
  <c r="BG223" i="1" s="1"/>
  <c r="BG221" i="1" s="1"/>
  <c r="BH233" i="1"/>
  <c r="BF220" i="1" s="1"/>
  <c r="BH232" i="1"/>
  <c r="BH235" i="1"/>
  <c r="AY221" i="1" l="1"/>
  <c r="AY212" i="1" s="1"/>
  <c r="AY213" i="1" s="1"/>
  <c r="BD244" i="1"/>
  <c r="BD248" i="1"/>
  <c r="BC261" i="1"/>
  <c r="AZ221" i="1"/>
  <c r="AZ212" i="1" s="1"/>
  <c r="AZ213" i="1" s="1"/>
  <c r="BD273" i="1"/>
  <c r="BD274" i="1" s="1"/>
  <c r="BD246" i="1"/>
  <c r="BD255" i="1"/>
  <c r="BD259" i="1"/>
  <c r="BD253" i="1"/>
  <c r="BD251" i="1"/>
  <c r="BD218" i="1"/>
  <c r="BD219" i="1" s="1"/>
  <c r="BD212" i="1" s="1"/>
  <c r="BD213" i="1" s="1"/>
  <c r="BD249" i="1"/>
  <c r="BC260" i="1"/>
  <c r="BC278" i="1"/>
  <c r="BC212" i="1"/>
  <c r="BC213" i="1" s="1"/>
  <c r="BD247" i="1"/>
  <c r="BD254" i="1"/>
  <c r="BD245" i="1"/>
  <c r="BD267" i="1"/>
  <c r="BD268" i="1" s="1"/>
  <c r="BD243" i="1"/>
  <c r="BD269" i="1"/>
  <c r="BD270" i="1" s="1"/>
  <c r="BD275" i="1"/>
  <c r="BE210" i="1"/>
  <c r="BE269" i="1" s="1"/>
  <c r="BE270" i="1" s="1"/>
  <c r="BD250" i="1"/>
  <c r="BD256" i="1"/>
  <c r="BD224" i="1"/>
  <c r="BD242" i="1"/>
  <c r="BC277" i="1"/>
  <c r="BD211" i="1"/>
  <c r="BD258" i="1"/>
  <c r="BD271" i="1"/>
  <c r="BD272" i="1" s="1"/>
  <c r="BC215" i="1"/>
  <c r="BD265" i="1"/>
  <c r="BD266" i="1" s="1"/>
  <c r="BD252" i="1"/>
  <c r="BH225" i="1"/>
  <c r="AE220" i="1"/>
  <c r="AE221" i="1" s="1"/>
  <c r="AE212" i="1" s="1"/>
  <c r="AE213" i="1" s="1"/>
  <c r="AV221" i="1"/>
  <c r="AV212" i="1" s="1"/>
  <c r="AV213" i="1" s="1"/>
  <c r="BG212" i="1"/>
  <c r="BG213" i="1" s="1"/>
  <c r="BF221" i="1"/>
  <c r="BD215" i="1"/>
  <c r="BD216" i="1"/>
  <c r="BD217" i="1" s="1"/>
  <c r="AH212" i="1"/>
  <c r="AH213" i="1" s="1"/>
  <c r="AQ221" i="1"/>
  <c r="AQ212" i="1" s="1"/>
  <c r="AQ213" i="1" s="1"/>
  <c r="AL221" i="1"/>
  <c r="AL212" i="1" s="1"/>
  <c r="AL213" i="1" s="1"/>
  <c r="BA212" i="1"/>
  <c r="BA213" i="1" s="1"/>
  <c r="BE254" i="1" l="1"/>
  <c r="BD261" i="1"/>
  <c r="BE252" i="1"/>
  <c r="BE247" i="1"/>
  <c r="BE250" i="1"/>
  <c r="BE249" i="1"/>
  <c r="BE245" i="1"/>
  <c r="BE243" i="1"/>
  <c r="BE244" i="1"/>
  <c r="BE265" i="1"/>
  <c r="BE266" i="1" s="1"/>
  <c r="BE275" i="1"/>
  <c r="BE218" i="1"/>
  <c r="BE219" i="1" s="1"/>
  <c r="BE212" i="1" s="1"/>
  <c r="BE213" i="1" s="1"/>
  <c r="BE211" i="1"/>
  <c r="BE259" i="1"/>
  <c r="BE257" i="1"/>
  <c r="BE267" i="1"/>
  <c r="BE268" i="1" s="1"/>
  <c r="BE255" i="1"/>
  <c r="BE248" i="1"/>
  <c r="BE246" i="1"/>
  <c r="BE271" i="1"/>
  <c r="BE272" i="1" s="1"/>
  <c r="BE273" i="1"/>
  <c r="BE274" i="1" s="1"/>
  <c r="BE258" i="1"/>
  <c r="BE253" i="1"/>
  <c r="BE256" i="1"/>
  <c r="BE251" i="1"/>
  <c r="BD260" i="1"/>
  <c r="BE224" i="1"/>
  <c r="BE242" i="1"/>
  <c r="BD278" i="1"/>
  <c r="BD277" i="1"/>
  <c r="BF267" i="1"/>
  <c r="BF268" i="1" s="1"/>
  <c r="BF265" i="1"/>
  <c r="BF271" i="1"/>
  <c r="BF272" i="1" s="1"/>
  <c r="BF275" i="1"/>
  <c r="BF243" i="1"/>
  <c r="BF245" i="1"/>
  <c r="BF247" i="1"/>
  <c r="BF249" i="1"/>
  <c r="BF251" i="1"/>
  <c r="BF253" i="1"/>
  <c r="BF255" i="1"/>
  <c r="BF257" i="1"/>
  <c r="BF259" i="1"/>
  <c r="BF269" i="1"/>
  <c r="BF270" i="1" s="1"/>
  <c r="BF273" i="1"/>
  <c r="BF274" i="1" s="1"/>
  <c r="BF242" i="1"/>
  <c r="BF244" i="1"/>
  <c r="BF246" i="1"/>
  <c r="BF248" i="1"/>
  <c r="BF250" i="1"/>
  <c r="BF252" i="1"/>
  <c r="BF254" i="1"/>
  <c r="BF256" i="1"/>
  <c r="BF258" i="1"/>
  <c r="BE216" i="1"/>
  <c r="BE217" i="1" s="1"/>
  <c r="BE215" i="1"/>
  <c r="BF224" i="1"/>
  <c r="BF211" i="1"/>
  <c r="BF218" i="1"/>
  <c r="BE261" i="1" l="1"/>
  <c r="BE260" i="1"/>
  <c r="BE278" i="1"/>
  <c r="BE277" i="1"/>
  <c r="BF219" i="1"/>
  <c r="BF212" i="1" s="1"/>
  <c r="BF213" i="1" s="1"/>
  <c r="BF260" i="1"/>
  <c r="BF261" i="1"/>
  <c r="BF215" i="1"/>
  <c r="BF216" i="1"/>
  <c r="BF217" i="1" s="1"/>
  <c r="BF266" i="1"/>
  <c r="BF278" i="1" s="1"/>
  <c r="BF277" i="1"/>
</calcChain>
</file>

<file path=xl/sharedStrings.xml><?xml version="1.0" encoding="utf-8"?>
<sst xmlns="http://schemas.openxmlformats.org/spreadsheetml/2006/main" count="546" uniqueCount="383">
  <si>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</si>
  <si>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</si>
  <si>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</si>
  <si>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</si>
  <si>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</si>
  <si>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</si>
  <si>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</si>
  <si>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</si>
  <si>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</si>
  <si>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</si>
  <si>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</si>
  <si>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</si>
  <si>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</si>
  <si>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</si>
  <si>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</si>
  <si>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</si>
  <si>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</si>
  <si>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</si>
  <si>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</si>
  <si>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</si>
  <si>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</si>
  <si>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</si>
  <si>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</si>
  <si>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</si>
  <si>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</si>
  <si>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</si>
  <si>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</si>
  <si>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</si>
  <si>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</si>
  <si>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</si>
  <si>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</si>
  <si>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</si>
  <si>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</si>
  <si>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</si>
  <si>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</si>
  <si>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</si>
  <si>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</si>
  <si>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</si>
  <si>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</si>
  <si>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</si>
  <si>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</si>
  <si>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</si>
  <si>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</si>
  <si>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</si>
  <si>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</si>
  <si>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</si>
  <si>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</si>
  <si>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</si>
  <si>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</si>
  <si>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</si>
  <si>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</si>
  <si>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</si>
  <si>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</si>
  <si>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</si>
  <si>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</si>
  <si>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</si>
  <si>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</si>
  <si>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</si>
  <si>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</si>
  <si>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</si>
  <si>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</si>
  <si>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</si>
  <si>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</si>
  <si>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</si>
  <si>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</si>
  <si>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</si>
  <si>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</si>
  <si>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</si>
  <si>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</si>
  <si>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</si>
  <si>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</si>
  <si>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</si>
  <si>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</si>
  <si>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</si>
  <si>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</si>
  <si>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</si>
  <si>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</si>
  <si>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</si>
  <si>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</si>
  <si>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</si>
  <si>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</si>
  <si>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</si>
  <si>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</si>
  <si>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</si>
  <si>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</si>
  <si>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</si>
  <si>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</si>
  <si>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</si>
  <si>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</si>
  <si>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</si>
  <si>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</si>
  <si>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</si>
  <si>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</si>
  <si>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</si>
  <si>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</si>
  <si>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</si>
  <si>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</si>
  <si>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</si>
  <si>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</si>
  <si>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</si>
  <si>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</si>
  <si>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</si>
  <si>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</si>
  <si>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</si>
  <si>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</si>
  <si>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</si>
  <si>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</si>
  <si>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</si>
  <si>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</si>
  <si>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</si>
  <si>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</si>
  <si>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</si>
  <si>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</si>
  <si>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</si>
  <si>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</si>
  <si>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</si>
  <si>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</si>
  <si>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</si>
  <si>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</si>
  <si>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</si>
  <si>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</si>
  <si>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</si>
  <si>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</si>
  <si>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</si>
  <si>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</si>
  <si>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</si>
  <si>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</si>
  <si>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</si>
  <si>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</si>
  <si>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</si>
  <si>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</si>
  <si>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</si>
  <si>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</si>
  <si>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</si>
  <si>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</si>
  <si>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</si>
  <si>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</si>
  <si>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</si>
  <si>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</si>
  <si>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</si>
  <si>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</si>
  <si>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</si>
  <si>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</si>
  <si>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</si>
  <si>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</si>
  <si>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</si>
  <si>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</si>
  <si>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</si>
  <si>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</si>
  <si>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</si>
  <si>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</si>
  <si>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</si>
  <si>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</si>
  <si>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</si>
  <si>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</si>
  <si>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</si>
  <si>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</si>
  <si>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</si>
  <si>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</si>
  <si>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</si>
  <si>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</si>
  <si>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</si>
  <si>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</si>
  <si>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</si>
  <si>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</si>
  <si>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</si>
  <si>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</si>
  <si>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</si>
  <si>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</si>
  <si>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</si>
  <si>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</si>
  <si>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</si>
  <si>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</si>
  <si>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Travel from the European Schengen Area blocked</t>
  </si>
  <si>
    <t>Canada travel restricted</t>
  </si>
  <si>
    <t>Mexico travel restricted</t>
  </si>
  <si>
    <t>UK and Ireland travel restricted</t>
  </si>
  <si>
    <t>Iran travel blocked</t>
  </si>
  <si>
    <t>State of Emergency declared by Trump</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</si>
  <si>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</si>
  <si>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</si>
  <si>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</si>
  <si>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</si>
  <si>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</si>
  <si>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</si>
  <si>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</si>
  <si>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</si>
  <si>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</si>
  <si>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</si>
  <si>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</si>
  <si>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</si>
  <si>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</si>
  <si>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</si>
  <si>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</si>
  <si>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</si>
  <si>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</si>
  <si>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</si>
  <si>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</si>
  <si>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</si>
  <si>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</si>
  <si>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</si>
  <si>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</si>
  <si>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</si>
  <si>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</si>
  <si>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</si>
  <si>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</si>
  <si>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</si>
  <si>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</si>
  <si>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</si>
  <si>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</si>
  <si>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Trump predicts that "it’s going to work out fine. I think when we get into April, in the warmer weather, that has a very negative effect on that and that type of a virus."</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</si>
  <si>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</si>
  <si>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</si>
  <si>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</si>
  <si>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</si>
  <si>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</si>
  <si>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First community spread case documented, Trump states "The infection seems to have gone down over the last two days… We’re going to be pretty soon at only five people. And we could be at just one or two people over the next short period of time." and tweets "Low Ratings Fake News MSDNC (Comcast) &amp; @CNN are doing everything possible to make the Caronavirus look as bad as possible, including panicking markets, if possible. Likewise their incompetent Do Nothing Democrat comrades are all talk, no action. USA in great shape!"</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</si>
  <si>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</si>
  <si>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</si>
  <si>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</si>
  <si>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</si>
  <si>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</si>
  <si>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</si>
  <si>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</si>
  <si>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</si>
  <si>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</si>
  <si>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</si>
  <si>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</si>
  <si>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</si>
  <si>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</si>
  <si>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</si>
  <si>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</si>
  <si>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</si>
  <si>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</si>
  <si>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</si>
  <si>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</si>
  <si>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</si>
  <si>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</si>
  <si>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</si>
  <si>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</si>
  <si>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</si>
  <si>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</si>
  <si>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</si>
  <si>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</si>
  <si>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</si>
  <si>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</si>
  <si>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</si>
  <si>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</si>
  <si>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</si>
  <si>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</si>
  <si>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</si>
  <si>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</si>
  <si>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</si>
  <si>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</si>
  <si>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Trump falsely states that he "inherited a broken test" for COVID-19 (COVID-19 is a new virus, not one that had occurred during previous presidencies), tells nation to prepare for hard days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</si>
  <si>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</si>
  <si>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</si>
  <si>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</si>
  <si>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</si>
  <si>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</si>
  <si>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WHO report preliminary Chinese studies suggest no clear evidence of human to human transmission, but stated that it was still a strong possibility</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</si>
  <si>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</si>
  <si>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</si>
  <si>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</si>
  <si>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</si>
  <si>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</si>
  <si>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</si>
  <si>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</si>
  <si>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</si>
  <si>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</si>
  <si>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</si>
  <si>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</si>
  <si>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</si>
  <si>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</si>
  <si>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</si>
  <si>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</si>
  <si>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</si>
  <si>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</si>
  <si>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</si>
  <si>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</si>
  <si>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</si>
  <si>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</si>
  <si>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</si>
  <si>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</si>
  <si>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</si>
  <si>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</si>
  <si>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</si>
  <si>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</si>
  <si>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</si>
  <si>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</si>
  <si>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</si>
  <si>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</si>
  <si>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</si>
  <si>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</si>
  <si>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</si>
  <si>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</si>
  <si>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</si>
  <si>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</si>
  <si>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</si>
  <si>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</si>
  <si>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</si>
  <si>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</si>
  <si>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First Detected Infection in US</t>
  </si>
  <si>
    <t>First identified death from coronavirus 29/2 in Washington state</t>
  </si>
  <si>
    <t>23/4 blood samples from 3,300 volunteers in Santa Clara County showed actual cases may be more than 50 times confirmed cases</t>
  </si>
  <si>
    <t>New cases peaked 24/4</t>
  </si>
  <si>
    <t>Trump states that he can't understand why there has been an increase in people asking about using disenfectants for treating coronavirus and when asked if he took responsibility, he responded "no, I don't."</t>
  </si>
  <si>
    <t>Trump states in reference to the initial trial results of Hydroxychloroquine and azithromycin "Obviously, there have been some very good reports and perhaps this one is not a good report. But we'll be looking at it".</t>
  </si>
  <si>
    <t>Trump says that states need to work out competing bids for medical equipment among themselves…  "We're a backup, we’re not an ordering clerk, we're a backup, and we've done an unbelievable job"</t>
  </si>
  <si>
    <t>Trump tweets that he will impose a temporary immigration ban for 60 days via executive order in bid to tackle coronavirus and protect American jobs, what was signed a couple of days later only affected about 1/3 of green card applications,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</si>
  <si>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  He subsequently claimed he was being sarcastic to the press to see what would happen.</t>
  </si>
  <si>
    <t>A 57 yo female in California died on 6/2, following postmortem results released 23/4 showing she had a COVID-19 infection at the time of death, indicating that infections had been present in Jan earlier than previously thought</t>
  </si>
  <si>
    <t>States begin reporting increase in enquiries to COVID-19 support services regarding the use of disenfectants and UV light for treating COVID-19 infections</t>
  </si>
  <si>
    <t>Trump suggests that he may seek damages from China over the coronavirus outbreak, and following a German newspaper editorial calling on China to pay Germany several million in reparations because of economic damage, Trump said "We are talking about a lot more money than Germany's talking about. We haven't determined the final amount yet. It's very substantial."</t>
  </si>
  <si>
    <t>Trump tweets "Just finished a very good conversation with President Xi of China. Discussed in great detail the CoronaVirus that is ravaging large parts of our Planet. China has been through much &amp; has developed a strong understanding of the Virus. We are working closely together. Much respect!"</t>
  </si>
  <si>
    <t>It emerges that Trump owes a Chinese state-owned bank tens of millions which comes due in the next term, complicating matters for Trump in attacking either China or Biden's dealings with China</t>
  </si>
  <si>
    <t>WHO director-general Tedros Adhanom Ghebreyesus stated that the agency had sounded the highest level of alarm over the novel coronavirus early on, declaring a "Public Health Emergency of International Concern" on January 30, when there were no deaths and only 82 cases registered outside China.  "We advised the whole world to implement a comprehensive public health approach, and we said find, test, isolate, and do contact tracing. You can check for yourselves: countries who followed that are in a better position than others. This is fact."</t>
  </si>
  <si>
    <t>The WHO warned that there is no evidence that people who have recovered from COVID-19 and have antibodies are protected from a second coronavirus infection, warning against coutries issueing "immunity passports" or "risk-free certificates" to people who have been infected.</t>
  </si>
  <si>
    <t>World leaders hold a virtual meeting to work on a global initiate to accelerate the fight on COVID-19  coordinated by the WHO to speed up the development of improved tests, treatment protocols and medication trials, and vaccination development.  The US did not participate and has flagged that it will go it alone.</t>
  </si>
  <si>
    <t>Trump states in an interview "China will do anything they can to have me lose this race", referring to the Nov presidential elections, citing China's handling of the COVID-19 crises as proof. In a WH presentation the following day, Trump implies that the coronavirus may have been used by China to wreck the US economy and a trade deal between the two countries.</t>
  </si>
  <si>
    <t>Trump claims that he has seen evidence that links the novel coronavirus to the Wuhan Institute of Virology, but claimed that he's not allowed to say what the evidence is.</t>
  </si>
  <si>
    <t>WH announces operation warp speed, a program to accelerate the development of a vaccine with a target for mass deployment by January, a timeline that would be unprecedented in vaccine development timelines.  The US taxpayer to pick up the bill, rather than drug companies.</t>
  </si>
  <si>
    <t>The office of the director of national intelligence said that the intelligence community does not believe coronavirus was man made.</t>
  </si>
  <si>
    <t>Pence visits the Mayo clinic without a mask, despite being informed that it was a requirement for all visitors.  Pence claims that as he did not have an infection, he did not need to wear a mask and wanted people to see his eys, sparking a backlash from healthcare workers and the press.  His wife later claimed that they had not been told.  Pence later threatens retaliatory action against a reporter in the party who provided evidence that everyone had been instructed to wear masks prior to attending.</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</si>
  <si>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</si>
  <si>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Right wing protests begin in some states against lockdown laws, ironically with many of the protestors wearing some form of PPE</t>
  </si>
  <si>
    <t>More than half of the US states are to begin lifting restrictions by the end of the week, even though no states have as yet met the original criteria set by the WH for lifting restrictions.  In Michigan, protestors, some armed and wearing bullet proof vests, many with some form of PPE (obviously oblivious to the irony), entered the state Capitol building.</t>
  </si>
  <si>
    <t>Trump "And so, if we could hold that down, as we’re saying, to 100,000 – it’s a horrible number, maybe even less, but to 100,000, so we have between 100 [thousand] and 200,000 – we altogether have done a very good job", extends shutdown for an additional month, predicts peak to occur in 2 weeks, states "We can expect by June 1st we will be well on our way to recovery," and accuses health care workers of stealing masks without providing any evidence to support the accusation</t>
  </si>
  <si>
    <t>Trump "Our country wasn’t built to be shut down.  This is not a country that was built for this.  It was not built to be shut down ... Our country was at its strongest financial point.  We’ve never had an economy like we had just a few weeks ago, and then it got hit with something that nobody could have ever thought possible ... People get tremendous anxiety and depression, and you have suicides over things like this when you have terrible economies.  You have death.  Probably and — I mean, definitely would be in far greater numbers than the numbers that we’re talking about with regard to the virus."  The US has 45,000 - 50,000 suicides per year, COVID-19 deaths hit that by mid-late April.  There were more than 10,000 deaths across Europe and North Ameria attributed to the GFC.  Even adding another 10,000 to this, the US had 60,000 deaths to coronavirus by the end of April.</t>
  </si>
  <si>
    <t>Jarrod Kushner has been made the WH pointman of the coronavirus response in a vaguely defined role working with the Federal Emergency Management Agency to oversee distribution of medical supplies and to assist Pence and "reinvigorate" the team struggling with the dire challenge of battling the pandemic.  From JK "The notion of the federal stockpile was it's supposed to be our stockpile. It's not supposed to be state stockpiles that they then use."</t>
  </si>
  <si>
    <t>Trump contradicts public health expert estimates of death rate of COVID-19 of confirmed cases as less than 1% based on a hunch, and suggests that those infected can still go to work, comparing it with the flu and referring to it as the corona flu</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</si>
  <si>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  Deaths from COVID-19 hit 13,000 6/4</t>
  </si>
  <si>
    <t>Trump "The Fake News Media &amp; their partner, the Democrat Party, is doing everything within its semi-considerable power to inflame the Coronavirus situation"</t>
  </si>
  <si>
    <t>US Secretary of State Mike Pompeo "There is a significant amount of evidence that this came from that laboratory in Wuhan. Instead, China behaved like authoritarian regimes do, attempted to conceal and hide and confuse. The best experts so far seem to think it was man-made. I have no reason to disbelieve that at this point." When pointed out that this was not the conclusion of the US intelligence agencies, Pompeo backtracked "That’s right. I agree with that. I've seen what the intelligence community has said.  I have no reason to believe that they've got it wrong."</t>
  </si>
  <si>
    <t>Projections less meaningful as rates begin to decrease</t>
  </si>
  <si>
    <t>Trump states that he would wear a mask if it was an environment that required a mask, but while touring a mask making factory where instructions everywhere were to wear a mask and all the staff were wearing masks, he only wore goggles, claiming Honeywell had told the WH that Trump didn't need to wear a mask.</t>
  </si>
  <si>
    <t>Pence flags that the coronavirus taskforce would be winding up by 25/5, to be replaced by a transition/opening up taskforce</t>
  </si>
  <si>
    <t>Rick Bright lodges a whistleblower complaint against the WH, painting the WH response to the novel coronavirus in an unfavourable light</t>
  </si>
  <si>
    <t>A personal valet to Trump, a member of the US Navy, has tested positive to coronavirus</t>
  </si>
  <si>
    <t>Katie Miller, Pence's press secretary has tested positive to coronavirus. Her husband, Stephen Miller is a senior advisor to Trump.</t>
  </si>
  <si>
    <t>The Office of Special Counsel has determined that there were reasonable grounds to believe Rick Bright was removed for reliatory reasons, and will recommend that he is reinstated to the Department of Health and Human Services while it investigates.</t>
  </si>
  <si>
    <t>Trump confirms that he is pushing ahead with attempts to abolish health care, without promising any details of what would go in its place.</t>
  </si>
  <si>
    <t>US unemployment hits 14.7%, the steepest plunge since the great depression, coming off a five decade low of 3.5% in Feb, and unemployment figures not seen since 1982.  Underemployment hits 22.8%, a record high.</t>
  </si>
  <si>
    <t>Jared Kushner "We're on the other side of the medical aspect of this, and I think that we've achieved all the different milestones that are needed. The federal government rose to the challenge, and this is a great success story. And I think that that's really, you know, what needs to be told. May will be a transition month. I think you will see by June, a lot of the country should be back to normal, and the hope is that by July the country is really rocking again. The eternal lockdown crowd can make jokes on late-night television but the reality is that the data's on our side," as the death toll surpasses 60,000 and the rate of new cases has remained fairly steady for the last month</t>
  </si>
  <si>
    <t xml:space="preserve"> Trump states that "testing isn't necessary" and is an imperfect guide and makes the United States "look bad".  Although he and Pence will in the coming days start to be tested daily themselves.  Birx in response states in an interview when asked about testing, states the need for testing and that such efforts are essential and should be stepped up.</t>
  </si>
  <si>
    <t>Members of the Coronavirus Taskforce, including Fauci and Pence self quarantine</t>
  </si>
  <si>
    <t>Trump tweeted: "We are getting great marks for the handling of the CoronaVirus pandemic, especially the very early BAN of people from China, the infectious source, entering the USA"</t>
  </si>
  <si>
    <t>Trump in relation to Katie Miller testing positive: "This is why the whole concept of tests aren’t necessarily great. The tests are perfect but something can happen between a test where it’s good and then something happens." He also said "The media likes to say we have the most cases, but we do, by far, the most testing. If we did very little testing, we wouldn’t have the most cases. So, in a way, by doing all of this testing, we make ourselves look bad."</t>
  </si>
  <si>
    <t>Barack Obama describes Trump handling of the coronavirus pandemic as "an absolute chaotic disaster."</t>
  </si>
  <si>
    <t>The WH has ordered everyone entering the West Wing to wear a face mask, other than for Trump who is exempt.</t>
  </si>
  <si>
    <t>Trump tweets: "Coronavirus numbers are looking MUCH better, going down almost everywhere. Big progress being made!"</t>
  </si>
  <si>
    <t>Trump signals that he is looking ahead to reopening the country, with no intent of extending the federal guidelines aimed to limit the spread of the coronavirus that are to expire 1/5.  He also suggested that the virus may just go away without the need of a vaccine and everything will return to normal after "It's gonna go, it's gonna leave, it's be gonna be eradicated" somehow magically. "We did all the right moves. This is going away. I see the new normal being what it was three months ago. Hopefully in the not too distant future, we'll have some massive rallies and people will be sitting next to each other." He also stated that he believes the U.S. can never declare “total victory” over the coronavirus because too many people have died. But he added that he will count it a win when the virus is gone and the economy fully reopened.</t>
  </si>
  <si>
    <t>Trump "Thanks to the courage of our citizens and our aggressive strategy, hundreds of thousands of lives have been saved. In every generation, through every challenge and hardship and danger, America has risen to the task, we have met the moment and we have prevailed."  he also continued to encourage states to lift lockdown measures, saying "people are dying in the lockdown position too."</t>
  </si>
  <si>
    <t>Dr Thomas R Frieden, former director of the Centers for Disease Control and Prevention "We're not reopening based on science, we're reopening based on politics, ideology, and public pressure. And I think it's going to end badly."</t>
  </si>
  <si>
    <t>Trump tweets: "The great people of Pennsylvania want their freedom now, and they are fully aware of what that entails. The Democrats are moving slowly, all over the USA, for political purposes. They would wait until November 3rd if it were up to them. Don't play politics. Be safe, move quickly!"</t>
  </si>
  <si>
    <t>Fauci, in an email to a news outlet discussing his forthcoming Congress appearance on 12/5, stated ""If we skip over the checkpoints in the guidelines to 'Open America Again', then we risk the danger of multiple outbreaks throughout the country. This will not only result in needless suffering and death, but would actually set us back on our quest to return to normal."</t>
  </si>
  <si>
    <t>Trump in response to Fauci's warnings to congress about really serious consequences if states moving too quickly to reopen or restarting schools too soon, "I was surprised by his answer, actually, because, you know, it’s just, to me, it’s not an acceptable answer, especially when it comes to schools."  Trump also said "The state is not open if the schools are not open."</t>
  </si>
  <si>
    <t>Trump tweets "So last year 37,000 Americans died from the common Flu. It averages between 27,000 and 70,000 per year. Nothing is shut down, life &amp; the economy go on. At this moment there are 546 confirmed cases of CoronaVirus, with 22 deaths. Think about that!" Deaths from COVID-19 passed 70,000 by 5/5</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</si>
  <si>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stay at home orders.</t>
  </si>
  <si>
    <t>-</t>
  </si>
  <si>
    <t>CDC confirms first case of person to person transmission in the US</t>
  </si>
  <si>
    <t>+</t>
  </si>
  <si>
    <t>Cases</t>
  </si>
  <si>
    <t>14 Day lead time before expect to begin seeing results</t>
  </si>
  <si>
    <t>Pence travels to Iowa, signalling to religious leaders that they should reopen their houses of worship, claiming "for most healthy Americans, the risks that the coronavirus poses remains very low," and thanked them for stepping "forward back into the exercise of your faith."</t>
  </si>
  <si>
    <t>CDC was to release guidelines for reopening the previous Friday, but WH has now stated that it is to be shelved and will not see the light of day, due in part because of a "religious freedom" concern in placing restrictions on churches.  However Birx states that "No one has stopped those guidelines.  We're still in editing."</t>
  </si>
  <si>
    <t xml:space="preserve"> By 16/3 all states had declared a State of Emergency.  States progressively began implementing stay at home orders.  Seven states did not end up implementing any stay at home orders - Arkansas, Iowa, Nebraska, North Dakota, Oklahoma, Utah, and Wyoming, although some cities in these states issued their own local lockdowns</t>
  </si>
  <si>
    <t>Trump claims that state and local government officials were treating Christians worse than Muslims during the pandemic. "Our politicians seem to treat different faiths very differently. … The Christian faith is treated much differently."  At least 20 states include exemptions on large gatherings to allow church congregations to meet, putting themselves and the wider communities at greater risk and despite coronavirus not discriminating on the grounds of religion or seculism</t>
  </si>
  <si>
    <t>Only two states have yet to begin reopening - Connecticut and Massachusetts</t>
  </si>
  <si>
    <t>In response to Rick Bright testifying to Congress that the WH still had no pandemic plan, WH Press Secretary (No. 4) Kayleigh McEnany pushed back against reports that the WH admin threw out the Obama admin pandemic response plan, saying that the Trump admin had simply replaced it saying it was insufficient and it wasn't going to work, after previously saying that the Obama admin had not left any pandemic plan.  Holding up two binders, one a 2018 pandemic crisis action plan and the other a "Crimson Contagion 2019 after-action report" which gamed out the pandemic crisis action plan, "Some have erroneously suggested that the Trump administration threw out the pandemic response playbook left by the Obama-Biden administration.  What the critics failed to note, however, is that this thin packet of paper was replaced by two detailed, robust pandemic response reports commissioned by the Trump administration."  Asked about the action report she answered "What it basically did was say to us, look, some of the previous iterations of plans have put HHS in the lead, HHS of course plays a critical role in our response, but one of the things that was identified was you need a whole of government response from the highest levels".  It does not appear that any recommendations in the action report which apparently savaged the pandemic crises action plan were actioned before COVID-19 hit.</t>
  </si>
  <si>
    <t>After the UK alerted doctors to a new syndrome in April and Cuomo flagging a number of children in NY with inflammatory 'Kawasaki like' responses from COVID-19 over the previous days, the CDC has issued a health advisory on the new syndrome in children under 10</t>
  </si>
  <si>
    <t>Trump announces that his administration is working on a plan to manufacture in bulk the leading vaccine contenders to be ready for mass distribution once any of them are approved, targeting the end of the year.</t>
  </si>
  <si>
    <t>Trump flags that he is considering restoring 10% of funding of previous levels back to the WHO, matching current Chinese payment levels, but also stating "Have not made final decision. All funds are frozen. Thanks!"</t>
  </si>
  <si>
    <t>Trump "We’re looking at vaccines, we’re looking at cures and we are very, very far down the line. I think that’s not going to be in the very distant future. But even before that, I think we’ll be back to normal. … We want to get it back to where it was. We want big, big stadiums loaded with people, we want to get sports back. We miss sports. We need sports in terms of the psyche, the psyche of our country."</t>
  </si>
  <si>
    <t>Leaked projections from the CDC forecasts that the US will be recording 200,000 new cases each day and up to 3,000 deaths each day from COVID-10 by the end of May.  In a separate model, The Institute of Health Metrics and Evaluation now projects that 135,000 people will die from COVID-19, up from its previous estimate of 72,433 deaths</t>
  </si>
  <si>
    <t>Trump tweets contents of letter sent to the WHO which included "If the World Health Organisation does not commit to major substantive improvements within the next 30 days, I will make my temporary freeze of United States funding to the World Health Organisation permanent and reconsider our membership in the organisation."</t>
  </si>
  <si>
    <t>In defending the use of hydroxychloroquine, Trump states "If you look at the one survey, the only bad survey, they were giving it to people that were in very bad shape. They were very old. Almost dead. It was a Trump enemy statement." presumably referring to a study of hundreds of patients treated by the Department of Veterans Affairs in which more of those in a group who were administered hydroxychloroquine died than among those who weren’t.</t>
  </si>
  <si>
    <t>Trump states that he has been taking hydroxychloroquine for about a week and a half, following the positive COVID-19 tests of WH staff. "You'd be surprised at how many people are taking it, especially the frontline workers before you catch it, the frontline workers, many, many are taking it, I happen to be taking it. Here's my evidence: I get a lot of positive calls about it. I've heard a lot of good stories and if it's not good, I'll tell you right I'm not going to get hurt by it."  He added that he was taking a daily zinc supplement and received a single does of the antibiotic azithromycin, saying that he had requested the medication.</t>
  </si>
  <si>
    <t>;</t>
  </si>
  <si>
    <t>Trump "You know when you say that we lead in cases, that's because we have more testing than anybody else. It's a great tribute to the testing and all of the work that a lot of of professionals have done."  Trump also suggested he might close the border with Brazil, "I don't want people coming over here and infecting our people.  I don't want people over there sick either."</t>
  </si>
  <si>
    <t>Donald Trump's son and executive VP of the Trump Organisation, Eric Trump: "They think they are taking away Donald Trump's greatest tool, which is being able to go into an arena and fill it with 50,000 people every single time. Joe Biden can't get 10 people in a room. My father is getting 50,000 in a room. And they want to do everything they can to stop it. You watch, they'll milk it every single day between now and Nov. 3. And guess what, after Nov. 3, coronavirus will magically all of a sudden go away and disappear and everybody will be able to reopen. ... This is a very cognizant strategy that they're trying to employ. It's no different than the mail-in voting that they want to do all these places. It's no different than wanting illegal immigrants to vote in our country. It is a cognizant strategy. And it's sad. And, again, it's not going to be allowed to happen and we're going to win in November." His brother, Trump Jr also stated that coronavirus was invented by the Democrats to cancel his father's campaign.</t>
  </si>
  <si>
    <t>Speaker Nancy Pelosi "As far as the President is concerned, he's our President and I would rather he not be taking something that has not been approved by the scientists, especially in his age group and in his, shall we say, weight group, morbidly obese, they say. So I think it's not a good idea."  To be fair to Trump, his BMI suggests that he is obese, rather than morbidly obese.  Trump responded "Pelosi is a sick woman. She’s got a lot of problems, a lot of mental problems."</t>
  </si>
  <si>
    <t>American biotech company Moderna announce findings from a Phase I trial of 8 people who received 2 doses of an experimental vaccine, showing no ill side effects and production of antibodies.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</si>
</sst>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3"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00">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2" borderId="8" xfId="0" applyNumberForma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171" fontId="9" fillId="4" borderId="5" xfId="0" applyNumberFormat="1" applyFont="1" applyFill="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9" xfId="0" applyNumberFormat="1" applyFont="1" applyFill="1" applyBorder="1"/>
    <xf numFmtId="0" fontId="9" fillId="0" borderId="0" xfId="0" applyFont="1" applyFill="1"/>
    <xf numFmtId="3" fontId="9" fillId="8" borderId="14" xfId="0" applyNumberFormat="1" applyFont="1" applyFill="1" applyBorder="1"/>
    <xf numFmtId="3" fontId="9" fillId="2" borderId="14" xfId="0" applyNumberFormat="1" applyFont="1" applyFill="1" applyBorder="1"/>
    <xf numFmtId="171" fontId="0" fillId="0" borderId="0" xfId="0" applyNumberFormat="1"/>
    <xf numFmtId="170" fontId="0" fillId="0" borderId="11" xfId="0" applyNumberFormat="1" applyBorder="1"/>
    <xf numFmtId="0" fontId="0" fillId="4" borderId="0" xfId="0" applyFill="1"/>
    <xf numFmtId="0" fontId="0" fillId="16" borderId="7" xfId="0" applyFill="1" applyBorder="1"/>
    <xf numFmtId="14" fontId="0" fillId="0" borderId="0" xfId="0" applyNumberFormat="1" applyBorder="1"/>
    <xf numFmtId="164" fontId="9" fillId="4" borderId="3" xfId="0" applyNumberFormat="1" applyFont="1" applyFill="1" applyBorder="1"/>
    <xf numFmtId="3" fontId="9" fillId="4" borderId="5" xfId="0" applyNumberFormat="1" applyFont="1" applyFill="1" applyBorder="1"/>
    <xf numFmtId="3" fontId="9" fillId="4" borderId="15" xfId="0" applyNumberFormat="1" applyFont="1" applyFill="1" applyBorder="1" applyAlignment="1">
      <alignment horizontal="center"/>
    </xf>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170" fontId="0" fillId="18" borderId="14" xfId="0" applyNumberFormat="1" applyFill="1" applyBorder="1"/>
    <xf numFmtId="171" fontId="0" fillId="18" borderId="4"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0" fontId="0" fillId="2" borderId="0" xfId="0" applyFill="1"/>
    <xf numFmtId="14" fontId="0" fillId="4" borderId="20" xfId="0" applyNumberFormat="1" applyFill="1" applyBorder="1"/>
    <xf numFmtId="14" fontId="0" fillId="15" borderId="21" xfId="0" applyNumberFormat="1" applyFill="1" applyBorder="1"/>
    <xf numFmtId="14" fontId="0" fillId="16" borderId="21" xfId="0" applyNumberFormat="1" applyFill="1" applyBorder="1"/>
    <xf numFmtId="14" fontId="0" fillId="10" borderId="21" xfId="0" applyNumberFormat="1" applyFill="1" applyBorder="1"/>
    <xf numFmtId="14" fontId="0" fillId="4" borderId="21" xfId="0" applyNumberFormat="1" applyFill="1" applyBorder="1"/>
    <xf numFmtId="14" fontId="0" fillId="0" borderId="21" xfId="0" applyNumberFormat="1" applyFill="1" applyBorder="1"/>
    <xf numFmtId="14" fontId="0" fillId="8" borderId="21" xfId="0" applyNumberFormat="1" applyFill="1" applyBorder="1"/>
    <xf numFmtId="171" fontId="11" fillId="0" borderId="7" xfId="0" applyNumberFormat="1" applyFont="1" applyBorder="1"/>
    <xf numFmtId="14" fontId="0" fillId="8" borderId="14" xfId="0" applyNumberFormat="1" applyFill="1" applyBorder="1"/>
    <xf numFmtId="171" fontId="12" fillId="0" borderId="7" xfId="0" applyNumberFormat="1" applyFont="1" applyBorder="1"/>
    <xf numFmtId="14" fontId="0" fillId="8" borderId="22" xfId="0" applyNumberFormat="1" applyFill="1" applyBorder="1"/>
    <xf numFmtId="3" fontId="0" fillId="9" borderId="2" xfId="0" applyNumberFormat="1" applyFill="1" applyBorder="1"/>
    <xf numFmtId="166" fontId="0" fillId="9" borderId="0"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2">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43931.937935879629</c:v>
                </c:pt>
                <c:pt idx="1">
                  <c:v>43934.937935879629</c:v>
                </c:pt>
                <c:pt idx="2">
                  <c:v>43937.937935879629</c:v>
                </c:pt>
                <c:pt idx="3">
                  <c:v>43940.937935879629</c:v>
                </c:pt>
                <c:pt idx="4">
                  <c:v>43943.937935879629</c:v>
                </c:pt>
                <c:pt idx="5">
                  <c:v>43946.937935879629</c:v>
                </c:pt>
                <c:pt idx="6">
                  <c:v>43949.937935879629</c:v>
                </c:pt>
                <c:pt idx="7">
                  <c:v>43952.937935879629</c:v>
                </c:pt>
                <c:pt idx="8">
                  <c:v>43955.937935879629</c:v>
                </c:pt>
                <c:pt idx="9">
                  <c:v>43958.937935879629</c:v>
                </c:pt>
                <c:pt idx="10">
                  <c:v>43961.937935879629</c:v>
                </c:pt>
                <c:pt idx="11">
                  <c:v>43964.937935879629</c:v>
                </c:pt>
                <c:pt idx="12">
                  <c:v>43967.937935879629</c:v>
                </c:pt>
                <c:pt idx="13">
                  <c:v>43970.937935879629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141.24293785310735</c:v>
                </c:pt>
                <c:pt idx="1">
                  <c:v>282.4858757062147</c:v>
                </c:pt>
                <c:pt idx="2">
                  <c:v>564.9717514124294</c:v>
                </c:pt>
                <c:pt idx="3">
                  <c:v>1129.9435028248588</c:v>
                </c:pt>
                <c:pt idx="4">
                  <c:v>2259.8870056497176</c:v>
                </c:pt>
                <c:pt idx="5">
                  <c:v>4519.7740112994352</c:v>
                </c:pt>
                <c:pt idx="6">
                  <c:v>9039.5480225988704</c:v>
                </c:pt>
                <c:pt idx="7">
                  <c:v>18079.096045197741</c:v>
                </c:pt>
                <c:pt idx="8">
                  <c:v>36158.192090395482</c:v>
                </c:pt>
                <c:pt idx="9">
                  <c:v>72316.384180790963</c:v>
                </c:pt>
                <c:pt idx="10">
                  <c:v>144632.76836158193</c:v>
                </c:pt>
                <c:pt idx="11">
                  <c:v>289265.53672316385</c:v>
                </c:pt>
                <c:pt idx="12">
                  <c:v>578531.0734463277</c:v>
                </c:pt>
                <c:pt idx="13">
                  <c:v>1157062.1468926554</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43931.937935879629</c:v>
                </c:pt>
                <c:pt idx="1">
                  <c:v>43934.937935879629</c:v>
                </c:pt>
                <c:pt idx="2">
                  <c:v>43937.937935879629</c:v>
                </c:pt>
                <c:pt idx="3">
                  <c:v>43940.937935879629</c:v>
                </c:pt>
                <c:pt idx="4">
                  <c:v>43943.937935879629</c:v>
                </c:pt>
                <c:pt idx="5">
                  <c:v>43946.937935879629</c:v>
                </c:pt>
                <c:pt idx="6">
                  <c:v>43949.937935879629</c:v>
                </c:pt>
                <c:pt idx="7">
                  <c:v>43952.937935879629</c:v>
                </c:pt>
                <c:pt idx="8">
                  <c:v>43955.937935879629</c:v>
                </c:pt>
                <c:pt idx="9">
                  <c:v>43958.937935879629</c:v>
                </c:pt>
                <c:pt idx="10">
                  <c:v>43961.937935879629</c:v>
                </c:pt>
                <c:pt idx="11">
                  <c:v>43964.937935879629</c:v>
                </c:pt>
                <c:pt idx="12">
                  <c:v>43967.937935879629</c:v>
                </c:pt>
                <c:pt idx="13">
                  <c:v>43970.937935879629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124.29378531073446</c:v>
                </c:pt>
                <c:pt idx="1">
                  <c:v>248.58757062146893</c:v>
                </c:pt>
                <c:pt idx="2">
                  <c:v>497.17514124293785</c:v>
                </c:pt>
                <c:pt idx="3">
                  <c:v>994.35028248587571</c:v>
                </c:pt>
                <c:pt idx="4">
                  <c:v>1988.7005649717514</c:v>
                </c:pt>
                <c:pt idx="5">
                  <c:v>3977.4011299435028</c:v>
                </c:pt>
                <c:pt idx="6">
                  <c:v>7954.8022598870057</c:v>
                </c:pt>
                <c:pt idx="7">
                  <c:v>15909.604519774011</c:v>
                </c:pt>
                <c:pt idx="8">
                  <c:v>31819.209039548023</c:v>
                </c:pt>
                <c:pt idx="9">
                  <c:v>63638.418079096045</c:v>
                </c:pt>
                <c:pt idx="10">
                  <c:v>127276.83615819209</c:v>
                </c:pt>
                <c:pt idx="11">
                  <c:v>254553.67231638418</c:v>
                </c:pt>
                <c:pt idx="12">
                  <c:v>509107.34463276836</c:v>
                </c:pt>
                <c:pt idx="13">
                  <c:v>1018214.6892655367</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43931.937935879629</c:v>
                </c:pt>
                <c:pt idx="1">
                  <c:v>43934.937935879629</c:v>
                </c:pt>
                <c:pt idx="2">
                  <c:v>43937.937935879629</c:v>
                </c:pt>
                <c:pt idx="3">
                  <c:v>43940.937935879629</c:v>
                </c:pt>
                <c:pt idx="4">
                  <c:v>43943.937935879629</c:v>
                </c:pt>
                <c:pt idx="5">
                  <c:v>43946.937935879629</c:v>
                </c:pt>
                <c:pt idx="6">
                  <c:v>43949.937935879629</c:v>
                </c:pt>
                <c:pt idx="7">
                  <c:v>43952.937935879629</c:v>
                </c:pt>
                <c:pt idx="8">
                  <c:v>43955.937935879629</c:v>
                </c:pt>
                <c:pt idx="9">
                  <c:v>43958.937935879629</c:v>
                </c:pt>
                <c:pt idx="10">
                  <c:v>43961.937935879629</c:v>
                </c:pt>
                <c:pt idx="11">
                  <c:v>43964.937935879629</c:v>
                </c:pt>
                <c:pt idx="12">
                  <c:v>43967.937935879629</c:v>
                </c:pt>
                <c:pt idx="13">
                  <c:v>43970.937935879629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16.949152542372882</c:v>
                </c:pt>
                <c:pt idx="4">
                  <c:v>33.898305084745765</c:v>
                </c:pt>
                <c:pt idx="5">
                  <c:v>67.79661016949153</c:v>
                </c:pt>
                <c:pt idx="6">
                  <c:v>135.59322033898306</c:v>
                </c:pt>
                <c:pt idx="7">
                  <c:v>271.18644067796612</c:v>
                </c:pt>
                <c:pt idx="8">
                  <c:v>542.37288135593224</c:v>
                </c:pt>
                <c:pt idx="9">
                  <c:v>1084.7457627118645</c:v>
                </c:pt>
                <c:pt idx="10">
                  <c:v>2169.4915254237289</c:v>
                </c:pt>
                <c:pt idx="11">
                  <c:v>4338.9830508474579</c:v>
                </c:pt>
                <c:pt idx="12">
                  <c:v>8677.9661016949158</c:v>
                </c:pt>
                <c:pt idx="13">
                  <c:v>17355.932203389832</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Projections!$A$210</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Projections!$P$209:$BG$209</c15:sqref>
                  </c15:fullRef>
                </c:ext>
              </c:extLst>
              <c:f>Projections!$P$209:$AL$209</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numCache>
            </c:numRef>
          </c:cat>
          <c:val>
            <c:numRef>
              <c:extLst>
                <c:ext xmlns:c15="http://schemas.microsoft.com/office/drawing/2012/chart" uri="{02D57815-91ED-43cb-92C2-25804820EDAC}">
                  <c15:fullRef>
                    <c15:sqref>Projections!$P$210:$BG$210</c15:sqref>
                  </c15:fullRef>
                </c:ext>
              </c:extLst>
              <c:f>Projections!$P$210:$AL$210</c:f>
              <c:numCache>
                <c:formatCode>#,##0_ ;[Red]\-#,##0\ </c:formatCode>
                <c:ptCount val="2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numCache>
            </c:numRef>
          </c:val>
          <c:smooth val="0"/>
          <c:extLst>
            <c:ext xmlns:c16="http://schemas.microsoft.com/office/drawing/2014/chart" uri="{C3380CC4-5D6E-409C-BE32-E72D297353CC}">
              <c16:uniqueId val="{00000004-8BCC-427B-903C-670C749E04E9}"/>
            </c:ext>
          </c:extLst>
        </c:ser>
        <c:ser>
          <c:idx val="1"/>
          <c:order val="1"/>
          <c:tx>
            <c:strRef>
              <c:f>Projections!$A$234</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Projections!$P$209:$BG$209</c15:sqref>
                  </c15:fullRef>
                </c:ext>
              </c:extLst>
              <c:f>Projections!$P$209:$AL$209</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numCache>
            </c:numRef>
          </c:cat>
          <c:val>
            <c:numRef>
              <c:extLst>
                <c:ext xmlns:c15="http://schemas.microsoft.com/office/drawing/2012/chart" uri="{02D57815-91ED-43cb-92C2-25804820EDAC}">
                  <c15:fullRef>
                    <c15:sqref>Projections!$P$234:$BG$234</c15:sqref>
                  </c15:fullRef>
                </c:ext>
              </c:extLst>
              <c:f>Projections!$P$234:$AL$234</c:f>
              <c:numCache>
                <c:formatCode>General</c:formatCode>
                <c:ptCount val="23"/>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1792000</c:v>
                </c:pt>
                <c:pt idx="22" formatCode="#,##0">
                  <c:v>2048000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Projections!$A$224</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Projections!$P$209:$BG$209</c15:sqref>
                  </c15:fullRef>
                </c:ext>
              </c:extLst>
              <c:f>Projections!$P$209:$AL$209</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numCache>
            </c:numRef>
          </c:cat>
          <c:val>
            <c:numRef>
              <c:extLst>
                <c:ext xmlns:c15="http://schemas.microsoft.com/office/drawing/2012/chart" uri="{02D57815-91ED-43cb-92C2-25804820EDAC}">
                  <c15:fullRef>
                    <c15:sqref>Projections!$P$224:$BG$224</c15:sqref>
                  </c15:fullRef>
                </c:ext>
              </c:extLst>
              <c:f>Projections!$P$224:$AL$224</c:f>
              <c:numCache>
                <c:formatCode>#,##0_ ;[Red]\-#,##0\ </c:formatCode>
                <c:ptCount val="23"/>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37760</c:v>
                </c:pt>
                <c:pt idx="16">
                  <c:v>45312</c:v>
                </c:pt>
                <c:pt idx="17">
                  <c:v>52864</c:v>
                </c:pt>
                <c:pt idx="18">
                  <c:v>60416</c:v>
                </c:pt>
                <c:pt idx="19">
                  <c:v>77332.479999999996</c:v>
                </c:pt>
                <c:pt idx="20">
                  <c:v>90624</c:v>
                </c:pt>
                <c:pt idx="21">
                  <c:v>105728</c:v>
                </c:pt>
                <c:pt idx="22">
                  <c:v>120832</c:v>
                </c:pt>
              </c:numCache>
            </c:numRef>
          </c:val>
          <c:smooth val="0"/>
          <c:extLst>
            <c:ext xmlns:c16="http://schemas.microsoft.com/office/drawing/2014/chart" uri="{C3380CC4-5D6E-409C-BE32-E72D297353CC}">
              <c16:uniqueId val="{00000000-50BE-40C1-B679-81AF0BCE3FCD}"/>
            </c:ext>
          </c:extLst>
        </c:ser>
        <c:ser>
          <c:idx val="1"/>
          <c:order val="1"/>
          <c:tx>
            <c:strRef>
              <c:f>Projections!$A$238</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Projections!$P$209:$BG$209</c15:sqref>
                  </c15:fullRef>
                </c:ext>
              </c:extLst>
              <c:f>Projections!$P$209:$AL$209</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numCache>
            </c:numRef>
          </c:cat>
          <c:val>
            <c:numRef>
              <c:extLst>
                <c:ext xmlns:c15="http://schemas.microsoft.com/office/drawing/2012/chart" uri="{02D57815-91ED-43cb-92C2-25804820EDAC}">
                  <c15:fullRef>
                    <c15:sqref>Projections!$P$238:$BG$238</c15:sqref>
                  </c15:fullRef>
                </c:ext>
              </c:extLst>
              <c:f>Projections!$P$238:$AL$238</c:f>
              <c:numCache>
                <c:formatCode>General</c:formatCode>
                <c:ptCount val="23"/>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93558</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Projections!$A$220</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Projections!$P$220:$BG$220</c15:sqref>
                  </c15:fullRef>
                </c:ext>
              </c:extLst>
              <c:f>Projections!$P$220:$AQ$220</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295492.66518045042</c:v>
                </c:pt>
                <c:pt idx="20">
                  <c:v>354791.8589697365</c:v>
                </c:pt>
                <c:pt idx="21">
                  <c:v>404456.30588254385</c:v>
                </c:pt>
                <c:pt idx="22">
                  <c:v>448667.17803600215</c:v>
                </c:pt>
                <c:pt idx="23">
                  <c:v>626448.17961925734</c:v>
                </c:pt>
                <c:pt idx="24">
                  <c:v>580299.25131562375</c:v>
                </c:pt>
                <c:pt idx="25">
                  <c:v>713496.12109329749</c:v>
                </c:pt>
                <c:pt idx="26">
                  <c:v>826004.17405265337</c:v>
                </c:pt>
                <c:pt idx="27">
                  <c:v>925634.71274539013</c:v>
                </c:pt>
              </c:numCache>
            </c:numRef>
          </c:val>
          <c:smooth val="0"/>
          <c:extLst>
            <c:ext xmlns:c16="http://schemas.microsoft.com/office/drawing/2014/chart" uri="{C3380CC4-5D6E-409C-BE32-E72D297353CC}">
              <c16:uniqueId val="{00000000-A3C2-4B4C-996C-CDB1A252886F}"/>
            </c:ext>
          </c:extLst>
        </c:ser>
        <c:ser>
          <c:idx val="2"/>
          <c:order val="1"/>
          <c:tx>
            <c:strRef>
              <c:f>Projections!$A$221</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Projections!$P$221:$BG$221</c15:sqref>
                  </c15:fullRef>
                </c:ext>
              </c:extLst>
              <c:f>Projections!$P$221:$AQ$221</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252868.59737156465</c:v>
                </c:pt>
                <c:pt idx="20">
                  <c:v>181677.79901564698</c:v>
                </c:pt>
                <c:pt idx="21">
                  <c:v>189154.85950816722</c:v>
                </c:pt>
                <c:pt idx="22">
                  <c:v>292747.4480360162</c:v>
                </c:pt>
                <c:pt idx="23">
                  <c:v>386970.50277453056</c:v>
                </c:pt>
                <c:pt idx="24">
                  <c:v>32273.128478596278</c:v>
                </c:pt>
                <c:pt idx="25">
                  <c:v>101629.94151841462</c:v>
                </c:pt>
                <c:pt idx="26">
                  <c:v>0</c:v>
                </c:pt>
                <c:pt idx="27">
                  <c:v>155641.42139642089</c:v>
                </c:pt>
              </c:numCache>
            </c:numRef>
          </c:val>
          <c:smooth val="0"/>
          <c:extLst>
            <c:ext xmlns:c16="http://schemas.microsoft.com/office/drawing/2014/chart" uri="{C3380CC4-5D6E-409C-BE32-E72D297353CC}">
              <c16:uniqueId val="{00000001-A3C2-4B4C-996C-CDB1A252886F}"/>
            </c:ext>
          </c:extLst>
        </c:ser>
        <c:ser>
          <c:idx val="0"/>
          <c:order val="2"/>
          <c:tx>
            <c:strRef>
              <c:f>Projections!$A$222</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Projections!$P$222:$BG$222</c15:sqref>
                  </c15:fullRef>
                </c:ext>
              </c:extLst>
              <c:f>Projections!$P$222:$AQ$222</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42937.038554280232</c:v>
                </c:pt>
                <c:pt idx="20">
                  <c:v>134060.1838119278</c:v>
                </c:pt>
                <c:pt idx="21">
                  <c:v>151062.35047825405</c:v>
                </c:pt>
                <c:pt idx="22">
                  <c:v>163685.41381191395</c:v>
                </c:pt>
                <c:pt idx="23">
                  <c:v>225051.48914056818</c:v>
                </c:pt>
                <c:pt idx="24">
                  <c:v>297249.52954422822</c:v>
                </c:pt>
                <c:pt idx="25">
                  <c:v>258511.83180707725</c:v>
                </c:pt>
                <c:pt idx="26">
                  <c:v>305465.5112610397</c:v>
                </c:pt>
                <c:pt idx="27">
                  <c:v>341351.05317148636</c:v>
                </c:pt>
              </c:numCache>
            </c:numRef>
          </c:val>
          <c:smooth val="0"/>
          <c:extLst>
            <c:ext xmlns:c16="http://schemas.microsoft.com/office/drawing/2014/chart" uri="{C3380CC4-5D6E-409C-BE32-E72D297353CC}">
              <c16:uniqueId val="{00000002-A3C2-4B4C-996C-CDB1A252886F}"/>
            </c:ext>
          </c:extLst>
        </c:ser>
        <c:ser>
          <c:idx val="4"/>
          <c:order val="3"/>
          <c:tx>
            <c:strRef>
              <c:f>Projections!$A$223</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Projections!$P$223:$BG$223</c15:sqref>
                  </c15:fullRef>
                </c:ext>
              </c:extLst>
              <c:f>Projections!$P$223:$AQ$223</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30465.110685232437</c:v>
                </c:pt>
                <c:pt idx="20">
                  <c:v>98609.039740496039</c:v>
                </c:pt>
                <c:pt idx="21">
                  <c:v>108125.31192397382</c:v>
                </c:pt>
                <c:pt idx="22">
                  <c:v>29625.229999986157</c:v>
                </c:pt>
                <c:pt idx="23">
                  <c:v>17809.918021211721</c:v>
                </c:pt>
                <c:pt idx="24">
                  <c:v>206838.75034598209</c:v>
                </c:pt>
                <c:pt idx="25">
                  <c:v>129341.61115783747</c:v>
                </c:pt>
                <c:pt idx="26">
                  <c:v>182645.15863582725</c:v>
                </c:pt>
                <c:pt idx="27">
                  <c:v>187835.94440209193</c:v>
                </c:pt>
              </c:numCache>
            </c:numRef>
          </c:val>
          <c:smooth val="0"/>
          <c:extLst>
            <c:ext xmlns:c16="http://schemas.microsoft.com/office/drawing/2014/chart" uri="{C3380CC4-5D6E-409C-BE32-E72D297353CC}">
              <c16:uniqueId val="{00000003-A3C2-4B4C-996C-CDB1A252886F}"/>
            </c:ext>
          </c:extLst>
        </c:ser>
        <c:ser>
          <c:idx val="1"/>
          <c:order val="4"/>
          <c:tx>
            <c:strRef>
              <c:f>Projections!$A$224</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Projections!$P$224:$BG$224</c15:sqref>
                  </c15:fullRef>
                </c:ext>
              </c:extLst>
              <c:f>Projections!$P$224:$AQ$224</c:f>
              <c:numCache>
                <c:formatCode>#,##0_ ;[Red]\-#,##0\ </c:formatCode>
                <c:ptCount val="28"/>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37760</c:v>
                </c:pt>
                <c:pt idx="16">
                  <c:v>45312</c:v>
                </c:pt>
                <c:pt idx="17">
                  <c:v>52864</c:v>
                </c:pt>
                <c:pt idx="18">
                  <c:v>60416</c:v>
                </c:pt>
                <c:pt idx="19">
                  <c:v>77332.479999999996</c:v>
                </c:pt>
                <c:pt idx="20">
                  <c:v>90624</c:v>
                </c:pt>
                <c:pt idx="21">
                  <c:v>105728</c:v>
                </c:pt>
                <c:pt idx="22">
                  <c:v>120832</c:v>
                </c:pt>
                <c:pt idx="23">
                  <c:v>144998.39999999999</c:v>
                </c:pt>
                <c:pt idx="24">
                  <c:v>169164.79999999999</c:v>
                </c:pt>
                <c:pt idx="25">
                  <c:v>193331.19999999998</c:v>
                </c:pt>
                <c:pt idx="26">
                  <c:v>217497.59999999998</c:v>
                </c:pt>
                <c:pt idx="27">
                  <c:v>241664</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Projections!$A$242</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Projections!$P$242:$BG$242</c15:sqref>
                  </c15:fullRef>
                </c:ext>
              </c:extLst>
              <c:f>Projections!$P$242:$AQ$242</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7972-43AB-83E8-C2C99B4277B0}"/>
            </c:ext>
          </c:extLst>
        </c:ser>
        <c:ser>
          <c:idx val="2"/>
          <c:order val="1"/>
          <c:tx>
            <c:strRef>
              <c:f>Projections!$A$244</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Projections!$P$244:$BG$244</c15:sqref>
                  </c15:fullRef>
                </c:ext>
              </c:extLst>
              <c:f>Projections!$P$244:$AQ$244</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1-7972-43AB-83E8-C2C99B4277B0}"/>
            </c:ext>
          </c:extLst>
        </c:ser>
        <c:ser>
          <c:idx val="4"/>
          <c:order val="2"/>
          <c:tx>
            <c:strRef>
              <c:f>Projections!$A$246</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Projections!$P$246:$BG$246</c15:sqref>
                  </c15:fullRef>
                </c:ext>
              </c:extLst>
              <c:f>Projections!$P$246:$AQ$246</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2-7972-43AB-83E8-C2C99B4277B0}"/>
            </c:ext>
          </c:extLst>
        </c:ser>
        <c:ser>
          <c:idx val="6"/>
          <c:order val="3"/>
          <c:tx>
            <c:strRef>
              <c:f>Projections!$A$248</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Projections!$P$248:$BG$248</c15:sqref>
                  </c15:fullRef>
                </c:ext>
              </c:extLst>
              <c:f>Projections!$P$248:$AQ$248</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3-7972-43AB-83E8-C2C99B4277B0}"/>
            </c:ext>
          </c:extLst>
        </c:ser>
        <c:ser>
          <c:idx val="8"/>
          <c:order val="4"/>
          <c:tx>
            <c:strRef>
              <c:f>Projections!$A$250</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Projections!$P$250:$BG$250</c15:sqref>
                  </c15:fullRef>
                </c:ext>
              </c:extLst>
              <c:f>Projections!$P$250:$AQ$250</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4-7972-43AB-83E8-C2C99B4277B0}"/>
            </c:ext>
          </c:extLst>
        </c:ser>
        <c:ser>
          <c:idx val="10"/>
          <c:order val="5"/>
          <c:tx>
            <c:strRef>
              <c:f>Projections!$A$252</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Projections!$P$252:$BG$252</c15:sqref>
                  </c15:fullRef>
                </c:ext>
              </c:extLst>
              <c:f>Projections!$P$252:$AQ$252</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5-7972-43AB-83E8-C2C99B4277B0}"/>
            </c:ext>
          </c:extLst>
        </c:ser>
        <c:ser>
          <c:idx val="12"/>
          <c:order val="6"/>
          <c:tx>
            <c:strRef>
              <c:f>Projections!$A$254</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Projections!$P$254:$BG$254</c15:sqref>
                  </c15:fullRef>
                </c:ext>
              </c:extLst>
              <c:f>Projections!$P$254:$AQ$254</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6-7972-43AB-83E8-C2C99B4277B0}"/>
            </c:ext>
          </c:extLst>
        </c:ser>
        <c:ser>
          <c:idx val="14"/>
          <c:order val="7"/>
          <c:tx>
            <c:strRef>
              <c:f>Projections!$A$256</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Projections!$P$256:$BG$256</c15:sqref>
                  </c15:fullRef>
                </c:ext>
              </c:extLst>
              <c:f>Projections!$P$256:$AQ$256</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7-7972-43AB-83E8-C2C99B4277B0}"/>
            </c:ext>
          </c:extLst>
        </c:ser>
        <c:ser>
          <c:idx val="16"/>
          <c:order val="8"/>
          <c:tx>
            <c:strRef>
              <c:f>Projections!$A$258</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Projections!$P$258:$BG$258</c15:sqref>
                  </c15:fullRef>
                </c:ext>
              </c:extLst>
              <c:f>Projections!$P$258:$AQ$258</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Projections!$A$242</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Projections!$P$243:$BG$243</c15:sqref>
                  </c15:fullRef>
                </c:ext>
              </c:extLst>
              <c:f>Projections!$P$243:$AQ$243</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0-FE50-482D-905D-7C3B099138E4}"/>
            </c:ext>
          </c:extLst>
        </c:ser>
        <c:ser>
          <c:idx val="3"/>
          <c:order val="1"/>
          <c:tx>
            <c:strRef>
              <c:f>Projections!$A$244</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Projections!$P$245:$BG$245</c15:sqref>
                  </c15:fullRef>
                </c:ext>
              </c:extLst>
              <c:f>Projections!$P$245:$AQ$245</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1-FE50-482D-905D-7C3B099138E4}"/>
            </c:ext>
          </c:extLst>
        </c:ser>
        <c:ser>
          <c:idx val="5"/>
          <c:order val="2"/>
          <c:tx>
            <c:strRef>
              <c:f>Projections!$A$246</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Projections!$P$247:$BG$247</c15:sqref>
                  </c15:fullRef>
                </c:ext>
              </c:extLst>
              <c:f>Projections!$P$247:$AQ$247</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2-FE50-482D-905D-7C3B099138E4}"/>
            </c:ext>
          </c:extLst>
        </c:ser>
        <c:ser>
          <c:idx val="7"/>
          <c:order val="3"/>
          <c:tx>
            <c:strRef>
              <c:f>Projections!$A$248</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Projections!$P$249:$BG$249</c15:sqref>
                  </c15:fullRef>
                </c:ext>
              </c:extLst>
              <c:f>Projections!$P$249:$AQ$249</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3-FE50-482D-905D-7C3B099138E4}"/>
            </c:ext>
          </c:extLst>
        </c:ser>
        <c:ser>
          <c:idx val="9"/>
          <c:order val="4"/>
          <c:tx>
            <c:strRef>
              <c:f>Projections!$A$250</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Projections!$P$251:$BG$251</c15:sqref>
                  </c15:fullRef>
                </c:ext>
              </c:extLst>
              <c:f>Projections!$P$251:$AQ$251</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4-FE50-482D-905D-7C3B099138E4}"/>
            </c:ext>
          </c:extLst>
        </c:ser>
        <c:ser>
          <c:idx val="11"/>
          <c:order val="5"/>
          <c:tx>
            <c:strRef>
              <c:f>Projections!$A$252</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Projections!$P$253:$BG$253</c15:sqref>
                  </c15:fullRef>
                </c:ext>
              </c:extLst>
              <c:f>Projections!$P$253:$AQ$253</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5-FE50-482D-905D-7C3B099138E4}"/>
            </c:ext>
          </c:extLst>
        </c:ser>
        <c:ser>
          <c:idx val="13"/>
          <c:order val="6"/>
          <c:tx>
            <c:strRef>
              <c:f>Projections!$A$254</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Projections!$P$255:$BG$255</c15:sqref>
                  </c15:fullRef>
                </c:ext>
              </c:extLst>
              <c:f>Projections!$P$255:$AQ$255</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6-FE50-482D-905D-7C3B099138E4}"/>
            </c:ext>
          </c:extLst>
        </c:ser>
        <c:ser>
          <c:idx val="15"/>
          <c:order val="7"/>
          <c:tx>
            <c:strRef>
              <c:f>Projections!$A$256</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Projections!$P$257:$BG$257</c15:sqref>
                  </c15:fullRef>
                </c:ext>
              </c:extLst>
              <c:f>Projections!$P$257:$AQ$257</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7-FE50-482D-905D-7C3B099138E4}"/>
            </c:ext>
          </c:extLst>
        </c:ser>
        <c:ser>
          <c:idx val="17"/>
          <c:order val="8"/>
          <c:tx>
            <c:strRef>
              <c:f>Projections!$A$258</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Projections!$P$259:$BG$259</c15:sqref>
                  </c15:fullRef>
                </c:ext>
              </c:extLst>
              <c:f>Projections!$P$259:$AQ$259</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Projections!$A$271</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Projections!$P$271:$BG$271</c15:sqref>
                  </c15:fullRef>
                </c:ext>
              </c:extLst>
              <c:f>Projections!$P$271:$AQ$271</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00-C5BA-4495-93D4-AC4CA8674604}"/>
            </c:ext>
          </c:extLst>
        </c:ser>
        <c:ser>
          <c:idx val="4"/>
          <c:order val="1"/>
          <c:tx>
            <c:strRef>
              <c:f>Projections!$A$269</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Projections!$P$269:$BG$269</c15:sqref>
                  </c15:fullRef>
                </c:ext>
              </c:extLst>
              <c:f>Projections!$P$269:$AQ$269</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01-C5BA-4495-93D4-AC4CA8674604}"/>
            </c:ext>
          </c:extLst>
        </c:ser>
        <c:ser>
          <c:idx val="10"/>
          <c:order val="2"/>
          <c:tx>
            <c:strRef>
              <c:f>Projections!$A$275</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Projections!$P$275:$BG$275</c15:sqref>
                  </c15:fullRef>
                </c:ext>
              </c:extLst>
              <c:f>Projections!$P$275:$AQ$275</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02-C5BA-4495-93D4-AC4CA8674604}"/>
            </c:ext>
          </c:extLst>
        </c:ser>
        <c:ser>
          <c:idx val="0"/>
          <c:order val="3"/>
          <c:tx>
            <c:strRef>
              <c:f>Projections!$A$265</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Projections!$P$265:$BG$265</c15:sqref>
                  </c15:fullRef>
                </c:ext>
              </c:extLst>
              <c:f>Projections!$P$265:$AQ$265</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03-C5BA-4495-93D4-AC4CA8674604}"/>
            </c:ext>
          </c:extLst>
        </c:ser>
        <c:ser>
          <c:idx val="2"/>
          <c:order val="4"/>
          <c:tx>
            <c:strRef>
              <c:f>Projections!$A$267</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Projections!$P$267:$BG$267</c15:sqref>
                  </c15:fullRef>
                </c:ext>
              </c:extLst>
              <c:f>Projections!$P$267:$AQ$267</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04-C5BA-4495-93D4-AC4CA8674604}"/>
            </c:ext>
          </c:extLst>
        </c:ser>
        <c:ser>
          <c:idx val="8"/>
          <c:order val="5"/>
          <c:tx>
            <c:strRef>
              <c:f>Projections!$A$273</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Projections!$P$273:$BG$273</c15:sqref>
                  </c15:fullRef>
                </c:ext>
              </c:extLst>
              <c:f>Projections!$P$273:$AQ$273</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Projections!$A$271</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Projections!$P$272:$BG$272</c15:sqref>
                  </c15:fullRef>
                </c:ext>
              </c:extLst>
              <c:f>Projections!$P$272:$AQ$272</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0-5E66-4AF0-A3CA-7CF12153AA8E}"/>
            </c:ext>
          </c:extLst>
        </c:ser>
        <c:ser>
          <c:idx val="5"/>
          <c:order val="1"/>
          <c:tx>
            <c:strRef>
              <c:f>Projections!$A$269</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Projections!$P$270:$BG$270</c15:sqref>
                  </c15:fullRef>
                </c:ext>
              </c:extLst>
              <c:f>Projections!$P$270:$AQ$270</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1-5E66-4AF0-A3CA-7CF12153AA8E}"/>
            </c:ext>
          </c:extLst>
        </c:ser>
        <c:ser>
          <c:idx val="1"/>
          <c:order val="2"/>
          <c:tx>
            <c:strRef>
              <c:f>Projections!$A$265</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Projections!$P$266:$BG$266</c15:sqref>
                  </c15:fullRef>
                </c:ext>
              </c:extLst>
              <c:f>Projections!$P$266:$AQ$266</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2-5E66-4AF0-A3CA-7CF12153AA8E}"/>
            </c:ext>
          </c:extLst>
        </c:ser>
        <c:ser>
          <c:idx val="3"/>
          <c:order val="3"/>
          <c:tx>
            <c:strRef>
              <c:f>Projections!$A$267</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Projections!$P$268:$BG$268</c15:sqref>
                  </c15:fullRef>
                </c:ext>
              </c:extLst>
              <c:f>Projections!$P$268:$AQ$268</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5E66-4AF0-A3CA-7CF12153AA8E}"/>
            </c:ext>
          </c:extLst>
        </c:ser>
        <c:ser>
          <c:idx val="9"/>
          <c:order val="4"/>
          <c:tx>
            <c:strRef>
              <c:f>Projections!$A$273</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Projections!$P$274:$BG$274</c15:sqref>
                  </c15:fullRef>
                </c:ext>
              </c:extLst>
              <c:f>Projections!$P$274:$AQ$274</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Projections!$A$210</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Projections!$P$209:$BG$209</c15:sqref>
                  </c15:fullRef>
                </c:ext>
              </c:extLst>
              <c:f>Projections!$P$209:$AL$209</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numCache>
            </c:numRef>
          </c:cat>
          <c:val>
            <c:numRef>
              <c:extLst>
                <c:ext xmlns:c15="http://schemas.microsoft.com/office/drawing/2012/chart" uri="{02D57815-91ED-43cb-92C2-25804820EDAC}">
                  <c15:fullRef>
                    <c15:sqref>Projections!$P$210:$BG$210</c15:sqref>
                  </c15:fullRef>
                </c:ext>
              </c:extLst>
              <c:f>Projections!$P$210:$AL$210</c:f>
              <c:numCache>
                <c:formatCode>#,##0_ ;[Red]\-#,##0\ </c:formatCode>
                <c:ptCount val="2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numCache>
            </c:numRef>
          </c:val>
          <c:smooth val="0"/>
          <c:extLst>
            <c:ext xmlns:c16="http://schemas.microsoft.com/office/drawing/2014/chart" uri="{C3380CC4-5D6E-409C-BE32-E72D297353CC}">
              <c16:uniqueId val="{00000000-9DE3-43B6-B60B-9B4AA4851702}"/>
            </c:ext>
          </c:extLst>
        </c:ser>
        <c:ser>
          <c:idx val="1"/>
          <c:order val="1"/>
          <c:tx>
            <c:strRef>
              <c:f>Projections!$A$234</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Projections!$P$209:$BG$209</c15:sqref>
                  </c15:fullRef>
                </c:ext>
              </c:extLst>
              <c:f>Projections!$P$209:$AL$209</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numCache>
            </c:numRef>
          </c:cat>
          <c:val>
            <c:numRef>
              <c:extLst>
                <c:ext xmlns:c15="http://schemas.microsoft.com/office/drawing/2012/chart" uri="{02D57815-91ED-43cb-92C2-25804820EDAC}">
                  <c15:fullRef>
                    <c15:sqref>Projections!$P$234:$BG$234</c15:sqref>
                  </c15:fullRef>
                </c:ext>
              </c:extLst>
              <c:f>Projections!$P$234:$AL$234</c:f>
              <c:numCache>
                <c:formatCode>General</c:formatCode>
                <c:ptCount val="23"/>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1792000</c:v>
                </c:pt>
                <c:pt idx="22" formatCode="#,##0">
                  <c:v>2048000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Projections!$A$224</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Projections!$P$209:$BG$209</c15:sqref>
                  </c15:fullRef>
                </c:ext>
              </c:extLst>
              <c:f>Projections!$P$209:$AL$209</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numCache>
            </c:numRef>
          </c:cat>
          <c:val>
            <c:numRef>
              <c:extLst>
                <c:ext xmlns:c15="http://schemas.microsoft.com/office/drawing/2012/chart" uri="{02D57815-91ED-43cb-92C2-25804820EDAC}">
                  <c15:fullRef>
                    <c15:sqref>Projections!$P$224:$BG$224</c15:sqref>
                  </c15:fullRef>
                </c:ext>
              </c:extLst>
              <c:f>Projections!$P$224:$AL$224</c:f>
              <c:numCache>
                <c:formatCode>#,##0_ ;[Red]\-#,##0\ </c:formatCode>
                <c:ptCount val="23"/>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37760</c:v>
                </c:pt>
                <c:pt idx="16">
                  <c:v>45312</c:v>
                </c:pt>
                <c:pt idx="17">
                  <c:v>52864</c:v>
                </c:pt>
                <c:pt idx="18">
                  <c:v>60416</c:v>
                </c:pt>
                <c:pt idx="19">
                  <c:v>77332.479999999996</c:v>
                </c:pt>
                <c:pt idx="20">
                  <c:v>90624</c:v>
                </c:pt>
                <c:pt idx="21">
                  <c:v>105728</c:v>
                </c:pt>
                <c:pt idx="22">
                  <c:v>120832</c:v>
                </c:pt>
              </c:numCache>
            </c:numRef>
          </c:val>
          <c:smooth val="0"/>
          <c:extLst>
            <c:ext xmlns:c16="http://schemas.microsoft.com/office/drawing/2014/chart" uri="{C3380CC4-5D6E-409C-BE32-E72D297353CC}">
              <c16:uniqueId val="{00000000-FE1B-4946-A476-7952C5C71231}"/>
            </c:ext>
          </c:extLst>
        </c:ser>
        <c:ser>
          <c:idx val="1"/>
          <c:order val="1"/>
          <c:tx>
            <c:strRef>
              <c:f>Projections!$A$238</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Projections!$P$209:$BG$209</c15:sqref>
                  </c15:fullRef>
                </c:ext>
              </c:extLst>
              <c:f>Projections!$P$209:$AL$209</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numCache>
            </c:numRef>
          </c:cat>
          <c:val>
            <c:numRef>
              <c:extLst>
                <c:ext xmlns:c15="http://schemas.microsoft.com/office/drawing/2012/chart" uri="{02D57815-91ED-43cb-92C2-25804820EDAC}">
                  <c15:fullRef>
                    <c15:sqref>Projections!$P$238:$BG$238</c15:sqref>
                  </c15:fullRef>
                </c:ext>
              </c:extLst>
              <c:f>Projections!$P$238:$AL$238</c:f>
              <c:numCache>
                <c:formatCode>General</c:formatCode>
                <c:ptCount val="23"/>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93558</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43931.937935879629</c:v>
                </c:pt>
                <c:pt idx="1">
                  <c:v>43934.937935879629</c:v>
                </c:pt>
                <c:pt idx="2">
                  <c:v>43937.937935879629</c:v>
                </c:pt>
                <c:pt idx="3">
                  <c:v>43940.937935879629</c:v>
                </c:pt>
                <c:pt idx="4">
                  <c:v>43943.937935879629</c:v>
                </c:pt>
                <c:pt idx="5">
                  <c:v>43946.937935879629</c:v>
                </c:pt>
                <c:pt idx="6">
                  <c:v>43949.937935879629</c:v>
                </c:pt>
                <c:pt idx="7">
                  <c:v>43952.937935879629</c:v>
                </c:pt>
                <c:pt idx="8">
                  <c:v>43955.937935879629</c:v>
                </c:pt>
                <c:pt idx="9">
                  <c:v>43958.937935879629</c:v>
                </c:pt>
                <c:pt idx="10">
                  <c:v>43961.937935879629</c:v>
                </c:pt>
                <c:pt idx="11">
                  <c:v>43964.937935879629</c:v>
                </c:pt>
                <c:pt idx="12">
                  <c:v>43967.937935879629</c:v>
                </c:pt>
                <c:pt idx="13">
                  <c:v>43970.937935879629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16.949152542372882</c:v>
                </c:pt>
                <c:pt idx="4">
                  <c:v>33.898305084745765</c:v>
                </c:pt>
                <c:pt idx="5">
                  <c:v>67.79661016949153</c:v>
                </c:pt>
                <c:pt idx="6">
                  <c:v>135.59322033898306</c:v>
                </c:pt>
                <c:pt idx="7">
                  <c:v>271.18644067796612</c:v>
                </c:pt>
                <c:pt idx="8">
                  <c:v>542.37288135593224</c:v>
                </c:pt>
                <c:pt idx="9">
                  <c:v>1084.7457627118645</c:v>
                </c:pt>
                <c:pt idx="10">
                  <c:v>2169.4915254237289</c:v>
                </c:pt>
                <c:pt idx="11">
                  <c:v>4338.9830508474579</c:v>
                </c:pt>
                <c:pt idx="12">
                  <c:v>8677.9661016949158</c:v>
                </c:pt>
                <c:pt idx="13">
                  <c:v>17355.932203389832</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43931.937935879629</c:v>
                </c:pt>
                <c:pt idx="1">
                  <c:v>43934.937935879629</c:v>
                </c:pt>
                <c:pt idx="2">
                  <c:v>43937.937935879629</c:v>
                </c:pt>
                <c:pt idx="3">
                  <c:v>43940.937935879629</c:v>
                </c:pt>
                <c:pt idx="4">
                  <c:v>43943.937935879629</c:v>
                </c:pt>
                <c:pt idx="5">
                  <c:v>43946.937935879629</c:v>
                </c:pt>
                <c:pt idx="6">
                  <c:v>43949.937935879629</c:v>
                </c:pt>
                <c:pt idx="7">
                  <c:v>43952.937935879629</c:v>
                </c:pt>
                <c:pt idx="8">
                  <c:v>43955.937935879629</c:v>
                </c:pt>
                <c:pt idx="9">
                  <c:v>43958.937935879629</c:v>
                </c:pt>
                <c:pt idx="10">
                  <c:v>43961.937935879629</c:v>
                </c:pt>
                <c:pt idx="11">
                  <c:v>43964.937935879629</c:v>
                </c:pt>
                <c:pt idx="12">
                  <c:v>43967.937935879629</c:v>
                </c:pt>
                <c:pt idx="13">
                  <c:v>43970.937935879629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16.949152542372886</c:v>
                </c:pt>
                <c:pt idx="3">
                  <c:v>33.898305084745772</c:v>
                </c:pt>
                <c:pt idx="4">
                  <c:v>54.915254237288153</c:v>
                </c:pt>
                <c:pt idx="5">
                  <c:v>109.83050847457631</c:v>
                </c:pt>
                <c:pt idx="6">
                  <c:v>219.66101694915261</c:v>
                </c:pt>
                <c:pt idx="7">
                  <c:v>425.5932203389832</c:v>
                </c:pt>
                <c:pt idx="8">
                  <c:v>851.1864406779664</c:v>
                </c:pt>
                <c:pt idx="9">
                  <c:v>1702.3728813559328</c:v>
                </c:pt>
                <c:pt idx="10">
                  <c:v>3404.7457627118656</c:v>
                </c:pt>
                <c:pt idx="11">
                  <c:v>6809.4915254237312</c:v>
                </c:pt>
                <c:pt idx="12">
                  <c:v>13632.711864406783</c:v>
                </c:pt>
                <c:pt idx="13">
                  <c:v>27265.423728813566</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43931.937935879629</c:v>
                </c:pt>
                <c:pt idx="1">
                  <c:v>43934.937935879629</c:v>
                </c:pt>
                <c:pt idx="2">
                  <c:v>43937.937935879629</c:v>
                </c:pt>
                <c:pt idx="3">
                  <c:v>43940.937935879629</c:v>
                </c:pt>
                <c:pt idx="4">
                  <c:v>43943.937935879629</c:v>
                </c:pt>
                <c:pt idx="5">
                  <c:v>43946.937935879629</c:v>
                </c:pt>
                <c:pt idx="6">
                  <c:v>43949.937935879629</c:v>
                </c:pt>
                <c:pt idx="7">
                  <c:v>43952.937935879629</c:v>
                </c:pt>
                <c:pt idx="8">
                  <c:v>43955.937935879629</c:v>
                </c:pt>
                <c:pt idx="9">
                  <c:v>43958.937935879629</c:v>
                </c:pt>
                <c:pt idx="10">
                  <c:v>43961.937935879629</c:v>
                </c:pt>
                <c:pt idx="11">
                  <c:v>43964.937935879629</c:v>
                </c:pt>
                <c:pt idx="12">
                  <c:v>43967.937935879629</c:v>
                </c:pt>
                <c:pt idx="13">
                  <c:v>43970.937935879629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12.881355932203393</c:v>
                </c:pt>
                <c:pt idx="5">
                  <c:v>25.762711864406786</c:v>
                </c:pt>
                <c:pt idx="6">
                  <c:v>37.966101694915267</c:v>
                </c:pt>
                <c:pt idx="7">
                  <c:v>75.932203389830534</c:v>
                </c:pt>
                <c:pt idx="8">
                  <c:v>151.86440677966107</c:v>
                </c:pt>
                <c:pt idx="9">
                  <c:v>303.72881355932213</c:v>
                </c:pt>
                <c:pt idx="10">
                  <c:v>607.45762711864427</c:v>
                </c:pt>
                <c:pt idx="11">
                  <c:v>1214.9152542372885</c:v>
                </c:pt>
                <c:pt idx="12">
                  <c:v>2429.8305084745771</c:v>
                </c:pt>
                <c:pt idx="13">
                  <c:v>4859.6610169491541</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43931.937935879629</c:v>
                </c:pt>
                <c:pt idx="1">
                  <c:v>43934.937935879629</c:v>
                </c:pt>
                <c:pt idx="2">
                  <c:v>43937.937935879629</c:v>
                </c:pt>
                <c:pt idx="3">
                  <c:v>43940.937935879629</c:v>
                </c:pt>
                <c:pt idx="4">
                  <c:v>43943.937935879629</c:v>
                </c:pt>
                <c:pt idx="5">
                  <c:v>43946.937935879629</c:v>
                </c:pt>
                <c:pt idx="6">
                  <c:v>43949.937935879629</c:v>
                </c:pt>
                <c:pt idx="7">
                  <c:v>43952.937935879629</c:v>
                </c:pt>
                <c:pt idx="8">
                  <c:v>43955.937935879629</c:v>
                </c:pt>
                <c:pt idx="9">
                  <c:v>43958.937935879629</c:v>
                </c:pt>
                <c:pt idx="10">
                  <c:v>43961.937935879629</c:v>
                </c:pt>
                <c:pt idx="11">
                  <c:v>43964.937935879629</c:v>
                </c:pt>
                <c:pt idx="12">
                  <c:v>43967.937935879629</c:v>
                </c:pt>
                <c:pt idx="13">
                  <c:v>43970.937935879629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13.55932203389831</c:v>
                </c:pt>
                <c:pt idx="7">
                  <c:v>27.11864406779662</c:v>
                </c:pt>
                <c:pt idx="8">
                  <c:v>54.237288135593239</c:v>
                </c:pt>
                <c:pt idx="9">
                  <c:v>108.47457627118648</c:v>
                </c:pt>
                <c:pt idx="10">
                  <c:v>216.94915254237296</c:v>
                </c:pt>
                <c:pt idx="11">
                  <c:v>433.89830508474591</c:v>
                </c:pt>
                <c:pt idx="12">
                  <c:v>867.79661016949183</c:v>
                </c:pt>
                <c:pt idx="13">
                  <c:v>1735.5932203389837</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43931.937935879629</c:v>
                </c:pt>
                <c:pt idx="1">
                  <c:v>43934.937935879629</c:v>
                </c:pt>
                <c:pt idx="2">
                  <c:v>43937.937935879629</c:v>
                </c:pt>
                <c:pt idx="3">
                  <c:v>43940.937935879629</c:v>
                </c:pt>
                <c:pt idx="4">
                  <c:v>43943.937935879629</c:v>
                </c:pt>
                <c:pt idx="5">
                  <c:v>43946.937935879629</c:v>
                </c:pt>
                <c:pt idx="6">
                  <c:v>43949.937935879629</c:v>
                </c:pt>
                <c:pt idx="7">
                  <c:v>43952.937935879629</c:v>
                </c:pt>
                <c:pt idx="8">
                  <c:v>43955.937935879629</c:v>
                </c:pt>
                <c:pt idx="9">
                  <c:v>43958.937935879629</c:v>
                </c:pt>
                <c:pt idx="10">
                  <c:v>43961.937935879629</c:v>
                </c:pt>
                <c:pt idx="11">
                  <c:v>43964.937935879629</c:v>
                </c:pt>
                <c:pt idx="12">
                  <c:v>43967.937935879629</c:v>
                </c:pt>
                <c:pt idx="13">
                  <c:v>43970.937935879629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141.24293785310735</c:v>
                </c:pt>
                <c:pt idx="1">
                  <c:v>282.4858757062147</c:v>
                </c:pt>
                <c:pt idx="2">
                  <c:v>564.9717514124294</c:v>
                </c:pt>
                <c:pt idx="3">
                  <c:v>1129.9435028248588</c:v>
                </c:pt>
                <c:pt idx="4">
                  <c:v>2259.8870056497176</c:v>
                </c:pt>
                <c:pt idx="5">
                  <c:v>4519.7740112994352</c:v>
                </c:pt>
                <c:pt idx="6">
                  <c:v>9039.5480225988704</c:v>
                </c:pt>
                <c:pt idx="7">
                  <c:v>18079.096045197741</c:v>
                </c:pt>
                <c:pt idx="8">
                  <c:v>36158.192090395482</c:v>
                </c:pt>
                <c:pt idx="9">
                  <c:v>72316.384180790963</c:v>
                </c:pt>
                <c:pt idx="10">
                  <c:v>144632.76836158193</c:v>
                </c:pt>
                <c:pt idx="11">
                  <c:v>289265.53672316385</c:v>
                </c:pt>
                <c:pt idx="12">
                  <c:v>578531.0734463277</c:v>
                </c:pt>
                <c:pt idx="13">
                  <c:v>1157062.1468926554</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43931.937935879629</c:v>
                </c:pt>
                <c:pt idx="1">
                  <c:v>43934.937935879629</c:v>
                </c:pt>
                <c:pt idx="2">
                  <c:v>43937.937935879629</c:v>
                </c:pt>
                <c:pt idx="3">
                  <c:v>43940.937935879629</c:v>
                </c:pt>
                <c:pt idx="4">
                  <c:v>43943.937935879629</c:v>
                </c:pt>
                <c:pt idx="5">
                  <c:v>43946.937935879629</c:v>
                </c:pt>
                <c:pt idx="6">
                  <c:v>43949.937935879629</c:v>
                </c:pt>
                <c:pt idx="7">
                  <c:v>43952.937935879629</c:v>
                </c:pt>
                <c:pt idx="8">
                  <c:v>43955.937935879629</c:v>
                </c:pt>
                <c:pt idx="9">
                  <c:v>43958.937935879629</c:v>
                </c:pt>
                <c:pt idx="10">
                  <c:v>43961.937935879629</c:v>
                </c:pt>
                <c:pt idx="11">
                  <c:v>43964.937935879629</c:v>
                </c:pt>
                <c:pt idx="12">
                  <c:v>43967.937935879629</c:v>
                </c:pt>
                <c:pt idx="13">
                  <c:v>43970.937935879629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124.29378531073446</c:v>
                </c:pt>
                <c:pt idx="1">
                  <c:v>248.58757062146893</c:v>
                </c:pt>
                <c:pt idx="2">
                  <c:v>497.17514124293785</c:v>
                </c:pt>
                <c:pt idx="3">
                  <c:v>994.35028248587571</c:v>
                </c:pt>
                <c:pt idx="4">
                  <c:v>1988.7005649717514</c:v>
                </c:pt>
                <c:pt idx="5">
                  <c:v>3977.4011299435028</c:v>
                </c:pt>
                <c:pt idx="6">
                  <c:v>7954.8022598870057</c:v>
                </c:pt>
                <c:pt idx="7">
                  <c:v>15909.604519774011</c:v>
                </c:pt>
                <c:pt idx="8">
                  <c:v>31819.209039548023</c:v>
                </c:pt>
                <c:pt idx="9">
                  <c:v>63638.418079096045</c:v>
                </c:pt>
                <c:pt idx="10">
                  <c:v>127276.83615819209</c:v>
                </c:pt>
                <c:pt idx="11">
                  <c:v>254553.67231638418</c:v>
                </c:pt>
                <c:pt idx="12">
                  <c:v>509107.34463276836</c:v>
                </c:pt>
                <c:pt idx="13">
                  <c:v>1018214.6892655367</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43931.937935879629</c:v>
                </c:pt>
                <c:pt idx="1">
                  <c:v>43934.937935879629</c:v>
                </c:pt>
                <c:pt idx="2">
                  <c:v>43937.937935879629</c:v>
                </c:pt>
                <c:pt idx="3">
                  <c:v>43940.937935879629</c:v>
                </c:pt>
                <c:pt idx="4">
                  <c:v>43943.937935879629</c:v>
                </c:pt>
                <c:pt idx="5">
                  <c:v>43946.937935879629</c:v>
                </c:pt>
                <c:pt idx="6">
                  <c:v>43949.937935879629</c:v>
                </c:pt>
                <c:pt idx="7">
                  <c:v>43952.937935879629</c:v>
                </c:pt>
                <c:pt idx="8">
                  <c:v>43955.937935879629</c:v>
                </c:pt>
                <c:pt idx="9">
                  <c:v>43958.937935879629</c:v>
                </c:pt>
                <c:pt idx="10">
                  <c:v>43961.937935879629</c:v>
                </c:pt>
                <c:pt idx="11">
                  <c:v>43964.937935879629</c:v>
                </c:pt>
                <c:pt idx="12">
                  <c:v>43967.937935879629</c:v>
                </c:pt>
                <c:pt idx="13">
                  <c:v>43970.937935879629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16.949152542372882</c:v>
                </c:pt>
                <c:pt idx="4">
                  <c:v>33.898305084745765</c:v>
                </c:pt>
                <c:pt idx="5">
                  <c:v>67.79661016949153</c:v>
                </c:pt>
                <c:pt idx="6">
                  <c:v>135.59322033898306</c:v>
                </c:pt>
                <c:pt idx="7">
                  <c:v>271.18644067796612</c:v>
                </c:pt>
                <c:pt idx="8">
                  <c:v>542.37288135593224</c:v>
                </c:pt>
                <c:pt idx="9">
                  <c:v>1084.7457627118645</c:v>
                </c:pt>
                <c:pt idx="10">
                  <c:v>2169.4915254237289</c:v>
                </c:pt>
                <c:pt idx="11">
                  <c:v>4338.9830508474579</c:v>
                </c:pt>
                <c:pt idx="12">
                  <c:v>8677.9661016949158</c:v>
                </c:pt>
                <c:pt idx="13">
                  <c:v>17355.932203389832</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43931.937935879629</c:v>
                </c:pt>
                <c:pt idx="1">
                  <c:v>43934.937935879629</c:v>
                </c:pt>
                <c:pt idx="2">
                  <c:v>43937.937935879629</c:v>
                </c:pt>
                <c:pt idx="3">
                  <c:v>43940.937935879629</c:v>
                </c:pt>
                <c:pt idx="4">
                  <c:v>43943.937935879629</c:v>
                </c:pt>
                <c:pt idx="5">
                  <c:v>43946.937935879629</c:v>
                </c:pt>
                <c:pt idx="6">
                  <c:v>43949.937935879629</c:v>
                </c:pt>
                <c:pt idx="7">
                  <c:v>43952.937935879629</c:v>
                </c:pt>
                <c:pt idx="8">
                  <c:v>43955.937935879629</c:v>
                </c:pt>
                <c:pt idx="9">
                  <c:v>43958.937935879629</c:v>
                </c:pt>
                <c:pt idx="10">
                  <c:v>43961.937935879629</c:v>
                </c:pt>
                <c:pt idx="11">
                  <c:v>43964.937935879629</c:v>
                </c:pt>
                <c:pt idx="12">
                  <c:v>43967.937935879629</c:v>
                </c:pt>
                <c:pt idx="13">
                  <c:v>43970.937935879629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16.949152542372882</c:v>
                </c:pt>
                <c:pt idx="4">
                  <c:v>33.898305084745765</c:v>
                </c:pt>
                <c:pt idx="5">
                  <c:v>67.79661016949153</c:v>
                </c:pt>
                <c:pt idx="6">
                  <c:v>135.59322033898306</c:v>
                </c:pt>
                <c:pt idx="7">
                  <c:v>271.18644067796612</c:v>
                </c:pt>
                <c:pt idx="8">
                  <c:v>542.37288135593224</c:v>
                </c:pt>
                <c:pt idx="9">
                  <c:v>1084.7457627118645</c:v>
                </c:pt>
                <c:pt idx="10">
                  <c:v>2169.4915254237289</c:v>
                </c:pt>
                <c:pt idx="11">
                  <c:v>4338.9830508474579</c:v>
                </c:pt>
                <c:pt idx="12">
                  <c:v>8677.9661016949158</c:v>
                </c:pt>
                <c:pt idx="13">
                  <c:v>17355.932203389832</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43931.937935879629</c:v>
                </c:pt>
                <c:pt idx="1">
                  <c:v>43934.937935879629</c:v>
                </c:pt>
                <c:pt idx="2">
                  <c:v>43937.937935879629</c:v>
                </c:pt>
                <c:pt idx="3">
                  <c:v>43940.937935879629</c:v>
                </c:pt>
                <c:pt idx="4">
                  <c:v>43943.937935879629</c:v>
                </c:pt>
                <c:pt idx="5">
                  <c:v>43946.937935879629</c:v>
                </c:pt>
                <c:pt idx="6">
                  <c:v>43949.937935879629</c:v>
                </c:pt>
                <c:pt idx="7">
                  <c:v>43952.937935879629</c:v>
                </c:pt>
                <c:pt idx="8">
                  <c:v>43955.937935879629</c:v>
                </c:pt>
                <c:pt idx="9">
                  <c:v>43958.937935879629</c:v>
                </c:pt>
                <c:pt idx="10">
                  <c:v>43961.937935879629</c:v>
                </c:pt>
                <c:pt idx="11">
                  <c:v>43964.937935879629</c:v>
                </c:pt>
                <c:pt idx="12">
                  <c:v>43967.937935879629</c:v>
                </c:pt>
                <c:pt idx="13">
                  <c:v>43970.937935879629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16.949152542372886</c:v>
                </c:pt>
                <c:pt idx="3">
                  <c:v>33.898305084745772</c:v>
                </c:pt>
                <c:pt idx="4">
                  <c:v>54.915254237288153</c:v>
                </c:pt>
                <c:pt idx="5">
                  <c:v>109.83050847457631</c:v>
                </c:pt>
                <c:pt idx="6">
                  <c:v>219.66101694915261</c:v>
                </c:pt>
                <c:pt idx="7">
                  <c:v>425.5932203389832</c:v>
                </c:pt>
                <c:pt idx="8">
                  <c:v>851.1864406779664</c:v>
                </c:pt>
                <c:pt idx="9">
                  <c:v>1702.3728813559328</c:v>
                </c:pt>
                <c:pt idx="10">
                  <c:v>3404.7457627118656</c:v>
                </c:pt>
                <c:pt idx="11">
                  <c:v>6809.4915254237312</c:v>
                </c:pt>
                <c:pt idx="12">
                  <c:v>13632.711864406783</c:v>
                </c:pt>
                <c:pt idx="13">
                  <c:v>27265.423728813566</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43931.937935879629</c:v>
                </c:pt>
                <c:pt idx="1">
                  <c:v>43934.937935879629</c:v>
                </c:pt>
                <c:pt idx="2">
                  <c:v>43937.937935879629</c:v>
                </c:pt>
                <c:pt idx="3">
                  <c:v>43940.937935879629</c:v>
                </c:pt>
                <c:pt idx="4">
                  <c:v>43943.937935879629</c:v>
                </c:pt>
                <c:pt idx="5">
                  <c:v>43946.937935879629</c:v>
                </c:pt>
                <c:pt idx="6">
                  <c:v>43949.937935879629</c:v>
                </c:pt>
                <c:pt idx="7">
                  <c:v>43952.937935879629</c:v>
                </c:pt>
                <c:pt idx="8">
                  <c:v>43955.937935879629</c:v>
                </c:pt>
                <c:pt idx="9">
                  <c:v>43958.937935879629</c:v>
                </c:pt>
                <c:pt idx="10">
                  <c:v>43961.937935879629</c:v>
                </c:pt>
                <c:pt idx="11">
                  <c:v>43964.937935879629</c:v>
                </c:pt>
                <c:pt idx="12">
                  <c:v>43967.937935879629</c:v>
                </c:pt>
                <c:pt idx="13">
                  <c:v>43970.937935879629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12.881355932203393</c:v>
                </c:pt>
                <c:pt idx="5">
                  <c:v>25.762711864406786</c:v>
                </c:pt>
                <c:pt idx="6">
                  <c:v>37.966101694915267</c:v>
                </c:pt>
                <c:pt idx="7">
                  <c:v>75.932203389830534</c:v>
                </c:pt>
                <c:pt idx="8">
                  <c:v>151.86440677966107</c:v>
                </c:pt>
                <c:pt idx="9">
                  <c:v>303.72881355932213</c:v>
                </c:pt>
                <c:pt idx="10">
                  <c:v>607.45762711864427</c:v>
                </c:pt>
                <c:pt idx="11">
                  <c:v>1214.9152542372885</c:v>
                </c:pt>
                <c:pt idx="12">
                  <c:v>2429.8305084745771</c:v>
                </c:pt>
                <c:pt idx="13">
                  <c:v>4859.6610169491541</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43931.937935879629</c:v>
                </c:pt>
                <c:pt idx="1">
                  <c:v>43934.937935879629</c:v>
                </c:pt>
                <c:pt idx="2">
                  <c:v>43937.937935879629</c:v>
                </c:pt>
                <c:pt idx="3">
                  <c:v>43940.937935879629</c:v>
                </c:pt>
                <c:pt idx="4">
                  <c:v>43943.937935879629</c:v>
                </c:pt>
                <c:pt idx="5">
                  <c:v>43946.937935879629</c:v>
                </c:pt>
                <c:pt idx="6">
                  <c:v>43949.937935879629</c:v>
                </c:pt>
                <c:pt idx="7">
                  <c:v>43952.937935879629</c:v>
                </c:pt>
                <c:pt idx="8">
                  <c:v>43955.937935879629</c:v>
                </c:pt>
                <c:pt idx="9">
                  <c:v>43958.937935879629</c:v>
                </c:pt>
                <c:pt idx="10">
                  <c:v>43961.937935879629</c:v>
                </c:pt>
                <c:pt idx="11">
                  <c:v>43964.937935879629</c:v>
                </c:pt>
                <c:pt idx="12">
                  <c:v>43967.937935879629</c:v>
                </c:pt>
                <c:pt idx="13">
                  <c:v>43970.937935879629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13.55932203389831</c:v>
                </c:pt>
                <c:pt idx="7">
                  <c:v>27.11864406779662</c:v>
                </c:pt>
                <c:pt idx="8">
                  <c:v>54.237288135593239</c:v>
                </c:pt>
                <c:pt idx="9">
                  <c:v>108.47457627118648</c:v>
                </c:pt>
                <c:pt idx="10">
                  <c:v>216.94915254237296</c:v>
                </c:pt>
                <c:pt idx="11">
                  <c:v>433.89830508474591</c:v>
                </c:pt>
                <c:pt idx="12">
                  <c:v>867.79661016949183</c:v>
                </c:pt>
                <c:pt idx="13">
                  <c:v>1735.5932203389837</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Projections!$A$220</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Projections!$P$220:$BG$220</c15:sqref>
                  </c15:fullRef>
                </c:ext>
              </c:extLst>
              <c:f>Projections!$P$220:$AQ$220</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295492.66518045042</c:v>
                </c:pt>
                <c:pt idx="20">
                  <c:v>354791.8589697365</c:v>
                </c:pt>
                <c:pt idx="21">
                  <c:v>404456.30588254385</c:v>
                </c:pt>
                <c:pt idx="22">
                  <c:v>448667.17803600215</c:v>
                </c:pt>
                <c:pt idx="23">
                  <c:v>626448.17961925734</c:v>
                </c:pt>
                <c:pt idx="24">
                  <c:v>580299.25131562375</c:v>
                </c:pt>
                <c:pt idx="25">
                  <c:v>713496.12109329749</c:v>
                </c:pt>
                <c:pt idx="26">
                  <c:v>826004.17405265337</c:v>
                </c:pt>
                <c:pt idx="27">
                  <c:v>925634.71274539013</c:v>
                </c:pt>
              </c:numCache>
            </c:numRef>
          </c:val>
          <c:smooth val="0"/>
          <c:extLst>
            <c:ext xmlns:c16="http://schemas.microsoft.com/office/drawing/2014/chart" uri="{C3380CC4-5D6E-409C-BE32-E72D297353CC}">
              <c16:uniqueId val="{00000003-5231-4BE2-97ED-54F0C3DB105C}"/>
            </c:ext>
          </c:extLst>
        </c:ser>
        <c:ser>
          <c:idx val="2"/>
          <c:order val="1"/>
          <c:tx>
            <c:strRef>
              <c:f>Projections!$A$221</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Projections!$P$221:$BG$221</c15:sqref>
                  </c15:fullRef>
                </c:ext>
              </c:extLst>
              <c:f>Projections!$P$221:$AQ$221</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252868.59737156465</c:v>
                </c:pt>
                <c:pt idx="20">
                  <c:v>181677.79901564698</c:v>
                </c:pt>
                <c:pt idx="21">
                  <c:v>189154.85950816722</c:v>
                </c:pt>
                <c:pt idx="22">
                  <c:v>292747.4480360162</c:v>
                </c:pt>
                <c:pt idx="23">
                  <c:v>386970.50277453056</c:v>
                </c:pt>
                <c:pt idx="24">
                  <c:v>32273.128478596278</c:v>
                </c:pt>
                <c:pt idx="25">
                  <c:v>101629.94151841462</c:v>
                </c:pt>
                <c:pt idx="26">
                  <c:v>0</c:v>
                </c:pt>
                <c:pt idx="27">
                  <c:v>155641.42139642089</c:v>
                </c:pt>
              </c:numCache>
            </c:numRef>
          </c:val>
          <c:smooth val="0"/>
          <c:extLst>
            <c:ext xmlns:c16="http://schemas.microsoft.com/office/drawing/2014/chart" uri="{C3380CC4-5D6E-409C-BE32-E72D297353CC}">
              <c16:uniqueId val="{00000002-9381-4A4E-BB43-DCD8EC2F4E00}"/>
            </c:ext>
          </c:extLst>
        </c:ser>
        <c:ser>
          <c:idx val="0"/>
          <c:order val="2"/>
          <c:tx>
            <c:strRef>
              <c:f>Projections!$A$222</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Projections!$P$222:$BG$222</c15:sqref>
                  </c15:fullRef>
                </c:ext>
              </c:extLst>
              <c:f>Projections!$P$222:$AQ$222</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42937.038554280232</c:v>
                </c:pt>
                <c:pt idx="20">
                  <c:v>134060.1838119278</c:v>
                </c:pt>
                <c:pt idx="21">
                  <c:v>151062.35047825405</c:v>
                </c:pt>
                <c:pt idx="22">
                  <c:v>163685.41381191395</c:v>
                </c:pt>
                <c:pt idx="23">
                  <c:v>225051.48914056818</c:v>
                </c:pt>
                <c:pt idx="24">
                  <c:v>297249.52954422822</c:v>
                </c:pt>
                <c:pt idx="25">
                  <c:v>258511.83180707725</c:v>
                </c:pt>
                <c:pt idx="26">
                  <c:v>305465.5112610397</c:v>
                </c:pt>
                <c:pt idx="27">
                  <c:v>341351.05317148636</c:v>
                </c:pt>
              </c:numCache>
            </c:numRef>
          </c:val>
          <c:smooth val="0"/>
          <c:extLst>
            <c:ext xmlns:c16="http://schemas.microsoft.com/office/drawing/2014/chart" uri="{C3380CC4-5D6E-409C-BE32-E72D297353CC}">
              <c16:uniqueId val="{00000000-9381-4A4E-BB43-DCD8EC2F4E00}"/>
            </c:ext>
          </c:extLst>
        </c:ser>
        <c:ser>
          <c:idx val="4"/>
          <c:order val="3"/>
          <c:tx>
            <c:strRef>
              <c:f>Projections!$A$223</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Projections!$P$223:$BG$223</c15:sqref>
                  </c15:fullRef>
                </c:ext>
              </c:extLst>
              <c:f>Projections!$P$223:$AQ$223</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30465.110685232437</c:v>
                </c:pt>
                <c:pt idx="20">
                  <c:v>98609.039740496039</c:v>
                </c:pt>
                <c:pt idx="21">
                  <c:v>108125.31192397382</c:v>
                </c:pt>
                <c:pt idx="22">
                  <c:v>29625.229999986157</c:v>
                </c:pt>
                <c:pt idx="23">
                  <c:v>17809.918021211721</c:v>
                </c:pt>
                <c:pt idx="24">
                  <c:v>206838.75034598209</c:v>
                </c:pt>
                <c:pt idx="25">
                  <c:v>129341.61115783747</c:v>
                </c:pt>
                <c:pt idx="26">
                  <c:v>182645.15863582725</c:v>
                </c:pt>
                <c:pt idx="27">
                  <c:v>187835.94440209193</c:v>
                </c:pt>
              </c:numCache>
            </c:numRef>
          </c:val>
          <c:smooth val="0"/>
          <c:extLst>
            <c:ext xmlns:c16="http://schemas.microsoft.com/office/drawing/2014/chart" uri="{C3380CC4-5D6E-409C-BE32-E72D297353CC}">
              <c16:uniqueId val="{00000003-9381-4A4E-BB43-DCD8EC2F4E00}"/>
            </c:ext>
          </c:extLst>
        </c:ser>
        <c:ser>
          <c:idx val="1"/>
          <c:order val="4"/>
          <c:tx>
            <c:strRef>
              <c:f>Projections!$A$224</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Projections!$P$224:$BG$224</c15:sqref>
                  </c15:fullRef>
                </c:ext>
              </c:extLst>
              <c:f>Projections!$P$224:$AQ$224</c:f>
              <c:numCache>
                <c:formatCode>#,##0_ ;[Red]\-#,##0\ </c:formatCode>
                <c:ptCount val="28"/>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37760</c:v>
                </c:pt>
                <c:pt idx="16">
                  <c:v>45312</c:v>
                </c:pt>
                <c:pt idx="17">
                  <c:v>52864</c:v>
                </c:pt>
                <c:pt idx="18">
                  <c:v>60416</c:v>
                </c:pt>
                <c:pt idx="19">
                  <c:v>77332.479999999996</c:v>
                </c:pt>
                <c:pt idx="20">
                  <c:v>90624</c:v>
                </c:pt>
                <c:pt idx="21">
                  <c:v>105728</c:v>
                </c:pt>
                <c:pt idx="22">
                  <c:v>120832</c:v>
                </c:pt>
                <c:pt idx="23">
                  <c:v>144998.39999999999</c:v>
                </c:pt>
                <c:pt idx="24">
                  <c:v>169164.79999999999</c:v>
                </c:pt>
                <c:pt idx="25">
                  <c:v>193331.19999999998</c:v>
                </c:pt>
                <c:pt idx="26">
                  <c:v>217497.59999999998</c:v>
                </c:pt>
                <c:pt idx="27">
                  <c:v>241664</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Projections!$A$242</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Projections!$P$242:$BG$242</c15:sqref>
                  </c15:fullRef>
                </c:ext>
              </c:extLst>
              <c:f>Projections!$P$242:$AQ$242</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04B6-450D-AD81-6BF382C059D1}"/>
            </c:ext>
          </c:extLst>
        </c:ser>
        <c:ser>
          <c:idx val="2"/>
          <c:order val="1"/>
          <c:tx>
            <c:strRef>
              <c:f>Projections!$A$244</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Projections!$P$244:$BG$244</c15:sqref>
                  </c15:fullRef>
                </c:ext>
              </c:extLst>
              <c:f>Projections!$P$244:$AQ$244</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2-04B6-450D-AD81-6BF382C059D1}"/>
            </c:ext>
          </c:extLst>
        </c:ser>
        <c:ser>
          <c:idx val="4"/>
          <c:order val="2"/>
          <c:tx>
            <c:strRef>
              <c:f>Projections!$A$246</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Projections!$P$246:$BG$246</c15:sqref>
                  </c15:fullRef>
                </c:ext>
              </c:extLst>
              <c:f>Projections!$P$246:$AQ$246</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4-04B6-450D-AD81-6BF382C059D1}"/>
            </c:ext>
          </c:extLst>
        </c:ser>
        <c:ser>
          <c:idx val="6"/>
          <c:order val="3"/>
          <c:tx>
            <c:strRef>
              <c:f>Projections!$A$248</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Projections!$P$248:$BG$248</c15:sqref>
                  </c15:fullRef>
                </c:ext>
              </c:extLst>
              <c:f>Projections!$P$248:$AQ$248</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6-04B6-450D-AD81-6BF382C059D1}"/>
            </c:ext>
          </c:extLst>
        </c:ser>
        <c:ser>
          <c:idx val="8"/>
          <c:order val="4"/>
          <c:tx>
            <c:strRef>
              <c:f>Projections!$A$250</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Projections!$P$250:$BG$250</c15:sqref>
                  </c15:fullRef>
                </c:ext>
              </c:extLst>
              <c:f>Projections!$P$250:$AQ$250</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8-04B6-450D-AD81-6BF382C059D1}"/>
            </c:ext>
          </c:extLst>
        </c:ser>
        <c:ser>
          <c:idx val="10"/>
          <c:order val="5"/>
          <c:tx>
            <c:strRef>
              <c:f>Projections!$A$252</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Projections!$P$252:$BG$252</c15:sqref>
                  </c15:fullRef>
                </c:ext>
              </c:extLst>
              <c:f>Projections!$P$252:$AQ$252</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A-04B6-450D-AD81-6BF382C059D1}"/>
            </c:ext>
          </c:extLst>
        </c:ser>
        <c:ser>
          <c:idx val="12"/>
          <c:order val="6"/>
          <c:tx>
            <c:strRef>
              <c:f>Projections!$A$254</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Projections!$P$254:$BG$254</c15:sqref>
                  </c15:fullRef>
                </c:ext>
              </c:extLst>
              <c:f>Projections!$P$254:$AQ$254</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C-04B6-450D-AD81-6BF382C059D1}"/>
            </c:ext>
          </c:extLst>
        </c:ser>
        <c:ser>
          <c:idx val="14"/>
          <c:order val="7"/>
          <c:tx>
            <c:strRef>
              <c:f>Projections!$A$256</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Projections!$P$256:$BG$256</c15:sqref>
                  </c15:fullRef>
                </c:ext>
              </c:extLst>
              <c:f>Projections!$P$256:$AQ$256</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E-04B6-450D-AD81-6BF382C059D1}"/>
            </c:ext>
          </c:extLst>
        </c:ser>
        <c:ser>
          <c:idx val="16"/>
          <c:order val="8"/>
          <c:tx>
            <c:strRef>
              <c:f>Projections!$A$258</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Projections!$P$258:$BG$258</c15:sqref>
                  </c15:fullRef>
                </c:ext>
              </c:extLst>
              <c:f>Projections!$P$258:$AQ$258</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Projections!$A$242</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Projections!$P$243:$BG$243</c15:sqref>
                  </c15:fullRef>
                </c:ext>
              </c:extLst>
              <c:f>Projections!$P$243:$AQ$243</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1-EBAD-48A5-9277-83F388186C0C}"/>
            </c:ext>
          </c:extLst>
        </c:ser>
        <c:ser>
          <c:idx val="3"/>
          <c:order val="1"/>
          <c:tx>
            <c:strRef>
              <c:f>Projections!$A$244</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Projections!$P$245:$BG$245</c15:sqref>
                  </c15:fullRef>
                </c:ext>
              </c:extLst>
              <c:f>Projections!$P$245:$AQ$245</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3-EBAD-48A5-9277-83F388186C0C}"/>
            </c:ext>
          </c:extLst>
        </c:ser>
        <c:ser>
          <c:idx val="5"/>
          <c:order val="2"/>
          <c:tx>
            <c:strRef>
              <c:f>Projections!$A$246</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Projections!$P$247:$BG$247</c15:sqref>
                  </c15:fullRef>
                </c:ext>
              </c:extLst>
              <c:f>Projections!$P$247:$AQ$247</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5-EBAD-48A5-9277-83F388186C0C}"/>
            </c:ext>
          </c:extLst>
        </c:ser>
        <c:ser>
          <c:idx val="7"/>
          <c:order val="3"/>
          <c:tx>
            <c:strRef>
              <c:f>Projections!$A$248</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Projections!$P$249:$BG$249</c15:sqref>
                  </c15:fullRef>
                </c:ext>
              </c:extLst>
              <c:f>Projections!$P$249:$AQ$249</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7-EBAD-48A5-9277-83F388186C0C}"/>
            </c:ext>
          </c:extLst>
        </c:ser>
        <c:ser>
          <c:idx val="9"/>
          <c:order val="4"/>
          <c:tx>
            <c:strRef>
              <c:f>Projections!$A$250</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Projections!$P$251:$BG$251</c15:sqref>
                  </c15:fullRef>
                </c:ext>
              </c:extLst>
              <c:f>Projections!$P$251:$AQ$251</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9-EBAD-48A5-9277-83F388186C0C}"/>
            </c:ext>
          </c:extLst>
        </c:ser>
        <c:ser>
          <c:idx val="11"/>
          <c:order val="5"/>
          <c:tx>
            <c:strRef>
              <c:f>Projections!$A$252</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Projections!$P$253:$BG$253</c15:sqref>
                  </c15:fullRef>
                </c:ext>
              </c:extLst>
              <c:f>Projections!$P$253:$AQ$253</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B-EBAD-48A5-9277-83F388186C0C}"/>
            </c:ext>
          </c:extLst>
        </c:ser>
        <c:ser>
          <c:idx val="13"/>
          <c:order val="6"/>
          <c:tx>
            <c:strRef>
              <c:f>Projections!$A$254</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Projections!$P$255:$BG$255</c15:sqref>
                  </c15:fullRef>
                </c:ext>
              </c:extLst>
              <c:f>Projections!$P$255:$AQ$255</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D-EBAD-48A5-9277-83F388186C0C}"/>
            </c:ext>
          </c:extLst>
        </c:ser>
        <c:ser>
          <c:idx val="15"/>
          <c:order val="7"/>
          <c:tx>
            <c:strRef>
              <c:f>Projections!$A$256</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Projections!$P$257:$BG$257</c15:sqref>
                  </c15:fullRef>
                </c:ext>
              </c:extLst>
              <c:f>Projections!$P$257:$AQ$257</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F-EBAD-48A5-9277-83F388186C0C}"/>
            </c:ext>
          </c:extLst>
        </c:ser>
        <c:ser>
          <c:idx val="17"/>
          <c:order val="8"/>
          <c:tx>
            <c:strRef>
              <c:f>Projections!$A$258</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Projections!$P$259:$BG$259</c15:sqref>
                  </c15:fullRef>
                </c:ext>
              </c:extLst>
              <c:f>Projections!$P$259:$AQ$259</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Projections!$A$271</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Projections!$P$271:$BG$271</c15:sqref>
                  </c15:fullRef>
                </c:ext>
              </c:extLst>
              <c:f>Projections!$P$271:$AQ$271</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1E-05DD-4DD4-A5B5-12D162507280}"/>
            </c:ext>
          </c:extLst>
        </c:ser>
        <c:ser>
          <c:idx val="4"/>
          <c:order val="1"/>
          <c:tx>
            <c:strRef>
              <c:f>Projections!$A$269</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Projections!$P$269:$BG$269</c15:sqref>
                  </c15:fullRef>
                </c:ext>
              </c:extLst>
              <c:f>Projections!$P$269:$AQ$269</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1C-05DD-4DD4-A5B5-12D162507280}"/>
            </c:ext>
          </c:extLst>
        </c:ser>
        <c:ser>
          <c:idx val="10"/>
          <c:order val="2"/>
          <c:tx>
            <c:strRef>
              <c:f>Projections!$A$275</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Projections!$P$275:$BG$275</c15:sqref>
                  </c15:fullRef>
                </c:ext>
              </c:extLst>
              <c:f>Projections!$P$275:$AQ$275</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22-05DD-4DD4-A5B5-12D162507280}"/>
            </c:ext>
          </c:extLst>
        </c:ser>
        <c:ser>
          <c:idx val="0"/>
          <c:order val="3"/>
          <c:tx>
            <c:strRef>
              <c:f>Projections!$A$265</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Projections!$P$265:$BG$265</c15:sqref>
                  </c15:fullRef>
                </c:ext>
              </c:extLst>
              <c:f>Projections!$P$265:$AQ$265</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18-05DD-4DD4-A5B5-12D162507280}"/>
            </c:ext>
          </c:extLst>
        </c:ser>
        <c:ser>
          <c:idx val="2"/>
          <c:order val="4"/>
          <c:tx>
            <c:strRef>
              <c:f>Projections!$A$267</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Projections!$P$267:$BG$267</c15:sqref>
                  </c15:fullRef>
                </c:ext>
              </c:extLst>
              <c:f>Projections!$P$267:$AQ$267</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1A-05DD-4DD4-A5B5-12D162507280}"/>
            </c:ext>
          </c:extLst>
        </c:ser>
        <c:ser>
          <c:idx val="8"/>
          <c:order val="5"/>
          <c:tx>
            <c:strRef>
              <c:f>Projections!$A$273</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Projections!$P$273:$BG$273</c15:sqref>
                  </c15:fullRef>
                </c:ext>
              </c:extLst>
              <c:f>Projections!$P$273:$AQ$273</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Projections!$A$271</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Projections!$P$272:$BG$272</c15:sqref>
                  </c15:fullRef>
                </c:ext>
              </c:extLst>
              <c:f>Projections!$P$272:$AQ$272</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7-65B4-47F9-9B97-64FB989C8893}"/>
            </c:ext>
          </c:extLst>
        </c:ser>
        <c:ser>
          <c:idx val="5"/>
          <c:order val="1"/>
          <c:tx>
            <c:strRef>
              <c:f>Projections!$A$269</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Projections!$P$270:$BG$270</c15:sqref>
                  </c15:fullRef>
                </c:ext>
              </c:extLst>
              <c:f>Projections!$P$270:$AQ$270</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5-65B4-47F9-9B97-64FB989C8893}"/>
            </c:ext>
          </c:extLst>
        </c:ser>
        <c:ser>
          <c:idx val="1"/>
          <c:order val="2"/>
          <c:tx>
            <c:strRef>
              <c:f>Projections!$A$265</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Projections!$P$266:$BG$266</c15:sqref>
                  </c15:fullRef>
                </c:ext>
              </c:extLst>
              <c:f>Projections!$P$266:$AQ$266</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1-65B4-47F9-9B97-64FB989C8893}"/>
            </c:ext>
          </c:extLst>
        </c:ser>
        <c:ser>
          <c:idx val="3"/>
          <c:order val="3"/>
          <c:tx>
            <c:strRef>
              <c:f>Projections!$A$267</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Projections!$P$268:$BG$268</c15:sqref>
                  </c15:fullRef>
                </c:ext>
              </c:extLst>
              <c:f>Projections!$P$268:$AQ$268</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65B4-47F9-9B97-64FB989C8893}"/>
            </c:ext>
          </c:extLst>
        </c:ser>
        <c:ser>
          <c:idx val="9"/>
          <c:order val="4"/>
          <c:tx>
            <c:strRef>
              <c:f>Projections!$A$273</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Projections!$P$209:$BG$209</c15:sqref>
                  </c15:fullRef>
                </c:ext>
              </c:extLst>
              <c:f>Projections!$P$209:$AQ$209</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43979.5</c:v>
                </c:pt>
                <c:pt idx="22">
                  <c:v>43990</c:v>
                </c:pt>
                <c:pt idx="23">
                  <c:v>44002.8</c:v>
                </c:pt>
                <c:pt idx="24">
                  <c:v>44015.6</c:v>
                </c:pt>
                <c:pt idx="25">
                  <c:v>44028.4</c:v>
                </c:pt>
                <c:pt idx="26">
                  <c:v>44041.2</c:v>
                </c:pt>
                <c:pt idx="27">
                  <c:v>44054</c:v>
                </c:pt>
              </c:numCache>
            </c:numRef>
          </c:cat>
          <c:val>
            <c:numRef>
              <c:extLst>
                <c:ext xmlns:c15="http://schemas.microsoft.com/office/drawing/2012/chart" uri="{02D57815-91ED-43cb-92C2-25804820EDAC}">
                  <c15:fullRef>
                    <c15:sqref>Projections!$P$274:$BG$274</c15:sqref>
                  </c15:fullRef>
                </c:ext>
              </c:extLst>
              <c:f>Projections!$P$274:$AQ$274</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61</xdr:col>
      <xdr:colOff>9526</xdr:colOff>
      <xdr:row>208</xdr:row>
      <xdr:rowOff>104775</xdr:rowOff>
    </xdr:from>
    <xdr:to>
      <xdr:col>72</xdr:col>
      <xdr:colOff>600075</xdr:colOff>
      <xdr:row>240</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60</xdr:col>
      <xdr:colOff>736455</xdr:colOff>
      <xdr:row>280</xdr:row>
      <xdr:rowOff>120114</xdr:rowOff>
    </xdr:from>
    <xdr:to>
      <xdr:col>73</xdr:col>
      <xdr:colOff>19050</xdr:colOff>
      <xdr:row>303</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3031</xdr:colOff>
      <xdr:row>304</xdr:row>
      <xdr:rowOff>124876</xdr:rowOff>
    </xdr:from>
    <xdr:to>
      <xdr:col>73</xdr:col>
      <xdr:colOff>28575</xdr:colOff>
      <xdr:row>321</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60</xdr:col>
      <xdr:colOff>741217</xdr:colOff>
      <xdr:row>322</xdr:row>
      <xdr:rowOff>105825</xdr:rowOff>
    </xdr:from>
    <xdr:to>
      <xdr:col>73</xdr:col>
      <xdr:colOff>38099</xdr:colOff>
      <xdr:row>338</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741219</xdr:colOff>
      <xdr:row>339</xdr:row>
      <xdr:rowOff>124875</xdr:rowOff>
    </xdr:from>
    <xdr:to>
      <xdr:col>73</xdr:col>
      <xdr:colOff>19050</xdr:colOff>
      <xdr:row>358</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60</xdr:col>
      <xdr:colOff>738187</xdr:colOff>
      <xdr:row>242</xdr:row>
      <xdr:rowOff>119062</xdr:rowOff>
    </xdr:from>
    <xdr:to>
      <xdr:col>73</xdr:col>
      <xdr:colOff>19050</xdr:colOff>
      <xdr:row>262</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60</xdr:col>
      <xdr:colOff>740228</xdr:colOff>
      <xdr:row>263</xdr:row>
      <xdr:rowOff>117021</xdr:rowOff>
    </xdr:from>
    <xdr:to>
      <xdr:col>72</xdr:col>
      <xdr:colOff>590550</xdr:colOff>
      <xdr:row>279</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74</xdr:col>
      <xdr:colOff>1</xdr:colOff>
      <xdr:row>208</xdr:row>
      <xdr:rowOff>104775</xdr:rowOff>
    </xdr:from>
    <xdr:to>
      <xdr:col>86</xdr:col>
      <xdr:colOff>161925</xdr:colOff>
      <xdr:row>240</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73</xdr:col>
      <xdr:colOff>607867</xdr:colOff>
      <xdr:row>280</xdr:row>
      <xdr:rowOff>101064</xdr:rowOff>
    </xdr:from>
    <xdr:to>
      <xdr:col>86</xdr:col>
      <xdr:colOff>209550</xdr:colOff>
      <xdr:row>303</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73</xdr:col>
      <xdr:colOff>598343</xdr:colOff>
      <xdr:row>304</xdr:row>
      <xdr:rowOff>115351</xdr:rowOff>
    </xdr:from>
    <xdr:to>
      <xdr:col>86</xdr:col>
      <xdr:colOff>200025</xdr:colOff>
      <xdr:row>321</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74</xdr:col>
      <xdr:colOff>3029</xdr:colOff>
      <xdr:row>322</xdr:row>
      <xdr:rowOff>105825</xdr:rowOff>
    </xdr:from>
    <xdr:to>
      <xdr:col>86</xdr:col>
      <xdr:colOff>219074</xdr:colOff>
      <xdr:row>338</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74</xdr:col>
      <xdr:colOff>22081</xdr:colOff>
      <xdr:row>339</xdr:row>
      <xdr:rowOff>124875</xdr:rowOff>
    </xdr:from>
    <xdr:to>
      <xdr:col>86</xdr:col>
      <xdr:colOff>228600</xdr:colOff>
      <xdr:row>358</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73</xdr:col>
      <xdr:colOff>600074</xdr:colOff>
      <xdr:row>242</xdr:row>
      <xdr:rowOff>128587</xdr:rowOff>
    </xdr:from>
    <xdr:to>
      <xdr:col>86</xdr:col>
      <xdr:colOff>200025</xdr:colOff>
      <xdr:row>262</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73</xdr:col>
      <xdr:colOff>606878</xdr:colOff>
      <xdr:row>263</xdr:row>
      <xdr:rowOff>117021</xdr:rowOff>
    </xdr:from>
    <xdr:to>
      <xdr:col>86</xdr:col>
      <xdr:colOff>161925</xdr:colOff>
      <xdr:row>279</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6" sqref="E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64</v>
      </c>
    </row>
    <row r="3" spans="2:2" x14ac:dyDescent="0.25">
      <c r="B3" t="s">
        <v>52</v>
      </c>
    </row>
    <row r="4" spans="2:2" x14ac:dyDescent="0.25">
      <c r="B4" t="s">
        <v>62</v>
      </c>
    </row>
    <row r="5" spans="2:2" x14ac:dyDescent="0.25">
      <c r="B5" t="s">
        <v>65</v>
      </c>
    </row>
    <row r="6" spans="2:2" x14ac:dyDescent="0.25">
      <c r="B6" t="s">
        <v>66</v>
      </c>
    </row>
    <row r="7" spans="2:2" x14ac:dyDescent="0.25">
      <c r="B7" t="s">
        <v>53</v>
      </c>
    </row>
    <row r="11" spans="2:2" x14ac:dyDescent="0.25">
      <c r="B11" t="s">
        <v>73</v>
      </c>
    </row>
    <row r="12" spans="2:2" x14ac:dyDescent="0.25">
      <c r="B12" t="s">
        <v>86</v>
      </c>
    </row>
    <row r="13" spans="2:2" x14ac:dyDescent="0.25">
      <c r="B13" t="s">
        <v>88</v>
      </c>
    </row>
    <row r="14" spans="2:2" x14ac:dyDescent="0.25">
      <c r="B14" t="s">
        <v>87</v>
      </c>
    </row>
    <row r="15" spans="2:2" x14ac:dyDescent="0.25">
      <c r="B15" t="s">
        <v>94</v>
      </c>
    </row>
    <row r="17" spans="1:43" x14ac:dyDescent="0.25">
      <c r="A17" t="s">
        <v>92</v>
      </c>
      <c r="B17" s="102">
        <f>(AP25/E31) /Projections!B197</f>
        <v>141.24293785310735</v>
      </c>
      <c r="C17" s="103"/>
      <c r="D17" s="104"/>
      <c r="E17" s="98">
        <f>B17*2</f>
        <v>282.4858757062147</v>
      </c>
      <c r="F17" s="103"/>
      <c r="G17" s="98"/>
      <c r="H17" s="98">
        <f>E17*2</f>
        <v>564.9717514124294</v>
      </c>
      <c r="I17" s="103"/>
      <c r="J17" s="104"/>
      <c r="K17" s="95">
        <f>H17*2</f>
        <v>1129.9435028248588</v>
      </c>
      <c r="L17" s="93"/>
      <c r="M17" s="94"/>
      <c r="N17" s="95">
        <f>K17*2</f>
        <v>2259.8870056497176</v>
      </c>
      <c r="O17" s="93"/>
      <c r="P17" s="94"/>
      <c r="Q17" s="95">
        <f>N17*2</f>
        <v>4519.7740112994352</v>
      </c>
      <c r="R17" s="93"/>
      <c r="S17" s="94"/>
      <c r="T17" s="95">
        <f>Q17*2</f>
        <v>9039.5480225988704</v>
      </c>
      <c r="U17" s="93"/>
      <c r="V17" s="94"/>
      <c r="W17" s="95">
        <f>T17*2</f>
        <v>18079.096045197741</v>
      </c>
      <c r="X17" s="93"/>
      <c r="Y17" s="94"/>
      <c r="Z17" s="95">
        <f>W17*2</f>
        <v>36158.192090395482</v>
      </c>
      <c r="AA17" s="93"/>
      <c r="AB17" s="94"/>
      <c r="AC17" s="95">
        <f>Z17*2</f>
        <v>72316.384180790963</v>
      </c>
      <c r="AD17" s="93"/>
      <c r="AE17" s="94"/>
      <c r="AF17" s="95">
        <f>AC17*2</f>
        <v>144632.76836158193</v>
      </c>
      <c r="AG17" s="93"/>
      <c r="AH17" s="94"/>
      <c r="AI17" s="95">
        <f>AF17*2</f>
        <v>289265.53672316385</v>
      </c>
      <c r="AJ17" s="93"/>
      <c r="AK17" s="94"/>
      <c r="AL17" s="95">
        <f>AI17*2</f>
        <v>578531.0734463277</v>
      </c>
      <c r="AM17" s="93"/>
      <c r="AN17" s="94"/>
      <c r="AO17" s="95">
        <f>AL17*2</f>
        <v>1157062.1468926554</v>
      </c>
      <c r="AP17" s="98"/>
      <c r="AQ17" t="s">
        <v>92</v>
      </c>
    </row>
    <row r="18" spans="1:43" s="69" customFormat="1" x14ac:dyDescent="0.25">
      <c r="A18" s="69" t="s">
        <v>165</v>
      </c>
      <c r="B18" s="88">
        <f>B17*$E$34</f>
        <v>124.29378531073446</v>
      </c>
      <c r="C18" s="105"/>
      <c r="D18" s="105"/>
      <c r="E18" s="105">
        <f>E17*$E$34</f>
        <v>248.58757062146893</v>
      </c>
      <c r="F18" s="105"/>
      <c r="G18" s="33"/>
      <c r="H18" s="105">
        <f>H17*$E$34</f>
        <v>497.17514124293785</v>
      </c>
      <c r="I18" s="105"/>
      <c r="J18" s="105"/>
      <c r="K18" s="105">
        <f>K17*$E$34</f>
        <v>994.35028248587571</v>
      </c>
      <c r="L18" s="105"/>
      <c r="M18" s="105"/>
      <c r="N18" s="105">
        <f>N17*$E$34</f>
        <v>1988.7005649717514</v>
      </c>
      <c r="O18" s="105"/>
      <c r="P18" s="105"/>
      <c r="Q18" s="105">
        <f>Q17*$E$34</f>
        <v>3977.4011299435028</v>
      </c>
      <c r="R18" s="105"/>
      <c r="S18" s="105"/>
      <c r="T18" s="105">
        <f>T17*$E$34</f>
        <v>7954.8022598870057</v>
      </c>
      <c r="U18" s="105"/>
      <c r="V18" s="105"/>
      <c r="W18" s="105">
        <f>W17*$E$34</f>
        <v>15909.604519774011</v>
      </c>
      <c r="X18" s="105"/>
      <c r="Y18" s="105"/>
      <c r="Z18" s="105">
        <f>Z17*$E$34</f>
        <v>31819.209039548023</v>
      </c>
      <c r="AA18" s="105"/>
      <c r="AB18" s="105"/>
      <c r="AC18" s="105">
        <f>AC17*$E$34</f>
        <v>63638.418079096045</v>
      </c>
      <c r="AD18" s="105"/>
      <c r="AE18" s="105"/>
      <c r="AF18" s="105">
        <f>AF17*$E$34</f>
        <v>127276.83615819209</v>
      </c>
      <c r="AG18" s="105"/>
      <c r="AH18" s="105"/>
      <c r="AI18" s="105">
        <f>AI17*$E$34</f>
        <v>254553.67231638418</v>
      </c>
      <c r="AJ18" s="105"/>
      <c r="AK18" s="105"/>
      <c r="AL18" s="105">
        <f>AL17*$E$34</f>
        <v>509107.34463276836</v>
      </c>
      <c r="AM18" s="105"/>
      <c r="AN18" s="105"/>
      <c r="AO18" s="105">
        <f>AO17*$E$34</f>
        <v>1018214.6892655367</v>
      </c>
      <c r="AP18" s="33"/>
      <c r="AQ18" s="69" t="s">
        <v>165</v>
      </c>
    </row>
    <row r="19" spans="1:43" s="69" customFormat="1" x14ac:dyDescent="0.25">
      <c r="A19" s="47" t="s">
        <v>167</v>
      </c>
      <c r="B19" s="86">
        <f>B18</f>
        <v>124.29378531073446</v>
      </c>
      <c r="C19" s="87"/>
      <c r="D19" s="87"/>
      <c r="E19" s="87">
        <f>E18</f>
        <v>248.58757062146893</v>
      </c>
      <c r="F19" s="87"/>
      <c r="G19" s="34"/>
      <c r="H19" s="87">
        <f>H18</f>
        <v>497.17514124293785</v>
      </c>
      <c r="I19" s="87"/>
      <c r="J19" s="87"/>
      <c r="K19" s="87">
        <f>K18</f>
        <v>994.35028248587571</v>
      </c>
      <c r="L19" s="87"/>
      <c r="M19" s="87"/>
      <c r="N19" s="87">
        <f>N18</f>
        <v>1988.7005649717514</v>
      </c>
      <c r="O19" s="87"/>
      <c r="P19" s="87"/>
      <c r="Q19" s="87">
        <f>Q18</f>
        <v>3977.4011299435028</v>
      </c>
      <c r="R19" s="87"/>
      <c r="S19" s="87"/>
      <c r="T19" s="87">
        <f>T18</f>
        <v>7954.8022598870057</v>
      </c>
      <c r="U19" s="87"/>
      <c r="V19" s="87"/>
      <c r="W19" s="121">
        <f>W18-B18</f>
        <v>15785.310734463277</v>
      </c>
      <c r="X19" s="121"/>
      <c r="Y19" s="121"/>
      <c r="Z19" s="121">
        <f>Z18-E18</f>
        <v>31570.621468926554</v>
      </c>
      <c r="AA19" s="121"/>
      <c r="AB19" s="121"/>
      <c r="AC19" s="121">
        <f>AC18-H18</f>
        <v>63141.242937853109</v>
      </c>
      <c r="AD19" s="121"/>
      <c r="AE19" s="121"/>
      <c r="AF19" s="121">
        <f>AF18-K18</f>
        <v>126282.48587570622</v>
      </c>
      <c r="AG19" s="121"/>
      <c r="AH19" s="121"/>
      <c r="AI19" s="121">
        <f>AI18-N18</f>
        <v>252564.97175141243</v>
      </c>
      <c r="AJ19" s="121"/>
      <c r="AK19" s="121"/>
      <c r="AL19" s="121">
        <f>AL18-Q18</f>
        <v>505129.94350282487</v>
      </c>
      <c r="AM19" s="121"/>
      <c r="AN19" s="121"/>
      <c r="AO19" s="121">
        <f>AO18-T18</f>
        <v>1010259.8870056497</v>
      </c>
      <c r="AP19" s="122"/>
      <c r="AQ19" s="47" t="s">
        <v>167</v>
      </c>
    </row>
    <row r="20" spans="1:43" s="69" customFormat="1" x14ac:dyDescent="0.25">
      <c r="A20" t="s">
        <v>93</v>
      </c>
      <c r="B20" s="88"/>
      <c r="C20" s="105"/>
      <c r="D20" s="105"/>
      <c r="E20" s="105"/>
      <c r="F20" s="105"/>
      <c r="G20" s="33"/>
      <c r="H20" s="106"/>
      <c r="I20" s="107"/>
      <c r="J20" s="108"/>
      <c r="K20" s="131">
        <f>B17*(1-$E$34)</f>
        <v>16.949152542372882</v>
      </c>
      <c r="L20" s="128"/>
      <c r="M20" s="129"/>
      <c r="N20" s="130">
        <f>E17*(1-$E$34)</f>
        <v>33.898305084745765</v>
      </c>
      <c r="O20" s="128"/>
      <c r="P20" s="129"/>
      <c r="Q20" s="130">
        <f>H17*(1-$E$34)</f>
        <v>67.79661016949153</v>
      </c>
      <c r="R20" s="128"/>
      <c r="S20" s="129"/>
      <c r="T20" s="130">
        <f>K17*(1-$E$34)</f>
        <v>135.59322033898306</v>
      </c>
      <c r="U20" s="128"/>
      <c r="V20" s="129"/>
      <c r="W20" s="130">
        <f>N17*(1-$E$34)</f>
        <v>271.18644067796612</v>
      </c>
      <c r="X20" s="128"/>
      <c r="Y20" s="129"/>
      <c r="Z20" s="130">
        <f>Q17*(1-$E$34)</f>
        <v>542.37288135593224</v>
      </c>
      <c r="AA20" s="128"/>
      <c r="AB20" s="129"/>
      <c r="AC20" s="130">
        <f>T17*(1-$E$34)</f>
        <v>1084.7457627118645</v>
      </c>
      <c r="AD20" s="128"/>
      <c r="AE20" s="129"/>
      <c r="AF20" s="130">
        <f>W17*(1-$E$34)</f>
        <v>2169.4915254237289</v>
      </c>
      <c r="AG20" s="128"/>
      <c r="AH20" s="129"/>
      <c r="AI20" s="130">
        <f>Z17*(1-$E$34)</f>
        <v>4338.9830508474579</v>
      </c>
      <c r="AJ20" s="128"/>
      <c r="AK20" s="129"/>
      <c r="AL20" s="130">
        <f>AC17*(1-$E$34)</f>
        <v>8677.9661016949158</v>
      </c>
      <c r="AM20" s="128"/>
      <c r="AN20" s="129"/>
      <c r="AO20" s="130">
        <f>AF17*(1-$E$34)</f>
        <v>17355.932203389832</v>
      </c>
      <c r="AP20" s="79"/>
      <c r="AQ20" t="s">
        <v>93</v>
      </c>
    </row>
    <row r="21" spans="1:43" s="69" customFormat="1" x14ac:dyDescent="0.25">
      <c r="A21" s="69" t="s">
        <v>74</v>
      </c>
      <c r="B21" s="80"/>
      <c r="C21" s="81"/>
      <c r="D21" s="81"/>
      <c r="E21" s="81"/>
      <c r="F21" s="81"/>
      <c r="G21" s="82"/>
      <c r="H21" s="123">
        <f>B17-B18</f>
        <v>16.949152542372886</v>
      </c>
      <c r="I21" s="123"/>
      <c r="J21" s="123"/>
      <c r="K21" s="123">
        <f>E17-E18</f>
        <v>33.898305084745772</v>
      </c>
      <c r="L21" s="123"/>
      <c r="M21" s="123"/>
      <c r="N21" s="123">
        <f>(H17-H18)*$E$35</f>
        <v>54.915254237288153</v>
      </c>
      <c r="O21" s="123"/>
      <c r="P21" s="123"/>
      <c r="Q21" s="123">
        <f>(K17-K18)*$E$35</f>
        <v>109.83050847457631</v>
      </c>
      <c r="R21" s="123"/>
      <c r="S21" s="123"/>
      <c r="T21" s="123">
        <f>(N17-N18)*$E$35</f>
        <v>219.66101694915261</v>
      </c>
      <c r="U21" s="123"/>
      <c r="V21" s="123"/>
      <c r="W21" s="123">
        <f>((Q17-Q18)*$E$35)-(H21*$E$35)</f>
        <v>425.5932203389832</v>
      </c>
      <c r="X21" s="123"/>
      <c r="Y21" s="123"/>
      <c r="Z21" s="123">
        <f>((T17-T18)*$E$35)-(K21*$E$35)</f>
        <v>851.1864406779664</v>
      </c>
      <c r="AA21" s="123"/>
      <c r="AB21" s="123"/>
      <c r="AC21" s="123">
        <f>((W17-W18)*$E$35)-N21</f>
        <v>1702.3728813559328</v>
      </c>
      <c r="AD21" s="123"/>
      <c r="AE21" s="123"/>
      <c r="AF21" s="123">
        <f>((Z17-Z18)*$E$35)-Q21</f>
        <v>3404.7457627118656</v>
      </c>
      <c r="AG21" s="123"/>
      <c r="AH21" s="123"/>
      <c r="AI21" s="123">
        <f>((AC17-AC18)*$E$35)-T21</f>
        <v>6809.4915254237312</v>
      </c>
      <c r="AJ21" s="123"/>
      <c r="AK21" s="123"/>
      <c r="AL21" s="123">
        <f>((AF17-AF18)*$E$35)-W21</f>
        <v>13632.711864406783</v>
      </c>
      <c r="AM21" s="123"/>
      <c r="AN21" s="123"/>
      <c r="AO21" s="123">
        <f>((AI17-AI18)*$E$35)-Z21</f>
        <v>27265.423728813566</v>
      </c>
      <c r="AP21" s="124"/>
      <c r="AQ21" s="69" t="s">
        <v>74</v>
      </c>
    </row>
    <row r="22" spans="1:43" s="69" customFormat="1" x14ac:dyDescent="0.25">
      <c r="A22" s="69" t="s">
        <v>75</v>
      </c>
      <c r="B22" s="80"/>
      <c r="C22" s="81"/>
      <c r="D22" s="81"/>
      <c r="E22" s="81"/>
      <c r="F22" s="81"/>
      <c r="G22" s="82"/>
      <c r="H22" s="107"/>
      <c r="I22" s="107"/>
      <c r="J22" s="107"/>
      <c r="K22" s="107"/>
      <c r="L22" s="107"/>
      <c r="M22" s="108"/>
      <c r="N22" s="125">
        <f>(H17-H18)*($E$36+$E$37)</f>
        <v>12.881355932203393</v>
      </c>
      <c r="O22" s="125"/>
      <c r="P22" s="125"/>
      <c r="Q22" s="125">
        <f>(K17-K18)*($E$36+$E$37)</f>
        <v>25.762711864406786</v>
      </c>
      <c r="R22" s="125"/>
      <c r="S22" s="125"/>
      <c r="T22" s="125">
        <f>(N17-N18)*$E$36</f>
        <v>37.966101694915267</v>
      </c>
      <c r="U22" s="125"/>
      <c r="V22" s="125"/>
      <c r="W22" s="125">
        <f>(Q17-Q18)*$E$36</f>
        <v>75.932203389830534</v>
      </c>
      <c r="X22" s="125"/>
      <c r="Y22" s="125"/>
      <c r="Z22" s="125">
        <f>(T17-T18)*$E$36</f>
        <v>151.86440677966107</v>
      </c>
      <c r="AA22" s="125"/>
      <c r="AB22" s="125"/>
      <c r="AC22" s="125">
        <f>(W17-W18)*$E$36</f>
        <v>303.72881355932213</v>
      </c>
      <c r="AD22" s="125"/>
      <c r="AE22" s="125"/>
      <c r="AF22" s="125">
        <f>(Z17-Z18)*$E$36</f>
        <v>607.45762711864427</v>
      </c>
      <c r="AG22" s="125"/>
      <c r="AH22" s="125"/>
      <c r="AI22" s="125">
        <f>(AC17-AC18)*$E$36</f>
        <v>1214.9152542372885</v>
      </c>
      <c r="AJ22" s="125"/>
      <c r="AK22" s="125"/>
      <c r="AL22" s="125">
        <f>(AF17-AF18)*$E$36</f>
        <v>2429.8305084745771</v>
      </c>
      <c r="AM22" s="125"/>
      <c r="AN22" s="125"/>
      <c r="AO22" s="125">
        <f>(AI17-AI18)*$E$36</f>
        <v>4859.6610169491541</v>
      </c>
      <c r="AP22" s="126"/>
      <c r="AQ22" s="69" t="s">
        <v>75</v>
      </c>
    </row>
    <row r="23" spans="1:43" s="69" customFormat="1" x14ac:dyDescent="0.25">
      <c r="A23" s="47" t="s">
        <v>76</v>
      </c>
      <c r="B23" s="80"/>
      <c r="C23" s="81"/>
      <c r="D23" s="81"/>
      <c r="E23" s="81"/>
      <c r="F23" s="81"/>
      <c r="G23" s="82"/>
      <c r="H23" s="87"/>
      <c r="I23" s="87"/>
      <c r="J23" s="87"/>
      <c r="K23" s="87"/>
      <c r="L23" s="87"/>
      <c r="M23" s="87"/>
      <c r="N23" s="107"/>
      <c r="O23" s="107"/>
      <c r="P23" s="107"/>
      <c r="Q23" s="107"/>
      <c r="R23" s="107"/>
      <c r="S23" s="108"/>
      <c r="T23" s="40">
        <f>(N17-N18)*$E$37</f>
        <v>13.55932203389831</v>
      </c>
      <c r="U23" s="40"/>
      <c r="V23" s="40"/>
      <c r="W23" s="40">
        <f>(Q17-Q18)*$E$37</f>
        <v>27.11864406779662</v>
      </c>
      <c r="X23" s="40"/>
      <c r="Y23" s="40"/>
      <c r="Z23" s="40">
        <f>(T17-T18)*$E$37</f>
        <v>54.237288135593239</v>
      </c>
      <c r="AA23" s="40"/>
      <c r="AB23" s="40"/>
      <c r="AC23" s="40">
        <f>(W17-W18)*$E$37</f>
        <v>108.47457627118648</v>
      </c>
      <c r="AD23" s="40"/>
      <c r="AE23" s="40"/>
      <c r="AF23" s="40">
        <f>(Z17-Z18)*$E$37</f>
        <v>216.94915254237296</v>
      </c>
      <c r="AG23" s="40"/>
      <c r="AH23" s="40"/>
      <c r="AI23" s="40">
        <f>(AC17-AC18)*$E$37</f>
        <v>433.89830508474591</v>
      </c>
      <c r="AJ23" s="40"/>
      <c r="AK23" s="40"/>
      <c r="AL23" s="40">
        <f>(AF17-AF18)*$E$37</f>
        <v>867.79661016949183</v>
      </c>
      <c r="AM23" s="40"/>
      <c r="AN23" s="40"/>
      <c r="AO23" s="40">
        <f>(AI17-AI18)*$E$37</f>
        <v>1735.5932203389837</v>
      </c>
      <c r="AP23" s="127"/>
      <c r="AQ23" s="47" t="s">
        <v>76</v>
      </c>
    </row>
    <row r="24" spans="1:43" s="69" customFormat="1" x14ac:dyDescent="0.25">
      <c r="A24" s="47" t="s">
        <v>81</v>
      </c>
      <c r="B24" s="86"/>
      <c r="C24" s="87"/>
      <c r="D24" s="87"/>
      <c r="E24" s="87"/>
      <c r="F24" s="87"/>
      <c r="G24" s="34"/>
      <c r="H24" s="87"/>
      <c r="I24" s="87"/>
      <c r="J24" s="87"/>
      <c r="K24" s="87"/>
      <c r="L24" s="87"/>
      <c r="M24" s="87"/>
      <c r="N24" s="87"/>
      <c r="O24" s="87"/>
      <c r="P24" s="87"/>
      <c r="Q24" s="87"/>
      <c r="R24" s="87"/>
      <c r="S24" s="87"/>
      <c r="T24" s="107"/>
      <c r="U24" s="108"/>
      <c r="V24" s="109">
        <f>H21*$E$35</f>
        <v>13.728813559322038</v>
      </c>
      <c r="W24" s="109"/>
      <c r="X24" s="109"/>
      <c r="Y24" s="109">
        <f>K21*$E$35</f>
        <v>27.457627118644076</v>
      </c>
      <c r="Z24" s="109"/>
      <c r="AA24" s="109"/>
      <c r="AB24" s="109">
        <f>N21</f>
        <v>54.915254237288153</v>
      </c>
      <c r="AC24" s="109"/>
      <c r="AD24" s="109"/>
      <c r="AE24" s="109">
        <f>Q21</f>
        <v>109.83050847457631</v>
      </c>
      <c r="AF24" s="109"/>
      <c r="AG24" s="109"/>
      <c r="AH24" s="109">
        <f>T21</f>
        <v>219.66101694915261</v>
      </c>
      <c r="AI24" s="109"/>
      <c r="AJ24" s="109"/>
      <c r="AK24" s="109">
        <f>W21</f>
        <v>425.5932203389832</v>
      </c>
      <c r="AL24" s="109"/>
      <c r="AM24" s="109"/>
      <c r="AN24" s="109">
        <f>Z21</f>
        <v>851.1864406779664</v>
      </c>
      <c r="AO24" s="109"/>
      <c r="AP24" s="110"/>
      <c r="AQ24" s="47" t="s">
        <v>81</v>
      </c>
    </row>
    <row r="25" spans="1:43" x14ac:dyDescent="0.25">
      <c r="A25" s="47" t="s">
        <v>70</v>
      </c>
      <c r="B25" s="99"/>
      <c r="C25" s="100"/>
      <c r="D25" s="100"/>
      <c r="E25" s="100"/>
      <c r="F25" s="100"/>
      <c r="G25" s="101"/>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132">
        <f>E32</f>
        <v>1</v>
      </c>
      <c r="AQ25" s="47" t="s">
        <v>70</v>
      </c>
    </row>
    <row r="26" spans="1:43" x14ac:dyDescent="0.25">
      <c r="A26" s="133" t="s">
        <v>97</v>
      </c>
      <c r="B26" s="89">
        <f t="shared" ref="B26:G26" ca="1" si="0">C26-1</f>
        <v>43931.937935879629</v>
      </c>
      <c r="C26" s="90">
        <f t="shared" ca="1" si="0"/>
        <v>43932.937935879629</v>
      </c>
      <c r="D26" s="90">
        <f t="shared" ca="1" si="0"/>
        <v>43933.937935879629</v>
      </c>
      <c r="E26" s="90">
        <f t="shared" ca="1" si="0"/>
        <v>43934.937935879629</v>
      </c>
      <c r="F26" s="90">
        <f t="shared" ca="1" si="0"/>
        <v>43935.937935879629</v>
      </c>
      <c r="G26" s="91">
        <f t="shared" ca="1" si="0"/>
        <v>43936.937935879629</v>
      </c>
      <c r="H26" s="90">
        <f t="shared" ref="H26:U26" ca="1" si="1">I26-1</f>
        <v>43937.937935879629</v>
      </c>
      <c r="I26" s="90">
        <f t="shared" ca="1" si="1"/>
        <v>43938.937935879629</v>
      </c>
      <c r="J26" s="90">
        <f t="shared" ca="1" si="1"/>
        <v>43939.937935879629</v>
      </c>
      <c r="K26" s="90">
        <f t="shared" ca="1" si="1"/>
        <v>43940.937935879629</v>
      </c>
      <c r="L26" s="90">
        <f t="shared" ca="1" si="1"/>
        <v>43941.937935879629</v>
      </c>
      <c r="M26" s="90">
        <f t="shared" ca="1" si="1"/>
        <v>43942.937935879629</v>
      </c>
      <c r="N26" s="91">
        <f t="shared" ca="1" si="1"/>
        <v>43943.937935879629</v>
      </c>
      <c r="O26" s="89">
        <f t="shared" ca="1" si="1"/>
        <v>43944.937935879629</v>
      </c>
      <c r="P26" s="90">
        <f t="shared" ca="1" si="1"/>
        <v>43945.937935879629</v>
      </c>
      <c r="Q26" s="90">
        <f t="shared" ca="1" si="1"/>
        <v>43946.937935879629</v>
      </c>
      <c r="R26" s="90">
        <f t="shared" ca="1" si="1"/>
        <v>43947.937935879629</v>
      </c>
      <c r="S26" s="90">
        <f t="shared" ca="1" si="1"/>
        <v>43948.937935879629</v>
      </c>
      <c r="T26" s="90">
        <f t="shared" ca="1" si="1"/>
        <v>43949.937935879629</v>
      </c>
      <c r="U26" s="91">
        <f t="shared" ca="1" si="1"/>
        <v>43950.937935879629</v>
      </c>
      <c r="V26" s="89">
        <f t="shared" ref="V26:AN26" ca="1" si="2">W26-1</f>
        <v>43951.937935879629</v>
      </c>
      <c r="W26" s="90">
        <f t="shared" ca="1" si="2"/>
        <v>43952.937935879629</v>
      </c>
      <c r="X26" s="90">
        <f t="shared" ca="1" si="2"/>
        <v>43953.937935879629</v>
      </c>
      <c r="Y26" s="90">
        <f t="shared" ca="1" si="2"/>
        <v>43954.937935879629</v>
      </c>
      <c r="Z26" s="90">
        <f t="shared" ca="1" si="2"/>
        <v>43955.937935879629</v>
      </c>
      <c r="AA26" s="90">
        <f t="shared" ca="1" si="2"/>
        <v>43956.937935879629</v>
      </c>
      <c r="AB26" s="91">
        <f t="shared" ca="1" si="2"/>
        <v>43957.937935879629</v>
      </c>
      <c r="AC26" s="89">
        <f t="shared" ca="1" si="2"/>
        <v>43958.937935879629</v>
      </c>
      <c r="AD26" s="90">
        <f t="shared" ca="1" si="2"/>
        <v>43959.937935879629</v>
      </c>
      <c r="AE26" s="90">
        <f t="shared" ca="1" si="2"/>
        <v>43960.937935879629</v>
      </c>
      <c r="AF26" s="90">
        <f t="shared" ca="1" si="2"/>
        <v>43961.937935879629</v>
      </c>
      <c r="AG26" s="90">
        <f t="shared" ca="1" si="2"/>
        <v>43962.937935879629</v>
      </c>
      <c r="AH26" s="90">
        <f t="shared" ca="1" si="2"/>
        <v>43963.937935879629</v>
      </c>
      <c r="AI26" s="91">
        <f t="shared" ca="1" si="2"/>
        <v>43964.937935879629</v>
      </c>
      <c r="AJ26" s="89">
        <f t="shared" ca="1" si="2"/>
        <v>43965.937935879629</v>
      </c>
      <c r="AK26" s="90">
        <f t="shared" ca="1" si="2"/>
        <v>43966.937935879629</v>
      </c>
      <c r="AL26" s="90">
        <f t="shared" ca="1" si="2"/>
        <v>43967.937935879629</v>
      </c>
      <c r="AM26" s="90">
        <f t="shared" ca="1" si="2"/>
        <v>43968.937935879629</v>
      </c>
      <c r="AN26" s="90">
        <f t="shared" ca="1" si="2"/>
        <v>43969.937935879629</v>
      </c>
      <c r="AO26" s="90">
        <f ca="1">AP26-1</f>
        <v>43970.937935879629</v>
      </c>
      <c r="AP26" s="111">
        <f ca="1">NOW()</f>
        <v>43971.937935879629</v>
      </c>
    </row>
    <row r="27" spans="1:43" x14ac:dyDescent="0.25">
      <c r="A27" s="134" t="s">
        <v>98</v>
      </c>
      <c r="B27" s="117">
        <v>1</v>
      </c>
      <c r="C27" s="118">
        <v>2</v>
      </c>
      <c r="D27" s="117">
        <v>3</v>
      </c>
      <c r="E27" s="118">
        <v>4</v>
      </c>
      <c r="F27" s="117">
        <v>5</v>
      </c>
      <c r="G27" s="119">
        <v>6</v>
      </c>
      <c r="H27" s="118">
        <v>7</v>
      </c>
      <c r="I27" s="118">
        <v>8</v>
      </c>
      <c r="J27" s="118">
        <v>9</v>
      </c>
      <c r="K27" s="118">
        <v>10</v>
      </c>
      <c r="L27" s="118">
        <v>11</v>
      </c>
      <c r="M27" s="118">
        <v>12</v>
      </c>
      <c r="N27" s="119">
        <v>13</v>
      </c>
      <c r="O27" s="117">
        <v>14</v>
      </c>
      <c r="P27" s="118">
        <v>15</v>
      </c>
      <c r="Q27" s="118">
        <v>16</v>
      </c>
      <c r="R27" s="118">
        <v>17</v>
      </c>
      <c r="S27" s="118">
        <v>18</v>
      </c>
      <c r="T27" s="118">
        <v>19</v>
      </c>
      <c r="U27" s="119">
        <v>20</v>
      </c>
      <c r="V27" s="117">
        <v>21</v>
      </c>
      <c r="W27" s="118">
        <v>22</v>
      </c>
      <c r="X27" s="118">
        <v>23</v>
      </c>
      <c r="Y27" s="118">
        <v>24</v>
      </c>
      <c r="Z27" s="118">
        <v>25</v>
      </c>
      <c r="AA27" s="118">
        <v>26</v>
      </c>
      <c r="AB27" s="119">
        <v>27</v>
      </c>
      <c r="AC27" s="117">
        <v>28</v>
      </c>
      <c r="AD27" s="118">
        <v>29</v>
      </c>
      <c r="AE27" s="118">
        <v>30</v>
      </c>
      <c r="AF27" s="118">
        <v>31</v>
      </c>
      <c r="AG27" s="118">
        <v>32</v>
      </c>
      <c r="AH27" s="118">
        <v>33</v>
      </c>
      <c r="AI27" s="119">
        <v>34</v>
      </c>
      <c r="AJ27" s="117">
        <v>35</v>
      </c>
      <c r="AK27" s="118">
        <v>36</v>
      </c>
      <c r="AL27" s="118">
        <v>37</v>
      </c>
      <c r="AM27" s="118">
        <v>38</v>
      </c>
      <c r="AN27" s="118">
        <v>39</v>
      </c>
      <c r="AO27" s="118">
        <v>40</v>
      </c>
      <c r="AP27" s="119">
        <v>41</v>
      </c>
    </row>
    <row r="28" spans="1:43" x14ac:dyDescent="0.25">
      <c r="A28" s="135" t="s">
        <v>99</v>
      </c>
      <c r="B28" s="290" t="s">
        <v>68</v>
      </c>
      <c r="C28" s="291"/>
      <c r="D28" s="291"/>
      <c r="E28" s="291"/>
      <c r="F28" s="291"/>
      <c r="G28" s="292"/>
      <c r="H28" s="296" t="s">
        <v>57</v>
      </c>
      <c r="I28" s="296"/>
      <c r="J28" s="296"/>
      <c r="K28" s="296"/>
      <c r="L28" s="296"/>
      <c r="M28" s="296"/>
      <c r="N28" s="297"/>
      <c r="O28" s="295" t="s">
        <v>58</v>
      </c>
      <c r="P28" s="296"/>
      <c r="Q28" s="296"/>
      <c r="R28" s="296"/>
      <c r="S28" s="296"/>
      <c r="T28" s="296"/>
      <c r="U28" s="297"/>
      <c r="V28" s="295" t="s">
        <v>59</v>
      </c>
      <c r="W28" s="296"/>
      <c r="X28" s="296"/>
      <c r="Y28" s="296"/>
      <c r="Z28" s="296"/>
      <c r="AA28" s="296"/>
      <c r="AB28" s="297"/>
      <c r="AC28" s="295" t="s">
        <v>60</v>
      </c>
      <c r="AD28" s="296"/>
      <c r="AE28" s="296"/>
      <c r="AF28" s="296"/>
      <c r="AG28" s="296"/>
      <c r="AH28" s="296"/>
      <c r="AI28" s="297"/>
      <c r="AJ28" s="295" t="s">
        <v>61</v>
      </c>
      <c r="AK28" s="296"/>
      <c r="AL28" s="296"/>
      <c r="AM28" s="296"/>
      <c r="AN28" s="296"/>
      <c r="AO28" s="296"/>
      <c r="AP28" s="297"/>
    </row>
    <row r="29" spans="1:43" x14ac:dyDescent="0.25">
      <c r="B29" s="51" t="s">
        <v>80</v>
      </c>
      <c r="C29" s="96"/>
      <c r="D29" s="96"/>
      <c r="E29" s="96"/>
      <c r="F29" s="96"/>
      <c r="G29" s="97"/>
      <c r="H29" s="293" t="s">
        <v>67</v>
      </c>
      <c r="I29" s="293"/>
      <c r="J29" s="293"/>
      <c r="K29" s="293"/>
      <c r="L29" s="293"/>
      <c r="M29" s="293"/>
      <c r="N29" s="293"/>
      <c r="O29" s="293"/>
      <c r="P29" s="293"/>
      <c r="Q29" s="293"/>
      <c r="R29" s="293"/>
      <c r="S29" s="293"/>
      <c r="T29" s="293"/>
      <c r="U29" s="293"/>
      <c r="V29" s="293"/>
      <c r="W29" s="293"/>
      <c r="X29" s="293"/>
      <c r="Y29" s="293"/>
      <c r="Z29" s="293"/>
      <c r="AA29" s="293"/>
      <c r="AB29" s="293"/>
      <c r="AC29" s="293"/>
      <c r="AD29" s="293"/>
      <c r="AE29" s="293"/>
      <c r="AF29" s="293"/>
      <c r="AG29" s="293"/>
      <c r="AH29" s="293"/>
      <c r="AI29" s="293"/>
      <c r="AJ29" s="293"/>
      <c r="AK29" s="293"/>
      <c r="AL29" s="293"/>
      <c r="AM29" s="293"/>
      <c r="AN29" s="293"/>
      <c r="AO29" s="293"/>
      <c r="AP29" s="294"/>
    </row>
    <row r="31" spans="1:43" x14ac:dyDescent="0.25">
      <c r="B31" s="57" t="s">
        <v>69</v>
      </c>
      <c r="C31" s="138" t="s">
        <v>191</v>
      </c>
      <c r="D31" s="9"/>
      <c r="E31" s="85">
        <f>VLOOKUP(C31,B43:C54,2,FALSE)</f>
        <v>5.8999999999999997E-2</v>
      </c>
      <c r="F31" s="9"/>
      <c r="G31" s="9"/>
      <c r="H31" s="9"/>
      <c r="I31" s="5"/>
    </row>
    <row r="32" spans="1:43" x14ac:dyDescent="0.25">
      <c r="B32" s="41" t="s">
        <v>96</v>
      </c>
      <c r="C32" s="16"/>
      <c r="D32" s="16"/>
      <c r="E32" s="139">
        <v>1</v>
      </c>
      <c r="F32" s="16"/>
      <c r="G32" s="16"/>
      <c r="H32" s="16"/>
      <c r="I32" s="17"/>
    </row>
    <row r="33" spans="2:9" x14ac:dyDescent="0.25">
      <c r="B33" s="41" t="s">
        <v>71</v>
      </c>
      <c r="C33" s="16"/>
      <c r="D33" s="16"/>
      <c r="E33" s="16">
        <v>3</v>
      </c>
      <c r="F33" s="16" t="s">
        <v>72</v>
      </c>
      <c r="G33" s="16"/>
      <c r="H33" s="16"/>
      <c r="I33" s="17"/>
    </row>
    <row r="34" spans="2:9" x14ac:dyDescent="0.25">
      <c r="B34" s="41" t="s">
        <v>186</v>
      </c>
      <c r="C34" s="16"/>
      <c r="D34" s="16"/>
      <c r="E34" s="140">
        <f>1-Projections!B197</f>
        <v>0.88</v>
      </c>
      <c r="F34" s="16" t="s">
        <v>188</v>
      </c>
      <c r="G34" s="16"/>
      <c r="H34" s="16"/>
      <c r="I34" s="17"/>
    </row>
    <row r="35" spans="2:9" x14ac:dyDescent="0.25">
      <c r="B35" s="41" t="s">
        <v>77</v>
      </c>
      <c r="C35" s="16"/>
      <c r="D35" s="16"/>
      <c r="E35" s="140">
        <v>0.81</v>
      </c>
      <c r="F35" s="16" t="s">
        <v>95</v>
      </c>
      <c r="G35" s="16"/>
      <c r="H35" s="16"/>
      <c r="I35" s="17"/>
    </row>
    <row r="36" spans="2:9" x14ac:dyDescent="0.25">
      <c r="B36" s="41" t="s">
        <v>78</v>
      </c>
      <c r="C36" s="16"/>
      <c r="D36" s="16"/>
      <c r="E36" s="140">
        <v>0.14000000000000001</v>
      </c>
      <c r="F36" s="16" t="s">
        <v>95</v>
      </c>
      <c r="G36" s="16"/>
      <c r="H36" s="16"/>
      <c r="I36" s="17"/>
    </row>
    <row r="37" spans="2:9" x14ac:dyDescent="0.25">
      <c r="B37" s="41" t="s">
        <v>79</v>
      </c>
      <c r="C37" s="16"/>
      <c r="D37" s="16"/>
      <c r="E37" s="140">
        <v>0.05</v>
      </c>
      <c r="F37" s="16" t="s">
        <v>95</v>
      </c>
      <c r="G37" s="16"/>
      <c r="H37" s="16"/>
      <c r="I37" s="17"/>
    </row>
    <row r="38" spans="2:9" x14ac:dyDescent="0.25">
      <c r="B38" s="41" t="s">
        <v>82</v>
      </c>
      <c r="C38" s="16"/>
      <c r="D38" s="16"/>
      <c r="E38" s="136">
        <v>2</v>
      </c>
      <c r="F38" s="16" t="s">
        <v>83</v>
      </c>
      <c r="G38" s="16"/>
      <c r="H38" s="16"/>
      <c r="I38" s="17"/>
    </row>
    <row r="39" spans="2:9" x14ac:dyDescent="0.25">
      <c r="B39" s="37" t="s">
        <v>84</v>
      </c>
      <c r="C39" s="137"/>
      <c r="D39" s="39"/>
      <c r="E39" s="116">
        <v>4</v>
      </c>
      <c r="F39" s="39" t="s">
        <v>83</v>
      </c>
      <c r="G39" s="39" t="s">
        <v>85</v>
      </c>
      <c r="H39" s="39"/>
      <c r="I39" s="63"/>
    </row>
    <row r="42" spans="2:9" x14ac:dyDescent="0.25">
      <c r="B42" t="s">
        <v>91</v>
      </c>
    </row>
    <row r="43" spans="2:9" x14ac:dyDescent="0.25">
      <c r="B43" s="4" t="s">
        <v>90</v>
      </c>
      <c r="C43" s="115">
        <v>3.5000000000000003E-2</v>
      </c>
    </row>
    <row r="44" spans="2:9" x14ac:dyDescent="0.25">
      <c r="B44" s="41" t="s">
        <v>89</v>
      </c>
      <c r="C44" s="27">
        <v>2.3E-2</v>
      </c>
    </row>
    <row r="45" spans="2:9" x14ac:dyDescent="0.25">
      <c r="B45" s="41" t="s">
        <v>191</v>
      </c>
      <c r="C45" s="27">
        <f>Projections!B205</f>
        <v>5.8999999999999997E-2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20"/>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100</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K278"/>
  <sheetViews>
    <sheetView tabSelected="1" topLeftCell="O175" zoomScale="85" zoomScaleNormal="85" workbookViewId="0">
      <selection activeCell="AC185" sqref="AC185"/>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5" width="11.28515625" customWidth="1"/>
    <col min="16" max="16" width="10.7109375" customWidth="1"/>
    <col min="17" max="17" width="10.85546875" bestFit="1" customWidth="1"/>
    <col min="18" max="18" width="10.7109375" bestFit="1" customWidth="1"/>
    <col min="19" max="20" width="10.85546875" bestFit="1" customWidth="1"/>
    <col min="21" max="21" width="10.5703125" customWidth="1"/>
    <col min="22" max="22" width="11.28515625" bestFit="1" customWidth="1"/>
    <col min="23" max="23" width="11" customWidth="1"/>
    <col min="24" max="24" width="10.7109375" customWidth="1"/>
    <col min="25" max="26" width="10.85546875" bestFit="1" customWidth="1"/>
    <col min="27" max="27" width="10.85546875" customWidth="1"/>
    <col min="28" max="29" width="10.85546875" bestFit="1" customWidth="1"/>
    <col min="30" max="33" width="11.28515625" customWidth="1"/>
    <col min="34" max="34" width="10.7109375" bestFit="1" customWidth="1"/>
    <col min="35" max="37" width="10.7109375" customWidth="1"/>
    <col min="38" max="38" width="10.7109375" bestFit="1" customWidth="1"/>
    <col min="39" max="42" width="10.7109375" customWidth="1"/>
    <col min="43" max="43" width="11.7109375" bestFit="1" customWidth="1"/>
    <col min="44" max="47" width="11.7109375" customWidth="1"/>
    <col min="48" max="52" width="11.5703125" customWidth="1"/>
    <col min="53" max="53" width="11.7109375" customWidth="1"/>
    <col min="54" max="56" width="11.5703125" bestFit="1" customWidth="1"/>
    <col min="57" max="58" width="13.28515625" bestFit="1" customWidth="1"/>
    <col min="59" max="59" width="13.7109375" customWidth="1"/>
    <col min="60" max="60" width="11.5703125" style="69" bestFit="1" customWidth="1"/>
    <col min="61" max="61" width="11.140625" bestFit="1" customWidth="1"/>
    <col min="62" max="62" width="12.140625" bestFit="1" customWidth="1"/>
  </cols>
  <sheetData>
    <row r="1" spans="3:35" x14ac:dyDescent="0.25">
      <c r="C1" t="s">
        <v>362</v>
      </c>
      <c r="D1" t="s">
        <v>123</v>
      </c>
      <c r="E1" t="s">
        <v>363</v>
      </c>
    </row>
    <row r="2" spans="3:35" x14ac:dyDescent="0.25">
      <c r="C2" t="s">
        <v>359</v>
      </c>
      <c r="D2" t="s">
        <v>359</v>
      </c>
      <c r="E2" s="276">
        <v>2017</v>
      </c>
      <c r="F2" t="s">
        <v>279</v>
      </c>
    </row>
    <row r="3" spans="3:35" x14ac:dyDescent="0.25">
      <c r="C3" t="s">
        <v>359</v>
      </c>
      <c r="D3" t="s">
        <v>359</v>
      </c>
      <c r="E3" s="276">
        <v>2018</v>
      </c>
      <c r="F3" t="s">
        <v>278</v>
      </c>
    </row>
    <row r="4" spans="3:35" x14ac:dyDescent="0.25">
      <c r="C4" t="s">
        <v>359</v>
      </c>
      <c r="D4" t="s">
        <v>359</v>
      </c>
      <c r="E4" s="217">
        <v>43829</v>
      </c>
      <c r="F4" t="s">
        <v>264</v>
      </c>
    </row>
    <row r="5" spans="3:35" x14ac:dyDescent="0.25">
      <c r="C5" t="s">
        <v>359</v>
      </c>
      <c r="D5" t="s">
        <v>359</v>
      </c>
      <c r="E5" s="217">
        <v>43830</v>
      </c>
      <c r="F5" t="s">
        <v>267</v>
      </c>
    </row>
    <row r="6" spans="3:35" x14ac:dyDescent="0.25">
      <c r="D6" t="s">
        <v>359</v>
      </c>
      <c r="E6" t="s">
        <v>359</v>
      </c>
      <c r="F6" s="217">
        <v>43833</v>
      </c>
      <c r="G6" t="s">
        <v>263</v>
      </c>
    </row>
    <row r="7" spans="3:35" x14ac:dyDescent="0.25">
      <c r="D7" t="s">
        <v>359</v>
      </c>
      <c r="E7" t="s">
        <v>359</v>
      </c>
      <c r="F7" s="271">
        <v>43835</v>
      </c>
      <c r="G7" s="69" t="s">
        <v>259</v>
      </c>
      <c r="H7" s="69"/>
      <c r="I7" s="69"/>
      <c r="J7" s="69"/>
      <c r="K7" s="69"/>
      <c r="L7" s="69"/>
      <c r="M7" s="69"/>
      <c r="N7" s="165"/>
      <c r="P7" s="217"/>
    </row>
    <row r="8" spans="3:35" x14ac:dyDescent="0.25">
      <c r="D8" t="s">
        <v>359</v>
      </c>
      <c r="E8" t="s">
        <v>359</v>
      </c>
      <c r="F8" s="158">
        <v>43836</v>
      </c>
      <c r="G8" s="159" t="s">
        <v>193</v>
      </c>
      <c r="H8" s="159"/>
      <c r="I8" s="159"/>
      <c r="J8" s="159"/>
      <c r="K8" s="159"/>
      <c r="L8" s="159"/>
      <c r="M8" s="159"/>
      <c r="N8" s="158">
        <v>43850</v>
      </c>
      <c r="P8" s="217"/>
    </row>
    <row r="9" spans="3:35" x14ac:dyDescent="0.25">
      <c r="D9" t="s">
        <v>359</v>
      </c>
      <c r="E9" t="s">
        <v>359</v>
      </c>
      <c r="F9" s="271">
        <v>43837</v>
      </c>
      <c r="G9" s="69" t="s">
        <v>229</v>
      </c>
      <c r="H9" s="69"/>
      <c r="I9" s="69"/>
      <c r="J9" s="69"/>
      <c r="K9" s="69"/>
      <c r="L9" s="69"/>
      <c r="M9" s="69"/>
      <c r="N9" s="165"/>
      <c r="P9" s="217"/>
    </row>
    <row r="10" spans="3:35" x14ac:dyDescent="0.25">
      <c r="D10" t="s">
        <v>359</v>
      </c>
      <c r="E10" t="s">
        <v>359</v>
      </c>
      <c r="F10" s="165">
        <v>43838</v>
      </c>
      <c r="G10" s="69" t="s">
        <v>268</v>
      </c>
      <c r="H10" s="69"/>
      <c r="I10" s="69"/>
      <c r="J10" s="69"/>
      <c r="K10" s="69"/>
      <c r="L10" s="69"/>
      <c r="M10" s="69"/>
      <c r="N10" s="165"/>
      <c r="O10" s="69"/>
      <c r="P10" s="165"/>
      <c r="Q10" s="69"/>
      <c r="R10" s="69"/>
      <c r="S10" s="69"/>
      <c r="T10" s="69"/>
      <c r="V10" s="69"/>
      <c r="W10" s="69"/>
      <c r="X10" s="69"/>
      <c r="Y10" s="69"/>
      <c r="Z10" s="69"/>
      <c r="AA10" s="69"/>
      <c r="AB10" s="69"/>
      <c r="AC10" s="69"/>
      <c r="AD10" s="69"/>
      <c r="AE10" s="69"/>
      <c r="AF10" s="69"/>
      <c r="AG10" s="69"/>
      <c r="AH10" s="69"/>
    </row>
    <row r="11" spans="3:35" x14ac:dyDescent="0.25">
      <c r="D11" t="s">
        <v>359</v>
      </c>
      <c r="E11" t="s">
        <v>359</v>
      </c>
      <c r="F11" s="271">
        <v>43839</v>
      </c>
      <c r="G11" s="69" t="s">
        <v>230</v>
      </c>
      <c r="H11" s="69"/>
      <c r="I11" s="69"/>
      <c r="J11" s="69"/>
      <c r="K11" s="69"/>
      <c r="L11" s="69"/>
      <c r="M11" s="69"/>
      <c r="N11" s="165"/>
      <c r="P11" s="217"/>
    </row>
    <row r="12" spans="3:35" x14ac:dyDescent="0.25">
      <c r="D12" t="s">
        <v>359</v>
      </c>
      <c r="E12" t="s">
        <v>359</v>
      </c>
      <c r="F12" s="271">
        <v>43840</v>
      </c>
      <c r="G12" s="69" t="s">
        <v>301</v>
      </c>
      <c r="H12" s="69"/>
      <c r="I12" s="69"/>
      <c r="J12" s="69"/>
      <c r="K12" s="69"/>
      <c r="L12" s="69"/>
      <c r="M12" s="69"/>
      <c r="N12" s="165"/>
      <c r="P12" s="217"/>
    </row>
    <row r="13" spans="3:35" x14ac:dyDescent="0.25">
      <c r="D13" t="s">
        <v>359</v>
      </c>
      <c r="E13" t="s">
        <v>359</v>
      </c>
      <c r="F13" s="165">
        <v>43841</v>
      </c>
      <c r="G13" s="69" t="s">
        <v>237</v>
      </c>
      <c r="H13" s="69"/>
      <c r="I13" s="69"/>
      <c r="J13" s="69"/>
      <c r="K13" s="69"/>
      <c r="L13" s="69"/>
      <c r="M13" s="69"/>
      <c r="N13" s="165"/>
      <c r="P13" s="217"/>
    </row>
    <row r="14" spans="3:35" x14ac:dyDescent="0.25">
      <c r="D14" t="s">
        <v>359</v>
      </c>
      <c r="E14" t="s">
        <v>359</v>
      </c>
      <c r="F14" s="165">
        <v>43842</v>
      </c>
      <c r="G14" s="69" t="s">
        <v>265</v>
      </c>
      <c r="H14" s="69"/>
      <c r="I14" s="69"/>
      <c r="J14" s="69"/>
      <c r="K14" s="69"/>
      <c r="L14" s="69"/>
      <c r="M14" s="69"/>
      <c r="N14" s="165"/>
      <c r="P14" s="217"/>
    </row>
    <row r="15" spans="3:35" x14ac:dyDescent="0.25">
      <c r="D15" t="s">
        <v>359</v>
      </c>
      <c r="E15" t="s">
        <v>359</v>
      </c>
      <c r="F15" s="271">
        <v>43844</v>
      </c>
      <c r="G15" s="69" t="s">
        <v>260</v>
      </c>
      <c r="H15" s="69"/>
      <c r="I15" s="69"/>
      <c r="J15" s="69"/>
      <c r="K15" s="69"/>
      <c r="L15" s="69"/>
      <c r="M15" s="69"/>
      <c r="N15" s="165"/>
      <c r="P15" s="217"/>
    </row>
    <row r="16" spans="3:35" x14ac:dyDescent="0.25">
      <c r="D16" t="s">
        <v>359</v>
      </c>
      <c r="E16" t="s">
        <v>359</v>
      </c>
      <c r="F16" s="165">
        <v>43845</v>
      </c>
      <c r="G16" s="69" t="s">
        <v>271</v>
      </c>
      <c r="H16" s="69"/>
      <c r="I16" s="69"/>
      <c r="J16" s="69"/>
      <c r="K16" s="69"/>
      <c r="L16" s="69"/>
      <c r="M16" s="69"/>
      <c r="N16" s="165"/>
      <c r="P16" s="217"/>
      <c r="AI16" s="69"/>
    </row>
    <row r="17" spans="4:40" x14ac:dyDescent="0.25">
      <c r="D17" t="s">
        <v>359</v>
      </c>
      <c r="E17" t="s">
        <v>359</v>
      </c>
      <c r="F17" s="165">
        <v>43846</v>
      </c>
      <c r="G17" s="69" t="s">
        <v>194</v>
      </c>
      <c r="H17" s="69"/>
      <c r="I17" s="69"/>
      <c r="J17" s="69"/>
      <c r="K17" s="69"/>
      <c r="L17" s="69"/>
      <c r="M17" s="69"/>
      <c r="N17" s="165"/>
      <c r="P17" s="217"/>
    </row>
    <row r="18" spans="4:40" x14ac:dyDescent="0.25">
      <c r="D18" t="s">
        <v>359</v>
      </c>
      <c r="E18" t="s">
        <v>359</v>
      </c>
      <c r="F18" s="158">
        <v>43847</v>
      </c>
      <c r="G18" s="159" t="s">
        <v>222</v>
      </c>
      <c r="H18" s="159"/>
      <c r="I18" s="159"/>
      <c r="J18" s="159"/>
      <c r="K18" s="159"/>
      <c r="L18" s="159"/>
      <c r="M18" s="159"/>
      <c r="N18" s="158">
        <v>43861</v>
      </c>
      <c r="P18" s="217"/>
    </row>
    <row r="19" spans="4:40" x14ac:dyDescent="0.25">
      <c r="D19" t="s">
        <v>359</v>
      </c>
      <c r="E19" t="s">
        <v>359</v>
      </c>
      <c r="F19" s="270">
        <v>43848</v>
      </c>
      <c r="G19" s="69" t="s">
        <v>204</v>
      </c>
      <c r="H19" s="69"/>
      <c r="I19" s="69"/>
      <c r="J19" s="69"/>
      <c r="K19" s="69"/>
      <c r="L19" s="69"/>
      <c r="M19" s="69"/>
      <c r="N19" s="165"/>
      <c r="O19" s="69"/>
      <c r="P19" s="165"/>
    </row>
    <row r="20" spans="4:40" x14ac:dyDescent="0.25">
      <c r="D20">
        <v>1</v>
      </c>
      <c r="E20" t="s">
        <v>359</v>
      </c>
      <c r="F20" s="217">
        <v>43851</v>
      </c>
      <c r="G20" t="s">
        <v>195</v>
      </c>
    </row>
    <row r="21" spans="4:40" x14ac:dyDescent="0.25">
      <c r="D21">
        <v>1</v>
      </c>
      <c r="E21" t="s">
        <v>359</v>
      </c>
      <c r="F21" s="270">
        <v>43852</v>
      </c>
      <c r="G21" t="s">
        <v>196</v>
      </c>
    </row>
    <row r="22" spans="4:40" x14ac:dyDescent="0.25">
      <c r="D22">
        <v>1</v>
      </c>
      <c r="E22" t="s">
        <v>359</v>
      </c>
      <c r="F22" s="271">
        <v>43853</v>
      </c>
      <c r="G22" s="69" t="s">
        <v>235</v>
      </c>
      <c r="H22" s="69"/>
      <c r="I22" s="69"/>
      <c r="J22" s="69"/>
      <c r="K22" s="69"/>
      <c r="L22" s="69"/>
      <c r="M22" s="69"/>
      <c r="N22" s="69"/>
      <c r="O22" s="69"/>
      <c r="P22" s="69"/>
      <c r="Q22" s="69"/>
      <c r="R22" s="69"/>
      <c r="S22" s="69"/>
      <c r="T22" s="69"/>
      <c r="V22" s="69"/>
      <c r="W22" s="69"/>
      <c r="X22" s="69"/>
      <c r="Y22" s="69"/>
      <c r="Z22" s="69"/>
      <c r="AA22" s="69"/>
      <c r="AB22" s="69"/>
      <c r="AC22" s="69"/>
      <c r="AD22" s="69"/>
      <c r="AE22" s="69"/>
      <c r="AF22" s="69"/>
      <c r="AG22" s="69"/>
      <c r="AH22" s="69"/>
    </row>
    <row r="23" spans="4:40" x14ac:dyDescent="0.25">
      <c r="D23">
        <v>2</v>
      </c>
      <c r="E23" s="69" t="s">
        <v>359</v>
      </c>
      <c r="F23" s="270">
        <v>43854</v>
      </c>
      <c r="G23" s="69" t="s">
        <v>231</v>
      </c>
      <c r="H23" s="69"/>
      <c r="I23" s="69"/>
      <c r="J23" s="69"/>
      <c r="K23" s="69"/>
      <c r="L23" s="69"/>
      <c r="M23" s="69"/>
      <c r="N23" s="69"/>
      <c r="O23" s="69"/>
      <c r="P23" s="69"/>
      <c r="Q23" s="69"/>
      <c r="R23" s="69"/>
      <c r="S23" s="69"/>
      <c r="T23" s="69"/>
      <c r="V23" s="69"/>
      <c r="W23" s="69"/>
      <c r="X23" s="69"/>
      <c r="Y23" s="69"/>
      <c r="Z23" s="69"/>
      <c r="AA23" s="69"/>
      <c r="AB23" s="69"/>
      <c r="AC23" s="69"/>
      <c r="AD23" s="69"/>
      <c r="AE23" s="69"/>
      <c r="AF23" s="69"/>
      <c r="AG23" s="69"/>
      <c r="AH23" s="69"/>
    </row>
    <row r="24" spans="4:40" x14ac:dyDescent="0.25">
      <c r="D24">
        <v>5</v>
      </c>
      <c r="E24" s="69" t="s">
        <v>359</v>
      </c>
      <c r="F24" s="165">
        <v>43857</v>
      </c>
      <c r="G24" s="69" t="s">
        <v>205</v>
      </c>
      <c r="H24" s="69"/>
      <c r="I24" s="69"/>
      <c r="J24" s="69"/>
      <c r="K24" s="69"/>
      <c r="L24" s="69"/>
      <c r="M24" s="69"/>
      <c r="N24" s="69"/>
      <c r="O24" s="69"/>
      <c r="P24" s="69"/>
      <c r="Q24" s="69"/>
      <c r="R24" s="69"/>
      <c r="S24" s="69"/>
      <c r="T24" s="69"/>
      <c r="V24" s="69"/>
      <c r="W24" s="69"/>
      <c r="X24" s="69"/>
      <c r="Y24" s="69"/>
      <c r="Z24" s="69"/>
      <c r="AA24" s="69"/>
      <c r="AB24" s="69"/>
      <c r="AC24" s="69"/>
      <c r="AD24" s="69"/>
      <c r="AE24" s="69"/>
      <c r="AF24" s="69"/>
      <c r="AG24" s="69"/>
      <c r="AH24" s="69"/>
    </row>
    <row r="25" spans="4:40" x14ac:dyDescent="0.25">
      <c r="D25">
        <v>5</v>
      </c>
      <c r="E25" s="69" t="s">
        <v>359</v>
      </c>
      <c r="F25" s="158">
        <v>43858</v>
      </c>
      <c r="G25" s="159" t="s">
        <v>270</v>
      </c>
      <c r="H25" s="159"/>
      <c r="I25" s="159"/>
      <c r="J25" s="159"/>
      <c r="K25" s="159"/>
      <c r="L25" s="159"/>
      <c r="M25" s="159"/>
      <c r="N25" s="159"/>
      <c r="O25" s="158">
        <v>43873</v>
      </c>
      <c r="P25" s="69"/>
      <c r="Q25" s="69"/>
      <c r="R25" s="69"/>
      <c r="S25" s="69"/>
      <c r="T25" s="69"/>
      <c r="V25" s="69"/>
      <c r="W25" s="69"/>
      <c r="X25" s="69"/>
      <c r="Y25" s="69"/>
      <c r="Z25" s="69"/>
      <c r="AA25" s="69"/>
      <c r="AB25" s="69"/>
      <c r="AC25" s="69"/>
      <c r="AD25" s="69"/>
      <c r="AE25" s="69"/>
      <c r="AF25" s="69"/>
      <c r="AG25" s="69"/>
      <c r="AH25" s="69"/>
    </row>
    <row r="26" spans="4:40" x14ac:dyDescent="0.25">
      <c r="D26">
        <v>5</v>
      </c>
      <c r="E26" s="69" t="s">
        <v>359</v>
      </c>
      <c r="F26" s="165">
        <v>43859</v>
      </c>
      <c r="G26" s="69" t="s">
        <v>206</v>
      </c>
      <c r="H26" s="69"/>
      <c r="I26" s="69"/>
      <c r="J26" s="69"/>
      <c r="K26" s="69"/>
      <c r="L26" s="69"/>
      <c r="M26" s="69"/>
      <c r="N26" s="69"/>
      <c r="O26" s="69"/>
      <c r="P26" s="69"/>
      <c r="Q26" s="69"/>
      <c r="R26" s="69"/>
      <c r="S26" s="69"/>
      <c r="T26" s="69"/>
      <c r="V26" s="69"/>
      <c r="W26" s="69"/>
      <c r="X26" s="69"/>
      <c r="Y26" s="69"/>
      <c r="Z26" s="69"/>
      <c r="AA26" s="69"/>
      <c r="AB26" s="69"/>
      <c r="AC26" s="69"/>
      <c r="AD26" s="69"/>
      <c r="AE26" s="69"/>
      <c r="AF26" s="69"/>
      <c r="AG26" s="69"/>
      <c r="AH26" s="69"/>
    </row>
    <row r="27" spans="4:40" x14ac:dyDescent="0.25">
      <c r="D27">
        <v>5</v>
      </c>
      <c r="E27" s="69" t="s">
        <v>359</v>
      </c>
      <c r="F27" s="217">
        <v>43859</v>
      </c>
      <c r="G27" t="s">
        <v>197</v>
      </c>
      <c r="Q27" s="217"/>
    </row>
    <row r="28" spans="4:40" x14ac:dyDescent="0.25">
      <c r="D28">
        <v>6</v>
      </c>
      <c r="E28" s="69" t="s">
        <v>359</v>
      </c>
      <c r="F28" s="271">
        <v>43860</v>
      </c>
      <c r="G28" t="s">
        <v>238</v>
      </c>
      <c r="AI28" s="69"/>
      <c r="AJ28" s="69"/>
      <c r="AK28" s="69"/>
      <c r="AL28" s="69"/>
      <c r="AM28" s="69"/>
      <c r="AN28" s="69"/>
    </row>
    <row r="29" spans="4:40" x14ac:dyDescent="0.25">
      <c r="D29">
        <v>6</v>
      </c>
      <c r="E29" s="69" t="s">
        <v>359</v>
      </c>
      <c r="F29" s="270">
        <v>43860</v>
      </c>
      <c r="G29" t="s">
        <v>207</v>
      </c>
      <c r="AI29" s="69"/>
    </row>
    <row r="30" spans="4:40" x14ac:dyDescent="0.25">
      <c r="D30">
        <v>6</v>
      </c>
      <c r="E30" s="69" t="s">
        <v>359</v>
      </c>
      <c r="F30" s="270">
        <v>43860</v>
      </c>
      <c r="G30" t="s">
        <v>282</v>
      </c>
      <c r="AI30" s="69"/>
    </row>
    <row r="31" spans="4:40" x14ac:dyDescent="0.25">
      <c r="D31">
        <v>6</v>
      </c>
      <c r="E31" s="69" t="s">
        <v>359</v>
      </c>
      <c r="F31" s="165">
        <v>43860</v>
      </c>
      <c r="G31" s="69" t="s">
        <v>266</v>
      </c>
      <c r="H31" s="69"/>
      <c r="I31" s="69"/>
      <c r="J31" s="69"/>
      <c r="K31" s="69"/>
      <c r="L31" s="69"/>
      <c r="M31" s="69"/>
      <c r="N31" s="69"/>
      <c r="O31" s="69"/>
      <c r="P31" s="69"/>
      <c r="Q31" s="69"/>
      <c r="R31" s="69"/>
      <c r="S31" s="69"/>
      <c r="T31" s="69"/>
      <c r="V31" s="69"/>
      <c r="W31" s="69"/>
      <c r="X31" s="69"/>
      <c r="Y31" s="69"/>
      <c r="Z31" s="69"/>
      <c r="AA31" s="69"/>
      <c r="AB31" s="69"/>
      <c r="AC31" s="69"/>
      <c r="AD31" s="69"/>
      <c r="AE31" s="69"/>
      <c r="AF31" s="69"/>
      <c r="AG31" s="69"/>
      <c r="AH31" s="69"/>
      <c r="AI31" s="69"/>
    </row>
    <row r="32" spans="4:40" x14ac:dyDescent="0.25">
      <c r="D32">
        <v>6</v>
      </c>
      <c r="E32" s="69" t="s">
        <v>359</v>
      </c>
      <c r="F32" s="165">
        <v>43860</v>
      </c>
      <c r="G32" s="69" t="s">
        <v>360</v>
      </c>
      <c r="H32" s="69"/>
      <c r="I32" s="69"/>
      <c r="J32" s="69"/>
      <c r="K32" s="69"/>
      <c r="L32" s="69"/>
      <c r="M32" s="69"/>
      <c r="N32" s="69"/>
      <c r="O32" s="69"/>
      <c r="P32" s="69"/>
      <c r="Q32" s="69"/>
      <c r="R32" s="69"/>
      <c r="S32" s="69"/>
      <c r="T32" s="69"/>
      <c r="V32" s="69"/>
      <c r="W32" s="69"/>
      <c r="X32" s="69"/>
      <c r="Y32" s="69"/>
      <c r="Z32" s="69"/>
      <c r="AA32" s="69"/>
      <c r="AB32" s="69"/>
      <c r="AC32" s="69"/>
      <c r="AD32" s="69"/>
      <c r="AE32" s="69"/>
      <c r="AF32" s="69"/>
      <c r="AG32" s="69"/>
      <c r="AH32" s="69"/>
      <c r="AI32" s="69"/>
    </row>
    <row r="33" spans="4:52" x14ac:dyDescent="0.25">
      <c r="D33">
        <v>7</v>
      </c>
      <c r="E33" s="69" t="s">
        <v>359</v>
      </c>
      <c r="F33" s="165">
        <v>43861</v>
      </c>
      <c r="G33" s="69" t="s">
        <v>244</v>
      </c>
      <c r="H33" s="69"/>
      <c r="I33" s="69"/>
      <c r="J33" s="69"/>
      <c r="K33" s="69"/>
      <c r="L33" s="69"/>
      <c r="M33" s="69"/>
      <c r="N33" s="69"/>
      <c r="O33" s="165"/>
      <c r="AI33" s="69"/>
    </row>
    <row r="34" spans="4:52" x14ac:dyDescent="0.25">
      <c r="D34">
        <v>7</v>
      </c>
      <c r="E34" s="69" t="s">
        <v>359</v>
      </c>
      <c r="F34" s="270">
        <v>43861</v>
      </c>
      <c r="G34" s="69" t="s">
        <v>247</v>
      </c>
      <c r="H34" s="69"/>
      <c r="I34" s="69"/>
      <c r="J34" s="69"/>
      <c r="K34" s="69"/>
      <c r="L34" s="69"/>
      <c r="M34" s="69"/>
      <c r="N34" s="69"/>
      <c r="O34" s="165"/>
    </row>
    <row r="35" spans="4:52" x14ac:dyDescent="0.25">
      <c r="D35">
        <v>7</v>
      </c>
      <c r="E35" s="69" t="s">
        <v>359</v>
      </c>
      <c r="F35" s="165">
        <v>43861</v>
      </c>
      <c r="G35" s="69" t="s">
        <v>245</v>
      </c>
      <c r="H35" s="69"/>
      <c r="I35" s="69"/>
      <c r="J35" s="69"/>
      <c r="K35" s="69"/>
      <c r="L35" s="69"/>
      <c r="M35" s="69"/>
      <c r="N35" s="69"/>
      <c r="O35" s="165"/>
    </row>
    <row r="36" spans="4:52" x14ac:dyDescent="0.25">
      <c r="G36" s="165" t="s">
        <v>208</v>
      </c>
      <c r="H36" t="s">
        <v>209</v>
      </c>
    </row>
    <row r="37" spans="4:52" x14ac:dyDescent="0.25">
      <c r="E37" s="69"/>
      <c r="G37" s="272" t="s">
        <v>233</v>
      </c>
      <c r="H37" s="69" t="s">
        <v>234</v>
      </c>
      <c r="I37" s="69"/>
      <c r="L37" s="69"/>
      <c r="M37" s="69"/>
      <c r="N37" s="69"/>
      <c r="O37" s="69"/>
      <c r="P37" s="165"/>
      <c r="Q37" s="165"/>
      <c r="R37" s="69"/>
      <c r="S37" s="69"/>
      <c r="T37" s="69"/>
      <c r="U37" s="69"/>
      <c r="V37" s="69"/>
      <c r="W37" s="69"/>
      <c r="X37" s="69"/>
      <c r="Y37" s="69"/>
      <c r="Z37" s="69"/>
      <c r="AA37" s="69"/>
      <c r="AB37" s="69"/>
      <c r="AC37" s="69"/>
      <c r="AD37" s="69"/>
      <c r="AE37" s="69"/>
      <c r="AF37" s="69"/>
      <c r="AG37" s="69"/>
      <c r="AH37" s="69"/>
    </row>
    <row r="38" spans="4:52" x14ac:dyDescent="0.25">
      <c r="F38">
        <v>8</v>
      </c>
      <c r="G38" t="s">
        <v>359</v>
      </c>
      <c r="H38" s="217">
        <v>43862</v>
      </c>
      <c r="I38" t="s">
        <v>241</v>
      </c>
    </row>
    <row r="39" spans="4:52" x14ac:dyDescent="0.25">
      <c r="F39">
        <v>11</v>
      </c>
      <c r="G39" s="69" t="s">
        <v>359</v>
      </c>
      <c r="H39" s="158">
        <v>43863</v>
      </c>
      <c r="I39" s="159" t="s">
        <v>199</v>
      </c>
      <c r="J39" s="159"/>
      <c r="K39" s="159"/>
      <c r="L39" s="159"/>
      <c r="M39" s="159"/>
      <c r="N39" s="158"/>
      <c r="O39" s="158">
        <v>43877</v>
      </c>
      <c r="AI39" s="69"/>
    </row>
    <row r="40" spans="4:52" x14ac:dyDescent="0.25">
      <c r="E40" s="69"/>
      <c r="F40">
        <v>11</v>
      </c>
      <c r="G40" s="69" t="s">
        <v>359</v>
      </c>
      <c r="H40" s="270">
        <v>43863</v>
      </c>
      <c r="I40" s="69" t="s">
        <v>287</v>
      </c>
      <c r="J40" s="69"/>
      <c r="K40" s="69"/>
      <c r="L40" s="69"/>
      <c r="M40" s="69"/>
      <c r="N40" s="165"/>
      <c r="O40" s="165"/>
      <c r="P40" s="69"/>
      <c r="Q40" s="69"/>
      <c r="R40" s="69"/>
      <c r="S40" s="69"/>
      <c r="T40" s="69"/>
      <c r="V40" s="69"/>
      <c r="W40" s="69"/>
      <c r="X40" s="69"/>
      <c r="Y40" s="69"/>
      <c r="Z40" s="69"/>
      <c r="AA40" s="69"/>
      <c r="AB40" s="69"/>
      <c r="AC40" s="69"/>
      <c r="AD40" s="69"/>
      <c r="AE40" s="69"/>
      <c r="AF40" s="69"/>
      <c r="AG40" s="69"/>
      <c r="AH40" s="69"/>
    </row>
    <row r="41" spans="4:52" x14ac:dyDescent="0.25">
      <c r="F41">
        <v>12</v>
      </c>
      <c r="G41" s="69" t="s">
        <v>359</v>
      </c>
      <c r="H41" s="165">
        <v>43866</v>
      </c>
      <c r="I41" s="69" t="s">
        <v>246</v>
      </c>
      <c r="J41" s="69"/>
      <c r="K41" s="69"/>
      <c r="L41" s="69"/>
      <c r="M41" s="69"/>
      <c r="N41" s="165"/>
      <c r="O41" s="165"/>
      <c r="AJ41" s="69"/>
      <c r="AK41" s="69"/>
      <c r="AL41" s="69"/>
      <c r="AM41" s="69"/>
      <c r="AN41" s="69"/>
      <c r="AO41" s="69"/>
      <c r="AP41" s="69"/>
      <c r="AQ41" s="69"/>
      <c r="AR41" s="69"/>
      <c r="AS41" s="69"/>
      <c r="AT41" s="69"/>
      <c r="AU41" s="69"/>
      <c r="AV41" s="69"/>
      <c r="AW41" s="69"/>
      <c r="AX41" s="69"/>
      <c r="AY41" s="69"/>
      <c r="AZ41" s="69"/>
    </row>
    <row r="42" spans="4:52" x14ac:dyDescent="0.25">
      <c r="F42">
        <v>12</v>
      </c>
      <c r="G42" s="69" t="s">
        <v>361</v>
      </c>
      <c r="H42" s="165">
        <v>43867</v>
      </c>
      <c r="I42" s="16" t="s">
        <v>311</v>
      </c>
      <c r="J42" s="69"/>
      <c r="K42" s="69"/>
      <c r="L42" s="69"/>
      <c r="M42" s="69"/>
      <c r="N42" s="165"/>
      <c r="O42" s="165"/>
      <c r="AJ42" s="69"/>
      <c r="AK42" s="69"/>
      <c r="AL42" s="69"/>
      <c r="AM42" s="69"/>
      <c r="AN42" s="69"/>
    </row>
    <row r="43" spans="4:52" x14ac:dyDescent="0.25">
      <c r="F43">
        <v>12</v>
      </c>
      <c r="G43" s="69" t="s">
        <v>361</v>
      </c>
      <c r="H43" s="165">
        <v>43868</v>
      </c>
      <c r="I43" s="69" t="s">
        <v>262</v>
      </c>
      <c r="J43" s="69"/>
      <c r="K43" s="69"/>
      <c r="L43" s="69"/>
      <c r="M43" s="69"/>
      <c r="N43" s="165"/>
      <c r="O43" s="165"/>
      <c r="AJ43" s="69"/>
      <c r="AK43" s="69"/>
      <c r="AL43" s="69"/>
      <c r="AM43" s="69"/>
      <c r="AN43" s="69"/>
    </row>
    <row r="44" spans="4:52" x14ac:dyDescent="0.25">
      <c r="F44">
        <v>12</v>
      </c>
      <c r="G44" s="69" t="s">
        <v>361</v>
      </c>
      <c r="H44" s="270">
        <v>43871</v>
      </c>
      <c r="I44" s="69" t="s">
        <v>283</v>
      </c>
      <c r="J44" s="69"/>
      <c r="K44" s="69"/>
      <c r="L44" s="69"/>
      <c r="M44" s="69"/>
      <c r="N44" s="165"/>
      <c r="O44" s="165"/>
      <c r="AJ44" s="69"/>
      <c r="AK44" s="69"/>
      <c r="AL44" s="69"/>
      <c r="AM44" s="69"/>
      <c r="AN44" s="69"/>
    </row>
    <row r="45" spans="4:52" x14ac:dyDescent="0.25">
      <c r="F45">
        <v>12</v>
      </c>
      <c r="G45" s="69" t="s">
        <v>361</v>
      </c>
      <c r="H45" s="270">
        <v>43872</v>
      </c>
      <c r="I45" s="69" t="s">
        <v>277</v>
      </c>
      <c r="J45" s="69"/>
      <c r="K45" s="69"/>
      <c r="L45" s="69"/>
      <c r="M45" s="69"/>
      <c r="N45" s="165"/>
      <c r="O45" s="165"/>
      <c r="AJ45" s="69"/>
      <c r="AK45" s="69"/>
      <c r="AL45" s="69"/>
      <c r="AM45" s="69"/>
      <c r="AN45" s="69"/>
    </row>
    <row r="46" spans="4:52" x14ac:dyDescent="0.25">
      <c r="F46">
        <v>12</v>
      </c>
      <c r="G46" s="69" t="s">
        <v>361</v>
      </c>
      <c r="H46" s="271">
        <v>43873</v>
      </c>
      <c r="I46" s="69" t="s">
        <v>274</v>
      </c>
      <c r="J46" s="69"/>
      <c r="K46" s="69"/>
      <c r="L46" s="69"/>
      <c r="M46" s="69"/>
      <c r="N46" s="165"/>
      <c r="O46" s="165"/>
      <c r="AI46" s="69"/>
    </row>
    <row r="47" spans="4:52" x14ac:dyDescent="0.25">
      <c r="G47">
        <v>15</v>
      </c>
      <c r="H47" s="69" t="s">
        <v>361</v>
      </c>
      <c r="I47" s="270">
        <v>43880</v>
      </c>
      <c r="J47" s="69" t="s">
        <v>210</v>
      </c>
      <c r="M47" s="69"/>
      <c r="N47" s="69"/>
      <c r="O47" s="69"/>
      <c r="P47" s="69"/>
      <c r="Q47" s="165"/>
      <c r="AI47" s="69"/>
    </row>
    <row r="48" spans="4:52" x14ac:dyDescent="0.25">
      <c r="E48" s="165"/>
      <c r="F48" s="165"/>
      <c r="G48" s="69"/>
      <c r="H48" s="69"/>
      <c r="I48" s="69"/>
      <c r="J48" s="69"/>
      <c r="K48" s="69"/>
      <c r="L48" s="69"/>
      <c r="M48" s="69"/>
      <c r="N48">
        <v>35</v>
      </c>
      <c r="O48" s="69" t="s">
        <v>361</v>
      </c>
      <c r="P48" s="217">
        <v>43882</v>
      </c>
      <c r="Q48" t="s">
        <v>211</v>
      </c>
    </row>
    <row r="49" spans="3:52" x14ac:dyDescent="0.25">
      <c r="E49" s="165"/>
      <c r="F49" s="165"/>
      <c r="G49" s="69"/>
      <c r="H49" s="69"/>
      <c r="I49" s="69"/>
      <c r="J49" s="69"/>
      <c r="K49" s="69"/>
      <c r="L49" s="69"/>
      <c r="M49" s="69"/>
      <c r="N49">
        <v>35</v>
      </c>
      <c r="O49" s="69" t="s">
        <v>361</v>
      </c>
      <c r="P49" s="271">
        <v>43883</v>
      </c>
      <c r="Q49" t="s">
        <v>232</v>
      </c>
    </row>
    <row r="50" spans="3:52" x14ac:dyDescent="0.25">
      <c r="E50" s="165"/>
      <c r="F50" s="165"/>
      <c r="G50" s="69"/>
      <c r="H50" s="69"/>
      <c r="I50" s="69"/>
      <c r="J50" s="69"/>
      <c r="K50" s="69"/>
      <c r="L50" s="69"/>
      <c r="M50" s="69"/>
      <c r="N50">
        <v>35</v>
      </c>
      <c r="O50" s="69" t="s">
        <v>361</v>
      </c>
      <c r="P50" s="217">
        <v>43884</v>
      </c>
      <c r="Q50" t="s">
        <v>212</v>
      </c>
      <c r="AJ50" s="69"/>
      <c r="AK50" s="69"/>
      <c r="AL50" s="69"/>
      <c r="AM50" s="69"/>
      <c r="AN50" s="69"/>
    </row>
    <row r="51" spans="3:52" x14ac:dyDescent="0.25">
      <c r="D51" s="217"/>
      <c r="N51">
        <v>53</v>
      </c>
      <c r="O51" s="69" t="s">
        <v>361</v>
      </c>
      <c r="P51" s="270">
        <v>43885</v>
      </c>
      <c r="Q51" t="s">
        <v>198</v>
      </c>
    </row>
    <row r="52" spans="3:52" x14ac:dyDescent="0.25">
      <c r="N52">
        <v>57</v>
      </c>
      <c r="O52" s="69" t="s">
        <v>361</v>
      </c>
      <c r="P52" s="165">
        <v>43886</v>
      </c>
      <c r="Q52" t="s">
        <v>213</v>
      </c>
    </row>
    <row r="53" spans="3:52" x14ac:dyDescent="0.25">
      <c r="N53">
        <v>57</v>
      </c>
      <c r="O53" s="69" t="s">
        <v>361</v>
      </c>
      <c r="P53" s="270">
        <v>43886</v>
      </c>
      <c r="Q53" t="s">
        <v>214</v>
      </c>
      <c r="S53" s="69"/>
      <c r="T53" s="69"/>
      <c r="AO53" s="69"/>
      <c r="AP53" s="69"/>
    </row>
    <row r="54" spans="3:52" x14ac:dyDescent="0.25">
      <c r="N54">
        <v>57</v>
      </c>
      <c r="O54" s="69" t="s">
        <v>361</v>
      </c>
      <c r="P54" s="270">
        <v>43886</v>
      </c>
      <c r="Q54" t="s">
        <v>276</v>
      </c>
      <c r="AO54" s="69"/>
      <c r="AP54" s="69"/>
    </row>
    <row r="55" spans="3:52" x14ac:dyDescent="0.25">
      <c r="N55">
        <v>57</v>
      </c>
      <c r="O55" s="69" t="s">
        <v>361</v>
      </c>
      <c r="P55" s="165">
        <v>43886</v>
      </c>
      <c r="Q55" t="s">
        <v>215</v>
      </c>
      <c r="AO55" s="69"/>
      <c r="AP55" s="69"/>
    </row>
    <row r="56" spans="3:52" x14ac:dyDescent="0.25">
      <c r="N56">
        <v>60</v>
      </c>
      <c r="O56" s="69" t="s">
        <v>361</v>
      </c>
      <c r="P56" s="270">
        <v>43887</v>
      </c>
      <c r="Q56" t="s">
        <v>216</v>
      </c>
      <c r="AO56" s="69"/>
      <c r="AP56" s="69"/>
    </row>
    <row r="57" spans="3:52" x14ac:dyDescent="0.25">
      <c r="N57">
        <v>60</v>
      </c>
      <c r="O57" s="69" t="s">
        <v>361</v>
      </c>
      <c r="P57" s="270">
        <v>43888</v>
      </c>
      <c r="Q57" t="s">
        <v>272</v>
      </c>
      <c r="AO57" s="69"/>
      <c r="AP57" s="69"/>
    </row>
    <row r="58" spans="3:52" x14ac:dyDescent="0.25">
      <c r="N58">
        <v>60</v>
      </c>
      <c r="O58" s="69" t="s">
        <v>361</v>
      </c>
      <c r="P58" s="270">
        <v>43888</v>
      </c>
      <c r="Q58" t="s">
        <v>273</v>
      </c>
      <c r="AJ58" s="69"/>
      <c r="AK58" s="69"/>
      <c r="AL58" s="69"/>
      <c r="AM58" s="69"/>
      <c r="AN58" s="69"/>
    </row>
    <row r="59" spans="3:52" x14ac:dyDescent="0.25">
      <c r="N59">
        <v>63</v>
      </c>
      <c r="O59" s="69" t="s">
        <v>361</v>
      </c>
      <c r="P59" s="270">
        <v>43889</v>
      </c>
      <c r="Q59" t="s">
        <v>284</v>
      </c>
      <c r="AJ59" s="69"/>
      <c r="AK59" s="69"/>
      <c r="AL59" s="69"/>
      <c r="AM59" s="69"/>
      <c r="AN59" s="69"/>
    </row>
    <row r="60" spans="3:52" x14ac:dyDescent="0.25">
      <c r="O60">
        <v>68</v>
      </c>
      <c r="P60" s="69">
        <v>1</v>
      </c>
      <c r="Q60" s="158">
        <v>43890</v>
      </c>
      <c r="R60" s="159" t="s">
        <v>200</v>
      </c>
      <c r="S60" s="159"/>
      <c r="T60" s="159"/>
      <c r="U60" s="159"/>
      <c r="V60" s="158">
        <f>Q60+14</f>
        <v>43904</v>
      </c>
      <c r="AQ60" s="69"/>
      <c r="AR60" s="69"/>
      <c r="AS60" s="69"/>
      <c r="AT60" s="69"/>
      <c r="AU60" s="69"/>
      <c r="AV60" s="69"/>
      <c r="AW60" s="69"/>
      <c r="AX60" s="69"/>
      <c r="AY60" s="69"/>
      <c r="AZ60" s="69"/>
    </row>
    <row r="61" spans="3:52" x14ac:dyDescent="0.25">
      <c r="O61">
        <v>68</v>
      </c>
      <c r="P61" s="69">
        <v>1</v>
      </c>
      <c r="Q61" s="270">
        <v>43890</v>
      </c>
      <c r="R61" s="69" t="s">
        <v>285</v>
      </c>
      <c r="S61" s="69"/>
      <c r="T61" s="165"/>
      <c r="AQ61" s="69"/>
      <c r="AR61" s="69"/>
      <c r="AS61" s="69"/>
      <c r="AT61" s="69"/>
      <c r="AU61" s="69"/>
      <c r="AV61" s="69"/>
      <c r="AW61" s="69"/>
      <c r="AX61" s="69"/>
      <c r="AY61" s="69"/>
      <c r="AZ61" s="69"/>
    </row>
    <row r="62" spans="3:52" x14ac:dyDescent="0.25">
      <c r="E62" s="165"/>
      <c r="O62">
        <v>100</v>
      </c>
      <c r="P62" s="69">
        <v>6</v>
      </c>
      <c r="Q62" s="158">
        <v>43892</v>
      </c>
      <c r="R62" s="158" t="s">
        <v>177</v>
      </c>
      <c r="S62" s="158"/>
      <c r="T62" s="159"/>
      <c r="U62" s="159"/>
      <c r="V62" s="159"/>
      <c r="W62" s="158">
        <v>43906</v>
      </c>
      <c r="AO62" s="69"/>
      <c r="AP62" s="69"/>
      <c r="AQ62" s="69"/>
      <c r="AR62" s="69"/>
      <c r="AS62" s="69"/>
      <c r="AT62" s="69"/>
      <c r="AU62" s="69"/>
      <c r="AV62" s="69"/>
      <c r="AW62" s="69"/>
      <c r="AX62" s="69"/>
      <c r="AY62" s="69"/>
      <c r="AZ62" s="69"/>
    </row>
    <row r="63" spans="3:52" x14ac:dyDescent="0.25">
      <c r="C63" s="69"/>
      <c r="D63" s="69"/>
      <c r="E63" s="165"/>
      <c r="F63" s="69"/>
      <c r="G63" s="69"/>
      <c r="H63" s="69"/>
      <c r="I63" s="69"/>
      <c r="J63" s="69"/>
      <c r="K63" s="69"/>
      <c r="L63" s="69"/>
      <c r="M63" s="69"/>
      <c r="N63" s="69"/>
      <c r="O63">
        <v>100</v>
      </c>
      <c r="P63" s="69">
        <v>6</v>
      </c>
      <c r="Q63" s="270">
        <v>43892</v>
      </c>
      <c r="R63" s="165" t="s">
        <v>286</v>
      </c>
      <c r="S63" s="165"/>
      <c r="T63" s="69"/>
      <c r="U63" s="165"/>
      <c r="V63" s="69"/>
      <c r="W63" s="69"/>
      <c r="Z63" s="69"/>
      <c r="AA63" s="69"/>
      <c r="AB63" s="69"/>
      <c r="AC63" s="69"/>
      <c r="AD63" s="69"/>
      <c r="AE63" s="69"/>
      <c r="AF63" s="69"/>
      <c r="AG63" s="69"/>
      <c r="AH63" s="69"/>
      <c r="AQ63" s="69"/>
      <c r="AR63" s="69"/>
      <c r="AS63" s="69"/>
      <c r="AT63" s="69"/>
      <c r="AU63" s="69"/>
      <c r="AV63" s="69"/>
      <c r="AW63" s="69"/>
      <c r="AX63" s="69"/>
      <c r="AY63" s="69"/>
      <c r="AZ63" s="69"/>
    </row>
    <row r="64" spans="3:52" x14ac:dyDescent="0.25">
      <c r="C64" s="69"/>
      <c r="D64" s="69"/>
      <c r="E64" s="165"/>
      <c r="F64" s="69"/>
      <c r="G64" s="69"/>
      <c r="H64" s="69"/>
      <c r="I64" s="69"/>
      <c r="J64" s="69"/>
      <c r="K64" s="69"/>
      <c r="L64" s="69"/>
      <c r="M64" s="69"/>
      <c r="N64" s="69"/>
      <c r="O64" s="69"/>
      <c r="P64">
        <v>124</v>
      </c>
      <c r="Q64" s="69">
        <v>9</v>
      </c>
      <c r="R64" s="165">
        <v>43893</v>
      </c>
      <c r="S64" s="69" t="s">
        <v>226</v>
      </c>
      <c r="V64" s="69"/>
      <c r="W64" s="165"/>
      <c r="X64" s="69"/>
      <c r="Y64" s="69"/>
      <c r="Z64" s="69"/>
      <c r="AA64" s="69"/>
      <c r="AB64" s="69"/>
      <c r="AC64" s="69"/>
      <c r="AD64" s="69"/>
      <c r="AE64" s="69"/>
      <c r="AF64" s="69"/>
      <c r="AG64" s="69"/>
      <c r="AH64" s="69"/>
      <c r="AQ64" s="69"/>
      <c r="AR64" s="69"/>
      <c r="AS64" s="69"/>
      <c r="AT64" s="69"/>
      <c r="AU64" s="69"/>
      <c r="AV64" s="69"/>
      <c r="AW64" s="69"/>
      <c r="AX64" s="69"/>
      <c r="AY64" s="69"/>
      <c r="AZ64" s="69"/>
    </row>
    <row r="65" spans="3:59" x14ac:dyDescent="0.25">
      <c r="E65" s="165"/>
      <c r="P65">
        <v>158</v>
      </c>
      <c r="Q65">
        <v>11</v>
      </c>
      <c r="R65" s="270">
        <v>43894</v>
      </c>
      <c r="S65" t="s">
        <v>201</v>
      </c>
      <c r="AQ65" s="69"/>
      <c r="AR65" s="69"/>
      <c r="AS65" s="69"/>
      <c r="AT65" s="69"/>
      <c r="AU65" s="69"/>
      <c r="AV65" s="69"/>
      <c r="AW65" s="69"/>
      <c r="AX65" s="69"/>
      <c r="AY65" s="69"/>
      <c r="AZ65" s="69"/>
      <c r="BA65" s="69"/>
      <c r="BB65" s="69"/>
      <c r="BC65" s="69"/>
      <c r="BD65" s="69"/>
      <c r="BE65" s="69"/>
      <c r="BF65" s="69"/>
      <c r="BG65" s="69"/>
    </row>
    <row r="66" spans="3:59" x14ac:dyDescent="0.25">
      <c r="E66" s="165"/>
      <c r="P66">
        <v>158</v>
      </c>
      <c r="Q66">
        <v>11</v>
      </c>
      <c r="R66" s="270">
        <v>43894</v>
      </c>
      <c r="S66" t="s">
        <v>330</v>
      </c>
      <c r="AQ66" s="69"/>
      <c r="AR66" s="69"/>
      <c r="AS66" s="69"/>
      <c r="AT66" s="69"/>
      <c r="AU66" s="69"/>
      <c r="AV66" s="69"/>
      <c r="AW66" s="69"/>
      <c r="AX66" s="69"/>
      <c r="AY66" s="69"/>
      <c r="AZ66" s="69"/>
    </row>
    <row r="67" spans="3:59" x14ac:dyDescent="0.25">
      <c r="E67" s="165"/>
      <c r="Q67">
        <v>221</v>
      </c>
      <c r="R67" s="166">
        <v>12</v>
      </c>
      <c r="S67" s="270">
        <v>43895</v>
      </c>
      <c r="T67" s="69" t="s">
        <v>331</v>
      </c>
      <c r="W67" s="165"/>
      <c r="AQ67" s="69"/>
      <c r="AR67" s="69"/>
      <c r="AS67" s="69"/>
      <c r="AT67" s="69"/>
      <c r="AU67" s="69"/>
      <c r="AV67" s="69"/>
      <c r="AW67" s="69"/>
      <c r="AX67" s="69"/>
      <c r="AY67" s="69"/>
      <c r="AZ67" s="69"/>
    </row>
    <row r="68" spans="3:59" x14ac:dyDescent="0.25">
      <c r="E68" s="165"/>
      <c r="Q68">
        <v>221</v>
      </c>
      <c r="R68" s="166">
        <v>12</v>
      </c>
      <c r="S68" s="270">
        <v>43895</v>
      </c>
      <c r="T68" s="69" t="s">
        <v>281</v>
      </c>
      <c r="W68" s="165"/>
      <c r="AQ68" s="69"/>
      <c r="AR68" s="69"/>
      <c r="AS68" s="69"/>
      <c r="AT68" s="69"/>
      <c r="AU68" s="69"/>
      <c r="AV68" s="69"/>
      <c r="AW68" s="69"/>
      <c r="AX68" s="69"/>
      <c r="AY68" s="69"/>
      <c r="AZ68" s="69"/>
    </row>
    <row r="69" spans="3:59" x14ac:dyDescent="0.25">
      <c r="E69" s="165"/>
      <c r="Q69">
        <v>319</v>
      </c>
      <c r="R69" s="166">
        <v>15</v>
      </c>
      <c r="S69" s="270">
        <v>43896</v>
      </c>
      <c r="T69" s="69" t="s">
        <v>239</v>
      </c>
      <c r="W69" s="165"/>
      <c r="AI69" s="69"/>
      <c r="AQ69" s="69"/>
      <c r="AR69" s="69"/>
      <c r="AS69" s="69"/>
      <c r="AT69" s="69"/>
      <c r="AU69" s="69"/>
      <c r="AV69" s="69"/>
      <c r="AW69" s="69"/>
      <c r="AX69" s="69"/>
      <c r="AY69" s="69"/>
      <c r="AZ69" s="69"/>
    </row>
    <row r="70" spans="3:59" x14ac:dyDescent="0.25">
      <c r="C70" s="69"/>
      <c r="D70" s="69"/>
      <c r="E70" s="165"/>
      <c r="F70" s="69"/>
      <c r="G70" s="69"/>
      <c r="H70" s="69"/>
      <c r="I70" s="69"/>
      <c r="J70" s="69"/>
      <c r="K70" s="69"/>
      <c r="L70" s="69"/>
      <c r="M70" s="69"/>
      <c r="N70" s="69"/>
      <c r="O70" s="69"/>
      <c r="P70" s="69"/>
      <c r="Q70">
        <v>319</v>
      </c>
      <c r="R70" s="166">
        <v>15</v>
      </c>
      <c r="S70" s="165">
        <v>43896</v>
      </c>
      <c r="T70" s="69" t="s">
        <v>250</v>
      </c>
      <c r="W70" s="165"/>
      <c r="X70" s="69"/>
      <c r="Y70" s="69"/>
      <c r="Z70" s="69"/>
      <c r="AA70" s="69"/>
      <c r="AB70" s="69"/>
      <c r="AC70" s="69"/>
      <c r="AD70" s="69"/>
      <c r="AE70" s="69"/>
      <c r="AF70" s="69"/>
      <c r="AG70" s="69"/>
      <c r="AH70" s="69"/>
      <c r="AI70" s="69"/>
      <c r="AO70" s="69"/>
      <c r="AP70" s="69"/>
    </row>
    <row r="71" spans="3:59" x14ac:dyDescent="0.25">
      <c r="C71" s="69"/>
      <c r="D71" s="69"/>
      <c r="E71" s="165"/>
      <c r="F71" s="69"/>
      <c r="G71" s="69"/>
      <c r="H71" s="69"/>
      <c r="I71" s="69"/>
      <c r="J71" s="69"/>
      <c r="K71" s="69"/>
      <c r="L71" s="69"/>
      <c r="M71" s="69"/>
      <c r="N71" s="69"/>
      <c r="O71" s="69"/>
      <c r="P71" s="69"/>
      <c r="Q71">
        <v>319</v>
      </c>
      <c r="R71" s="166">
        <v>15</v>
      </c>
      <c r="S71" s="270">
        <v>43896</v>
      </c>
      <c r="T71" s="69" t="s">
        <v>288</v>
      </c>
      <c r="W71" s="165"/>
      <c r="X71" s="69"/>
      <c r="Y71" s="69"/>
      <c r="Z71" s="69"/>
      <c r="AA71" s="69"/>
      <c r="AB71" s="69"/>
      <c r="AC71" s="69"/>
      <c r="AD71" s="69"/>
      <c r="AE71" s="69"/>
      <c r="AF71" s="69"/>
      <c r="AG71" s="69"/>
      <c r="AH71" s="69"/>
      <c r="AO71" s="69"/>
      <c r="AP71" s="69"/>
    </row>
    <row r="72" spans="3:59" x14ac:dyDescent="0.25">
      <c r="C72" s="69"/>
      <c r="D72" s="69"/>
      <c r="E72" s="165"/>
      <c r="F72" s="69"/>
      <c r="G72" s="69"/>
      <c r="H72" s="69"/>
      <c r="I72" s="69"/>
      <c r="J72" s="69"/>
      <c r="K72" s="69"/>
      <c r="L72" s="69"/>
      <c r="M72" s="69"/>
      <c r="N72" s="69"/>
      <c r="O72" s="69"/>
      <c r="P72" s="69"/>
      <c r="Q72">
        <v>319</v>
      </c>
      <c r="R72" s="166">
        <v>15</v>
      </c>
      <c r="S72" s="270">
        <v>43896</v>
      </c>
      <c r="T72" s="69" t="s">
        <v>289</v>
      </c>
      <c r="W72" s="165"/>
      <c r="X72" s="69"/>
      <c r="Y72" s="69"/>
      <c r="Z72" s="69"/>
      <c r="AA72" s="69"/>
      <c r="AB72" s="69"/>
      <c r="AC72" s="69"/>
      <c r="AD72" s="69"/>
      <c r="AE72" s="69"/>
      <c r="AF72" s="69"/>
      <c r="AG72" s="69"/>
      <c r="AH72" s="69"/>
    </row>
    <row r="73" spans="3:59" x14ac:dyDescent="0.25">
      <c r="C73" s="69"/>
      <c r="D73" s="69"/>
      <c r="E73" s="165"/>
      <c r="F73" s="69"/>
      <c r="G73" s="69"/>
      <c r="H73" s="69"/>
      <c r="I73" s="69"/>
      <c r="J73" s="69"/>
      <c r="K73" s="69"/>
      <c r="L73" s="69"/>
      <c r="M73" s="69"/>
      <c r="N73" s="69"/>
      <c r="O73" s="69"/>
      <c r="P73" s="69"/>
      <c r="Q73">
        <v>435</v>
      </c>
      <c r="R73" s="166">
        <v>19</v>
      </c>
      <c r="S73" s="270">
        <v>43897</v>
      </c>
      <c r="T73" s="69" t="s">
        <v>275</v>
      </c>
      <c r="W73" s="165"/>
      <c r="X73" s="69"/>
      <c r="Y73" s="69"/>
      <c r="Z73" s="69"/>
      <c r="AA73" s="69"/>
      <c r="AB73" s="69"/>
      <c r="AC73" s="69"/>
      <c r="AD73" s="69"/>
      <c r="AE73" s="69"/>
      <c r="AF73" s="69"/>
      <c r="AG73" s="69"/>
      <c r="AH73" s="69"/>
    </row>
    <row r="74" spans="3:59" x14ac:dyDescent="0.25">
      <c r="C74" s="69"/>
      <c r="D74" s="69"/>
      <c r="E74" s="165"/>
      <c r="F74" s="69"/>
      <c r="G74" s="69"/>
      <c r="H74" s="69"/>
      <c r="I74" s="69"/>
      <c r="J74" s="69"/>
      <c r="K74" s="69"/>
      <c r="L74" s="69"/>
      <c r="M74" s="69"/>
      <c r="N74" s="69"/>
      <c r="O74" s="69"/>
      <c r="P74" s="69"/>
      <c r="Q74" s="69"/>
      <c r="R74" s="69">
        <v>541</v>
      </c>
      <c r="S74" s="69">
        <v>22</v>
      </c>
      <c r="T74" s="270">
        <v>43898</v>
      </c>
      <c r="U74" s="165" t="s">
        <v>290</v>
      </c>
      <c r="V74" s="69"/>
      <c r="W74" s="69"/>
      <c r="X74" s="69"/>
      <c r="Y74" s="69"/>
      <c r="Z74" s="69"/>
      <c r="AA74" s="69"/>
      <c r="AB74" s="69"/>
      <c r="AC74" s="69"/>
      <c r="AD74" s="69"/>
      <c r="AE74" s="69"/>
      <c r="AF74" s="69"/>
      <c r="AG74" s="69"/>
      <c r="AH74" s="69"/>
    </row>
    <row r="75" spans="3:59" x14ac:dyDescent="0.25">
      <c r="E75" s="165"/>
      <c r="R75">
        <v>704</v>
      </c>
      <c r="S75" s="69">
        <v>26</v>
      </c>
      <c r="T75" s="270">
        <v>43899</v>
      </c>
      <c r="U75" s="165" t="s">
        <v>357</v>
      </c>
    </row>
    <row r="76" spans="3:59" x14ac:dyDescent="0.25">
      <c r="E76" s="165"/>
      <c r="R76">
        <v>704</v>
      </c>
      <c r="S76" s="69">
        <v>26</v>
      </c>
      <c r="T76" s="270">
        <v>43899</v>
      </c>
      <c r="U76" s="165" t="s">
        <v>332</v>
      </c>
      <c r="AI76" s="69"/>
    </row>
    <row r="77" spans="3:59" s="69" customFormat="1" x14ac:dyDescent="0.25">
      <c r="C77"/>
      <c r="D77"/>
      <c r="E77" s="165"/>
      <c r="F77"/>
      <c r="G77"/>
      <c r="H77"/>
      <c r="I77"/>
      <c r="J77"/>
      <c r="K77"/>
      <c r="L77"/>
      <c r="M77"/>
      <c r="N77"/>
      <c r="O77"/>
      <c r="P77"/>
      <c r="Q77"/>
      <c r="R77">
        <v>704</v>
      </c>
      <c r="S77" s="69">
        <v>26</v>
      </c>
      <c r="T77" s="270">
        <v>43899</v>
      </c>
      <c r="U77" s="165" t="s">
        <v>217</v>
      </c>
      <c r="V77"/>
      <c r="W77"/>
      <c r="X77"/>
      <c r="Y77"/>
      <c r="Z77"/>
      <c r="AA77"/>
      <c r="AB77"/>
      <c r="AC77"/>
      <c r="AD77"/>
      <c r="AE77"/>
      <c r="AF77"/>
      <c r="AG77"/>
      <c r="AH77"/>
      <c r="AJ77"/>
      <c r="AK77"/>
      <c r="AL77"/>
      <c r="AM77"/>
      <c r="AN77"/>
      <c r="AO77"/>
      <c r="AP77"/>
      <c r="AQ77"/>
      <c r="AR77"/>
      <c r="AS77"/>
      <c r="AT77"/>
      <c r="AU77"/>
      <c r="AV77"/>
      <c r="AW77"/>
      <c r="AX77"/>
      <c r="AY77"/>
      <c r="AZ77"/>
      <c r="BA77"/>
      <c r="BB77"/>
      <c r="BC77"/>
      <c r="BD77"/>
      <c r="BE77"/>
      <c r="BF77"/>
      <c r="BG77"/>
    </row>
    <row r="78" spans="3:59" x14ac:dyDescent="0.25">
      <c r="E78" s="165"/>
      <c r="R78">
        <v>994</v>
      </c>
      <c r="S78" s="69">
        <v>30</v>
      </c>
      <c r="T78" s="270">
        <v>43900</v>
      </c>
      <c r="U78" s="165" t="s">
        <v>291</v>
      </c>
      <c r="AI78" s="69"/>
    </row>
    <row r="79" spans="3:59" x14ac:dyDescent="0.25">
      <c r="E79" s="165"/>
      <c r="R79">
        <v>994</v>
      </c>
      <c r="S79" s="69">
        <v>30</v>
      </c>
      <c r="T79" s="270">
        <v>43900</v>
      </c>
      <c r="U79" s="165" t="s">
        <v>218</v>
      </c>
      <c r="AI79" s="69"/>
    </row>
    <row r="80" spans="3:59" x14ac:dyDescent="0.25">
      <c r="E80" s="165"/>
      <c r="R80" s="165"/>
      <c r="S80" s="2">
        <v>1301</v>
      </c>
      <c r="T80" s="35">
        <v>38</v>
      </c>
      <c r="U80" s="271">
        <v>43901</v>
      </c>
      <c r="V80" s="69" t="s">
        <v>203</v>
      </c>
      <c r="AI80" s="69"/>
    </row>
    <row r="81" spans="3:59" x14ac:dyDescent="0.25">
      <c r="E81" s="165"/>
      <c r="R81" s="165"/>
      <c r="S81" s="2">
        <v>1301</v>
      </c>
      <c r="T81" s="35">
        <v>38</v>
      </c>
      <c r="U81" s="270">
        <v>43901</v>
      </c>
      <c r="V81" s="69" t="s">
        <v>249</v>
      </c>
      <c r="AJ81" s="69"/>
      <c r="AK81" s="69"/>
      <c r="AL81" s="69"/>
      <c r="AM81" s="69"/>
      <c r="AN81" s="69"/>
      <c r="AQ81" s="69"/>
      <c r="AR81" s="69"/>
      <c r="AS81" s="69"/>
      <c r="AT81" s="69"/>
      <c r="AU81" s="69"/>
      <c r="AV81" s="69"/>
      <c r="AW81" s="69"/>
      <c r="AX81" s="69"/>
      <c r="AY81" s="69"/>
      <c r="AZ81" s="69"/>
    </row>
    <row r="82" spans="3:59" x14ac:dyDescent="0.25">
      <c r="E82" s="165"/>
      <c r="S82" s="2">
        <v>1301</v>
      </c>
      <c r="T82" s="35">
        <v>38</v>
      </c>
      <c r="U82" s="270">
        <v>43901</v>
      </c>
      <c r="V82" t="s">
        <v>223</v>
      </c>
      <c r="AJ82" s="69"/>
      <c r="AK82" s="69"/>
      <c r="AL82" s="69"/>
      <c r="AM82" s="69"/>
      <c r="AN82" s="69"/>
    </row>
    <row r="83" spans="3:59" x14ac:dyDescent="0.25">
      <c r="C83" s="69"/>
      <c r="D83" s="69"/>
      <c r="E83" s="165"/>
      <c r="F83" s="69"/>
      <c r="G83" s="69"/>
      <c r="H83" s="69"/>
      <c r="I83" s="69"/>
      <c r="J83" s="69"/>
      <c r="K83" s="69"/>
      <c r="L83" s="69"/>
      <c r="M83" s="69"/>
      <c r="N83" s="69"/>
      <c r="O83" s="69"/>
      <c r="P83" s="69"/>
      <c r="Q83" s="69"/>
      <c r="R83" s="165"/>
      <c r="S83" s="2">
        <v>1630</v>
      </c>
      <c r="T83" s="35">
        <v>41</v>
      </c>
      <c r="U83" s="165">
        <v>43902</v>
      </c>
      <c r="V83" s="69" t="s">
        <v>242</v>
      </c>
      <c r="W83" s="69"/>
      <c r="X83" s="69"/>
      <c r="Y83" s="69"/>
      <c r="Z83" s="69"/>
      <c r="AA83" s="69"/>
      <c r="AB83" s="69"/>
      <c r="AC83" s="69"/>
      <c r="AD83" s="69"/>
      <c r="AE83" s="69"/>
      <c r="AH83" s="69"/>
    </row>
    <row r="84" spans="3:59" x14ac:dyDescent="0.25">
      <c r="E84" s="165"/>
      <c r="S84" s="2">
        <v>1630</v>
      </c>
      <c r="T84" s="2">
        <v>41</v>
      </c>
      <c r="U84" s="270">
        <v>43902</v>
      </c>
      <c r="V84" t="s">
        <v>219</v>
      </c>
      <c r="BA84" s="69"/>
      <c r="BB84" s="69"/>
    </row>
    <row r="85" spans="3:59" x14ac:dyDescent="0.25">
      <c r="E85" s="165"/>
      <c r="S85" s="2">
        <v>2183</v>
      </c>
      <c r="T85" s="35">
        <v>48</v>
      </c>
      <c r="U85" s="158">
        <v>43903</v>
      </c>
      <c r="V85" s="159" t="s">
        <v>178</v>
      </c>
      <c r="W85" s="159"/>
      <c r="X85" s="159"/>
      <c r="Y85" s="159"/>
      <c r="Z85" s="159"/>
      <c r="AA85" s="159"/>
      <c r="AB85" s="159"/>
      <c r="AC85" s="159"/>
      <c r="AD85" s="159"/>
      <c r="AE85" s="159"/>
      <c r="AF85" s="159"/>
      <c r="AG85" s="159"/>
      <c r="AH85" s="159"/>
      <c r="BA85" s="69"/>
      <c r="BB85" s="69"/>
    </row>
    <row r="86" spans="3:59" x14ac:dyDescent="0.25">
      <c r="E86" s="165"/>
      <c r="S86" s="2">
        <v>2183</v>
      </c>
      <c r="T86" s="2">
        <v>48</v>
      </c>
      <c r="U86" s="270">
        <v>43903</v>
      </c>
      <c r="V86" t="s">
        <v>220</v>
      </c>
      <c r="BA86" s="69"/>
      <c r="BB86" s="69"/>
      <c r="BC86" s="69"/>
      <c r="BD86" s="69"/>
      <c r="BE86" s="69"/>
      <c r="BF86" s="69"/>
      <c r="BG86" s="69"/>
    </row>
    <row r="87" spans="3:59" x14ac:dyDescent="0.25">
      <c r="E87" s="165"/>
      <c r="S87" s="2">
        <v>2183</v>
      </c>
      <c r="T87" s="2">
        <v>48</v>
      </c>
      <c r="U87" s="270">
        <v>43903</v>
      </c>
      <c r="V87" t="s">
        <v>221</v>
      </c>
      <c r="BA87" s="69"/>
      <c r="BB87" s="69"/>
    </row>
    <row r="88" spans="3:59" x14ac:dyDescent="0.25">
      <c r="C88" s="69"/>
      <c r="D88" s="69"/>
      <c r="E88" s="165"/>
      <c r="F88" s="69"/>
      <c r="G88" s="69"/>
      <c r="H88" s="69"/>
      <c r="I88" s="69"/>
      <c r="J88" s="69"/>
      <c r="K88" s="69"/>
      <c r="L88" s="69"/>
      <c r="M88" s="69"/>
      <c r="N88" s="69"/>
      <c r="O88" s="69"/>
      <c r="P88" s="69"/>
      <c r="Q88" s="69"/>
      <c r="R88" s="69"/>
      <c r="S88" s="2">
        <v>2183</v>
      </c>
      <c r="T88" s="35">
        <v>48</v>
      </c>
      <c r="U88" s="165">
        <v>43903</v>
      </c>
      <c r="V88" s="69" t="s">
        <v>257</v>
      </c>
      <c r="W88" s="69"/>
      <c r="X88" s="69"/>
      <c r="Y88" s="69"/>
      <c r="Z88" s="69"/>
      <c r="AA88" s="69"/>
      <c r="AB88" s="69"/>
      <c r="AC88" s="69"/>
      <c r="AD88" s="69"/>
      <c r="AE88" s="69"/>
      <c r="AH88" s="69"/>
      <c r="AJ88" s="69"/>
      <c r="AK88" s="69"/>
      <c r="AL88" s="69"/>
      <c r="AM88" s="69"/>
      <c r="AN88" s="69"/>
      <c r="BA88" s="69"/>
      <c r="BB88" s="69"/>
    </row>
    <row r="89" spans="3:59" x14ac:dyDescent="0.25">
      <c r="D89" s="165"/>
      <c r="Q89" s="69"/>
      <c r="R89" s="165"/>
      <c r="S89" s="69"/>
      <c r="T89" s="2">
        <v>2771</v>
      </c>
      <c r="U89" s="2">
        <v>58</v>
      </c>
      <c r="V89" s="158">
        <v>43904</v>
      </c>
      <c r="W89" s="159" t="s">
        <v>173</v>
      </c>
      <c r="X89" s="159"/>
      <c r="Y89" s="158"/>
      <c r="Z89" s="158"/>
      <c r="AA89" s="159"/>
      <c r="AB89" s="158">
        <v>43918</v>
      </c>
      <c r="AI89" s="69"/>
      <c r="AJ89" s="69"/>
      <c r="AK89" s="69"/>
      <c r="AL89" s="69"/>
      <c r="AM89" s="69"/>
      <c r="AN89" s="69"/>
      <c r="BA89" s="69"/>
      <c r="BB89" s="69"/>
    </row>
    <row r="90" spans="3:59" x14ac:dyDescent="0.25">
      <c r="D90" s="69"/>
      <c r="E90" s="69"/>
      <c r="F90" s="165"/>
      <c r="G90" s="165"/>
      <c r="H90" s="165"/>
      <c r="I90" s="165"/>
      <c r="J90" s="165"/>
      <c r="K90" s="165"/>
      <c r="L90" s="165"/>
      <c r="M90" s="165"/>
      <c r="N90" s="165"/>
      <c r="O90" s="165"/>
      <c r="P90" s="69"/>
      <c r="Q90" s="69"/>
      <c r="U90" s="2">
        <v>4604</v>
      </c>
      <c r="V90" s="2">
        <v>95</v>
      </c>
      <c r="W90" s="158">
        <v>43906</v>
      </c>
      <c r="X90" s="159" t="s">
        <v>366</v>
      </c>
      <c r="Y90" s="159"/>
      <c r="Z90" s="159"/>
      <c r="AA90" s="159"/>
      <c r="AB90" s="159"/>
      <c r="AC90" s="159"/>
      <c r="AD90" s="159"/>
      <c r="AE90" s="159"/>
      <c r="AF90" s="159"/>
      <c r="AG90" s="159"/>
      <c r="AH90" s="159"/>
      <c r="AJ90" s="69"/>
      <c r="AK90" s="69"/>
      <c r="AL90" s="69"/>
      <c r="AM90" s="69"/>
      <c r="AN90" s="69"/>
      <c r="BA90" s="69"/>
      <c r="BB90" s="69"/>
    </row>
    <row r="91" spans="3:59" x14ac:dyDescent="0.25">
      <c r="D91" s="69"/>
      <c r="E91" s="69"/>
      <c r="F91" s="69"/>
      <c r="G91" s="69"/>
      <c r="H91" s="69"/>
      <c r="I91" s="69"/>
      <c r="J91" s="69"/>
      <c r="K91" s="69"/>
      <c r="L91" s="69"/>
      <c r="M91" s="69"/>
      <c r="N91" s="69"/>
      <c r="O91" s="69"/>
      <c r="P91" s="165"/>
      <c r="Q91" s="69"/>
      <c r="R91" s="69"/>
      <c r="S91" s="69"/>
      <c r="T91" s="165"/>
      <c r="U91" s="2">
        <v>6357</v>
      </c>
      <c r="V91" s="2">
        <v>121</v>
      </c>
      <c r="W91" s="270">
        <v>43907</v>
      </c>
      <c r="X91" t="s">
        <v>202</v>
      </c>
      <c r="AJ91" s="69"/>
      <c r="AK91" s="69"/>
      <c r="AL91" s="69"/>
      <c r="AM91" s="69"/>
      <c r="AN91" s="69"/>
      <c r="BA91" s="69"/>
      <c r="BB91" s="69"/>
    </row>
    <row r="92" spans="3:59" x14ac:dyDescent="0.25">
      <c r="V92" s="2">
        <v>9317</v>
      </c>
      <c r="W92" s="35">
        <v>171</v>
      </c>
      <c r="X92" s="158">
        <v>43908</v>
      </c>
      <c r="Y92" s="159" t="s">
        <v>174</v>
      </c>
      <c r="Z92" s="158">
        <v>43922</v>
      </c>
      <c r="AJ92" s="69"/>
      <c r="AK92" s="69"/>
      <c r="AL92" s="69"/>
      <c r="AM92" s="69"/>
      <c r="AN92" s="69"/>
      <c r="BA92" s="69"/>
      <c r="BB92" s="69"/>
    </row>
    <row r="93" spans="3:59" x14ac:dyDescent="0.25">
      <c r="V93" s="2">
        <v>9317</v>
      </c>
      <c r="W93" s="35">
        <v>171</v>
      </c>
      <c r="X93" s="270">
        <v>43908</v>
      </c>
      <c r="Y93" s="69" t="s">
        <v>243</v>
      </c>
      <c r="Z93" s="165"/>
      <c r="AO93" s="69"/>
      <c r="AP93" s="69"/>
      <c r="AQ93" s="69"/>
      <c r="AR93" s="69"/>
      <c r="AS93" s="69"/>
      <c r="AT93" s="69"/>
      <c r="AU93" s="69"/>
      <c r="AV93" s="69"/>
      <c r="AW93" s="69"/>
      <c r="AX93" s="69"/>
      <c r="AY93" s="69"/>
      <c r="AZ93" s="69"/>
      <c r="BA93" s="69"/>
      <c r="BB93" s="69"/>
    </row>
    <row r="94" spans="3:59" x14ac:dyDescent="0.25">
      <c r="V94" s="2">
        <v>13898</v>
      </c>
      <c r="W94" s="35">
        <v>239</v>
      </c>
      <c r="X94" s="270">
        <v>43909</v>
      </c>
      <c r="Y94" s="69" t="s">
        <v>292</v>
      </c>
      <c r="Z94" s="165"/>
      <c r="AA94" s="69"/>
      <c r="AD94" s="69"/>
      <c r="AE94" s="69"/>
      <c r="AF94" s="69"/>
      <c r="AI94" s="69"/>
      <c r="AO94" s="69"/>
      <c r="AP94" s="69"/>
    </row>
    <row r="95" spans="3:59" x14ac:dyDescent="0.25">
      <c r="W95" s="2">
        <v>19551</v>
      </c>
      <c r="X95" s="2">
        <v>309</v>
      </c>
      <c r="Y95" s="158">
        <v>43910</v>
      </c>
      <c r="Z95" s="159" t="s">
        <v>175</v>
      </c>
      <c r="AB95" s="159"/>
      <c r="AC95" s="158">
        <v>43924</v>
      </c>
    </row>
    <row r="96" spans="3:59" x14ac:dyDescent="0.25">
      <c r="X96" s="2">
        <v>44189</v>
      </c>
      <c r="Y96" s="2">
        <v>689</v>
      </c>
      <c r="Z96" s="270">
        <v>43913</v>
      </c>
      <c r="AA96" s="69" t="s">
        <v>328</v>
      </c>
      <c r="AB96" s="69"/>
      <c r="AC96" s="165"/>
    </row>
    <row r="97" spans="3:59" x14ac:dyDescent="0.25">
      <c r="X97" s="35">
        <v>55398</v>
      </c>
      <c r="Y97" s="35">
        <v>957</v>
      </c>
      <c r="Z97" s="158">
        <v>43914</v>
      </c>
      <c r="AA97" s="159" t="s">
        <v>176</v>
      </c>
      <c r="AB97" s="159"/>
      <c r="AC97" s="158">
        <v>43928</v>
      </c>
      <c r="AE97" s="69"/>
      <c r="AF97" s="69"/>
    </row>
    <row r="98" spans="3:59" s="69" customFormat="1" x14ac:dyDescent="0.25">
      <c r="C98"/>
      <c r="D98"/>
      <c r="E98"/>
      <c r="F98"/>
      <c r="G98"/>
      <c r="H98"/>
      <c r="I98"/>
      <c r="J98"/>
      <c r="K98"/>
      <c r="L98"/>
      <c r="M98"/>
      <c r="N98"/>
      <c r="O98"/>
      <c r="P98"/>
      <c r="Q98"/>
      <c r="R98"/>
      <c r="S98"/>
      <c r="T98"/>
      <c r="U98"/>
      <c r="V98"/>
      <c r="W98"/>
      <c r="X98" s="35">
        <v>55398</v>
      </c>
      <c r="Y98" s="35">
        <v>957</v>
      </c>
      <c r="Z98" s="270">
        <v>43914</v>
      </c>
      <c r="AA98" t="s">
        <v>240</v>
      </c>
      <c r="AB98"/>
      <c r="AC98"/>
      <c r="AD98"/>
      <c r="AG98"/>
      <c r="AH98"/>
      <c r="AI98"/>
      <c r="AJ98"/>
      <c r="AK98"/>
      <c r="AL98"/>
      <c r="AM98"/>
      <c r="AN98"/>
      <c r="AO98"/>
      <c r="AP98"/>
      <c r="AQ98"/>
      <c r="AR98"/>
      <c r="AS98"/>
      <c r="AT98"/>
      <c r="AU98"/>
      <c r="AV98"/>
      <c r="AW98"/>
      <c r="AX98"/>
      <c r="AY98"/>
      <c r="AZ98"/>
      <c r="BA98"/>
      <c r="BB98"/>
      <c r="BC98"/>
      <c r="BD98"/>
      <c r="BE98"/>
      <c r="BF98"/>
      <c r="BG98"/>
    </row>
    <row r="99" spans="3:59" x14ac:dyDescent="0.25">
      <c r="C99" s="69"/>
      <c r="D99" s="69"/>
      <c r="E99" s="69"/>
      <c r="F99" s="69"/>
      <c r="G99" s="69"/>
      <c r="H99" s="69"/>
      <c r="I99" s="69"/>
      <c r="J99" s="69"/>
      <c r="K99" s="69"/>
      <c r="L99" s="69"/>
      <c r="M99" s="69"/>
      <c r="N99" s="69"/>
      <c r="O99" s="69"/>
      <c r="P99" s="69"/>
      <c r="Q99" s="69"/>
      <c r="R99" s="69"/>
      <c r="S99" s="69"/>
      <c r="T99" s="69"/>
      <c r="U99" s="69"/>
      <c r="V99" s="69"/>
      <c r="W99" s="69"/>
      <c r="X99" s="35">
        <v>55398</v>
      </c>
      <c r="Y99" s="35">
        <v>957</v>
      </c>
      <c r="Z99" s="165">
        <v>43914</v>
      </c>
      <c r="AA99" s="69" t="s">
        <v>300</v>
      </c>
      <c r="AB99" s="69"/>
      <c r="AC99" s="69"/>
      <c r="AD99" s="69"/>
      <c r="AE99" s="69"/>
      <c r="AF99" s="69"/>
      <c r="AG99" s="69"/>
      <c r="AH99" s="69"/>
    </row>
    <row r="100" spans="3:59" x14ac:dyDescent="0.25">
      <c r="C100" s="69"/>
      <c r="D100" s="69"/>
      <c r="E100" s="69"/>
      <c r="F100" s="69"/>
      <c r="G100" s="69"/>
      <c r="H100" s="69"/>
      <c r="I100" s="69"/>
      <c r="J100" s="69"/>
      <c r="K100" s="69"/>
      <c r="L100" s="69"/>
      <c r="M100" s="69"/>
      <c r="N100" s="69"/>
      <c r="O100" s="69"/>
      <c r="P100" s="69"/>
      <c r="Q100" s="69"/>
      <c r="R100" s="69"/>
      <c r="S100" s="69"/>
      <c r="T100" s="69"/>
      <c r="U100" s="69"/>
      <c r="V100" s="69"/>
      <c r="W100" s="69"/>
      <c r="X100" s="69"/>
      <c r="Y100" s="35">
        <v>105217</v>
      </c>
      <c r="Z100" s="2">
        <v>2110</v>
      </c>
      <c r="AA100" s="217">
        <v>43917</v>
      </c>
      <c r="AB100" s="217" t="s">
        <v>224</v>
      </c>
      <c r="AC100" s="69"/>
      <c r="AD100" s="69"/>
      <c r="AE100" s="69"/>
      <c r="AF100" s="69"/>
      <c r="AG100" s="69"/>
      <c r="AH100" s="69"/>
      <c r="AO100" s="69"/>
      <c r="AP100" s="69"/>
      <c r="AQ100" s="69"/>
      <c r="AR100" s="69"/>
      <c r="AS100" s="69"/>
      <c r="AT100" s="69"/>
      <c r="AU100" s="69"/>
      <c r="AV100" s="69"/>
      <c r="AW100" s="69"/>
      <c r="AX100" s="69"/>
      <c r="AY100" s="69"/>
      <c r="AZ100" s="69"/>
    </row>
    <row r="101" spans="3:59" x14ac:dyDescent="0.25">
      <c r="C101" s="69"/>
      <c r="D101" s="69"/>
      <c r="E101" s="69"/>
      <c r="F101" s="69"/>
      <c r="G101" s="69"/>
      <c r="H101" s="69"/>
      <c r="I101" s="69"/>
      <c r="J101" s="69"/>
      <c r="K101" s="69"/>
      <c r="L101" s="69"/>
      <c r="M101" s="69"/>
      <c r="N101" s="69"/>
      <c r="O101" s="69"/>
      <c r="P101" s="69"/>
      <c r="Q101" s="69"/>
      <c r="R101" s="69"/>
      <c r="S101" s="69"/>
      <c r="T101" s="69"/>
      <c r="U101" s="69"/>
      <c r="V101" s="69"/>
      <c r="W101" s="69"/>
      <c r="X101" s="69"/>
      <c r="Y101" s="35">
        <v>105217</v>
      </c>
      <c r="Z101" s="2">
        <v>2110</v>
      </c>
      <c r="AA101" s="270">
        <v>43917</v>
      </c>
      <c r="AB101" t="s">
        <v>251</v>
      </c>
      <c r="AC101" s="69"/>
      <c r="AD101" s="69"/>
      <c r="AE101" s="69"/>
      <c r="AF101" s="69"/>
      <c r="AG101" s="69"/>
      <c r="AH101" s="69"/>
      <c r="AO101" s="69"/>
      <c r="AP101" s="69"/>
      <c r="AQ101" s="69"/>
      <c r="AR101" s="69"/>
      <c r="AS101" s="69"/>
      <c r="AT101" s="69"/>
      <c r="AU101" s="69"/>
      <c r="AV101" s="69"/>
      <c r="AW101" s="69"/>
      <c r="AX101" s="69"/>
      <c r="AY101" s="69"/>
      <c r="AZ101" s="69"/>
    </row>
    <row r="102" spans="3:59" x14ac:dyDescent="0.25">
      <c r="C102" s="69"/>
      <c r="D102" s="69"/>
      <c r="E102" s="69"/>
      <c r="F102" s="69"/>
      <c r="G102" s="69"/>
      <c r="H102" s="69"/>
      <c r="I102" s="69"/>
      <c r="J102" s="69"/>
      <c r="K102" s="69"/>
      <c r="L102" s="69"/>
      <c r="M102" s="69"/>
      <c r="N102" s="69"/>
      <c r="O102" s="69"/>
      <c r="P102" s="69"/>
      <c r="Q102" s="69"/>
      <c r="R102" s="69"/>
      <c r="S102" s="69"/>
      <c r="T102" s="69"/>
      <c r="U102" s="69"/>
      <c r="V102" s="69"/>
      <c r="W102" s="69"/>
      <c r="X102" s="69"/>
      <c r="Y102" s="35">
        <v>105217</v>
      </c>
      <c r="Z102" s="2">
        <v>2110</v>
      </c>
      <c r="AA102" s="270">
        <v>43917</v>
      </c>
      <c r="AB102" t="s">
        <v>280</v>
      </c>
      <c r="AC102" s="69"/>
      <c r="AD102" s="69"/>
      <c r="AE102" s="69"/>
      <c r="AF102" s="69"/>
      <c r="AG102" s="69"/>
      <c r="AH102" s="69"/>
      <c r="AJ102" s="69"/>
      <c r="AK102" s="69"/>
      <c r="AL102" s="69"/>
      <c r="AM102" s="69"/>
      <c r="AN102" s="69"/>
      <c r="AO102" s="69"/>
      <c r="AP102" s="69"/>
      <c r="AQ102" s="69"/>
      <c r="AR102" s="69"/>
      <c r="AS102" s="69"/>
      <c r="AT102" s="69"/>
      <c r="AU102" s="69"/>
      <c r="AV102" s="69"/>
      <c r="AW102" s="69"/>
      <c r="AX102" s="69"/>
      <c r="AY102" s="69"/>
      <c r="AZ102" s="69"/>
      <c r="BC102" s="69"/>
    </row>
    <row r="103" spans="3:59" x14ac:dyDescent="0.25">
      <c r="C103" s="69"/>
      <c r="D103" s="69"/>
      <c r="E103" s="69"/>
      <c r="F103" s="69"/>
      <c r="G103" s="69"/>
      <c r="H103" s="69"/>
      <c r="I103" s="69"/>
      <c r="J103" s="69"/>
      <c r="K103" s="69"/>
      <c r="L103" s="69"/>
      <c r="M103" s="69"/>
      <c r="N103" s="69"/>
      <c r="O103" s="69"/>
      <c r="P103" s="69"/>
      <c r="Q103" s="69"/>
      <c r="R103" s="69"/>
      <c r="S103" s="69"/>
      <c r="T103" s="69"/>
      <c r="U103" s="69"/>
      <c r="V103" s="69"/>
      <c r="W103" s="69"/>
      <c r="X103" s="69"/>
      <c r="Y103" s="35">
        <v>105217</v>
      </c>
      <c r="Z103" s="2">
        <v>2110</v>
      </c>
      <c r="AA103" s="270">
        <v>43917</v>
      </c>
      <c r="AB103" t="s">
        <v>314</v>
      </c>
      <c r="AC103" s="69"/>
      <c r="AD103" s="69"/>
      <c r="AE103" s="69"/>
      <c r="AF103" s="69"/>
      <c r="AG103" s="69"/>
      <c r="AH103" s="69"/>
      <c r="AO103" s="69"/>
      <c r="AP103" s="69"/>
      <c r="AQ103" s="69"/>
      <c r="AR103" s="69"/>
      <c r="AS103" s="69"/>
      <c r="AT103" s="69"/>
      <c r="AU103" s="69"/>
      <c r="AV103" s="69"/>
      <c r="AW103" s="69"/>
      <c r="AX103" s="69"/>
      <c r="AY103" s="69"/>
      <c r="AZ103" s="69"/>
      <c r="BC103" s="69"/>
    </row>
    <row r="104" spans="3:59" x14ac:dyDescent="0.25">
      <c r="X104" s="236"/>
      <c r="Y104" s="165"/>
      <c r="Z104" s="35">
        <v>124788</v>
      </c>
      <c r="AA104" s="2">
        <v>2754</v>
      </c>
      <c r="AB104" s="271">
        <v>43918</v>
      </c>
      <c r="AC104" t="s">
        <v>248</v>
      </c>
      <c r="AD104" s="69"/>
      <c r="AE104" s="69"/>
      <c r="AO104" s="69"/>
      <c r="AP104" s="69"/>
      <c r="AQ104" s="69"/>
      <c r="AR104" s="69"/>
      <c r="AS104" s="69"/>
      <c r="AT104" s="69"/>
      <c r="AU104" s="69"/>
      <c r="AV104" s="69"/>
      <c r="AW104" s="69"/>
      <c r="AX104" s="69"/>
      <c r="AY104" s="69"/>
      <c r="AZ104" s="69"/>
      <c r="BC104" s="69"/>
    </row>
    <row r="105" spans="3:59" x14ac:dyDescent="0.25">
      <c r="Z105" s="35">
        <v>168177</v>
      </c>
      <c r="AA105" s="2">
        <v>4066</v>
      </c>
      <c r="AB105" s="270">
        <v>43920</v>
      </c>
      <c r="AC105" t="s">
        <v>254</v>
      </c>
      <c r="AD105" s="69"/>
      <c r="AE105" s="69"/>
      <c r="BA105" s="69"/>
      <c r="BB105" s="69"/>
      <c r="BC105" s="69"/>
    </row>
    <row r="106" spans="3:59" x14ac:dyDescent="0.25">
      <c r="Z106" s="35">
        <v>168177</v>
      </c>
      <c r="AA106" s="2">
        <v>4066</v>
      </c>
      <c r="AB106" s="270">
        <v>43920</v>
      </c>
      <c r="AC106" t="s">
        <v>327</v>
      </c>
      <c r="AD106" s="69"/>
      <c r="AE106" s="69"/>
      <c r="BC106" s="69"/>
    </row>
    <row r="107" spans="3:59" x14ac:dyDescent="0.25">
      <c r="AA107" s="35">
        <v>250708</v>
      </c>
      <c r="AB107" s="35">
        <v>7576</v>
      </c>
      <c r="AC107" s="270">
        <v>43923</v>
      </c>
      <c r="AD107" s="69" t="s">
        <v>308</v>
      </c>
      <c r="AE107" s="69"/>
      <c r="AF107" s="69"/>
      <c r="AG107" s="69"/>
      <c r="AI107" s="69"/>
      <c r="BC107" s="69"/>
    </row>
    <row r="108" spans="3:59" x14ac:dyDescent="0.25">
      <c r="AA108" s="35">
        <v>283477</v>
      </c>
      <c r="AB108" s="35">
        <v>8839</v>
      </c>
      <c r="AC108" s="158">
        <v>43924</v>
      </c>
      <c r="AD108" s="159" t="s">
        <v>225</v>
      </c>
      <c r="AE108" s="158">
        <v>43938</v>
      </c>
      <c r="AF108" s="69"/>
      <c r="AG108" s="69"/>
      <c r="AI108" s="69"/>
      <c r="AJ108" s="69"/>
      <c r="AK108" s="69"/>
      <c r="AL108" s="69"/>
      <c r="AM108" s="69"/>
      <c r="AN108" s="69"/>
      <c r="BC108" s="69"/>
    </row>
    <row r="109" spans="3:59" x14ac:dyDescent="0.25">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2">
        <v>317994</v>
      </c>
      <c r="AB109" s="2">
        <v>10384</v>
      </c>
      <c r="AC109" s="270">
        <v>43925</v>
      </c>
      <c r="AD109" t="s">
        <v>227</v>
      </c>
      <c r="AH109" s="69"/>
      <c r="AI109" s="69"/>
      <c r="BC109" s="69"/>
      <c r="BD109" s="69"/>
      <c r="BE109" s="69"/>
      <c r="BF109" s="69"/>
      <c r="BG109" s="69"/>
    </row>
    <row r="110" spans="3:59" x14ac:dyDescent="0.25">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2">
        <v>343747</v>
      </c>
      <c r="AB110" s="2">
        <v>11793</v>
      </c>
      <c r="AC110" s="165">
        <v>43926</v>
      </c>
      <c r="AD110" t="s">
        <v>329</v>
      </c>
      <c r="AH110" s="69"/>
      <c r="AI110" s="69"/>
      <c r="AQ110" s="69"/>
      <c r="AR110" s="69"/>
      <c r="AS110" s="69"/>
      <c r="AT110" s="69"/>
      <c r="AU110" s="69"/>
      <c r="AV110" s="69"/>
      <c r="AW110" s="69"/>
      <c r="AX110" s="69"/>
      <c r="AY110" s="69"/>
      <c r="AZ110" s="69"/>
      <c r="BD110" s="69"/>
      <c r="BE110" s="69"/>
      <c r="BF110" s="69"/>
      <c r="BG110" s="69"/>
    </row>
    <row r="111" spans="3:59" x14ac:dyDescent="0.25">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2">
        <v>539942</v>
      </c>
      <c r="AC111" s="2">
        <v>24062</v>
      </c>
      <c r="AD111" s="270">
        <v>43932</v>
      </c>
      <c r="AE111" t="s">
        <v>236</v>
      </c>
      <c r="AH111" s="69"/>
      <c r="AI111" s="69"/>
      <c r="BD111" s="69"/>
      <c r="BE111" s="69"/>
      <c r="BF111" s="69"/>
      <c r="BG111" s="69"/>
    </row>
    <row r="112" spans="3:59" x14ac:dyDescent="0.25">
      <c r="AB112" s="2">
        <v>594693</v>
      </c>
      <c r="AC112" s="2">
        <v>27515</v>
      </c>
      <c r="AD112" s="270">
        <v>43934</v>
      </c>
      <c r="AE112" t="s">
        <v>228</v>
      </c>
      <c r="BD112" s="69"/>
      <c r="BE112" s="69"/>
      <c r="BF112" s="69"/>
      <c r="BG112" s="69"/>
    </row>
    <row r="113" spans="3:59" x14ac:dyDescent="0.25">
      <c r="AB113" s="2">
        <v>621953</v>
      </c>
      <c r="AC113" s="2">
        <v>30081</v>
      </c>
      <c r="AD113" s="217">
        <v>43935</v>
      </c>
      <c r="AE113" t="s">
        <v>252</v>
      </c>
      <c r="BD113" s="69"/>
      <c r="BE113" s="69"/>
      <c r="BF113" s="69"/>
      <c r="BG113" s="69"/>
    </row>
    <row r="114" spans="3:59" x14ac:dyDescent="0.25">
      <c r="AC114" s="2">
        <v>652474</v>
      </c>
      <c r="AD114" s="2">
        <v>32712</v>
      </c>
      <c r="AE114" s="270">
        <v>43936</v>
      </c>
      <c r="AF114" s="69" t="s">
        <v>253</v>
      </c>
      <c r="AO114" s="69"/>
      <c r="AP114" s="69"/>
      <c r="AQ114" s="69"/>
      <c r="AR114" s="69"/>
      <c r="AS114" s="69"/>
      <c r="AT114" s="69"/>
      <c r="AU114" s="69"/>
      <c r="AV114" s="69"/>
      <c r="AW114" s="69"/>
      <c r="AX114" s="69"/>
      <c r="AY114" s="69"/>
      <c r="AZ114" s="69"/>
      <c r="BD114" s="69"/>
      <c r="BE114" s="69"/>
      <c r="BF114" s="69"/>
      <c r="BG114" s="69"/>
    </row>
    <row r="115" spans="3:59" x14ac:dyDescent="0.25">
      <c r="AC115" s="2">
        <v>652474</v>
      </c>
      <c r="AD115" s="2">
        <v>32712</v>
      </c>
      <c r="AE115" s="270">
        <v>43936</v>
      </c>
      <c r="AF115" t="s">
        <v>258</v>
      </c>
      <c r="BD115" s="69"/>
      <c r="BE115" s="69"/>
      <c r="BF115" s="69"/>
      <c r="BG115" s="69"/>
    </row>
    <row r="116" spans="3:59" x14ac:dyDescent="0.25">
      <c r="AC116" s="2">
        <v>652474</v>
      </c>
      <c r="AD116" s="2">
        <v>32712</v>
      </c>
      <c r="AE116" s="270">
        <v>43936</v>
      </c>
      <c r="AF116" t="s">
        <v>256</v>
      </c>
      <c r="AI116" s="69"/>
      <c r="BD116" s="69"/>
      <c r="BE116" s="69"/>
      <c r="BF116" s="69"/>
      <c r="BG116" s="69"/>
    </row>
    <row r="117" spans="3:59" x14ac:dyDescent="0.25">
      <c r="AC117" s="2">
        <v>652474</v>
      </c>
      <c r="AD117" s="2">
        <v>32712</v>
      </c>
      <c r="AE117" s="217">
        <v>43936</v>
      </c>
      <c r="AF117" t="s">
        <v>325</v>
      </c>
      <c r="AI117" s="69"/>
      <c r="BA117" s="69"/>
      <c r="BB117" s="69"/>
      <c r="BC117" s="69"/>
      <c r="BD117" s="69"/>
      <c r="BE117" s="69"/>
      <c r="BF117" s="69"/>
      <c r="BG117" s="69"/>
    </row>
    <row r="118" spans="3:59" x14ac:dyDescent="0.25">
      <c r="AC118" s="2">
        <v>682454</v>
      </c>
      <c r="AD118" s="2">
        <v>34905</v>
      </c>
      <c r="AE118" s="270">
        <v>43937</v>
      </c>
      <c r="AF118" t="s">
        <v>299</v>
      </c>
      <c r="BD118" s="69"/>
      <c r="BE118" s="69"/>
      <c r="BF118" s="69"/>
      <c r="BG118" s="69"/>
    </row>
    <row r="119" spans="3:59" x14ac:dyDescent="0.25">
      <c r="AC119" s="2">
        <v>714822</v>
      </c>
      <c r="AD119" s="2">
        <v>37448</v>
      </c>
      <c r="AE119" s="270">
        <v>43938</v>
      </c>
      <c r="AF119" t="s">
        <v>255</v>
      </c>
      <c r="BD119" s="69"/>
      <c r="BE119" s="69"/>
      <c r="BF119" s="69"/>
      <c r="BG119" s="69"/>
    </row>
    <row r="120" spans="3:59" x14ac:dyDescent="0.25">
      <c r="AC120" s="2">
        <v>714822</v>
      </c>
      <c r="AD120" s="2">
        <v>37448</v>
      </c>
      <c r="AE120" s="270">
        <v>43938</v>
      </c>
      <c r="AF120" t="s">
        <v>358</v>
      </c>
      <c r="AJ120" s="69"/>
      <c r="AK120" s="69"/>
      <c r="AL120" s="69"/>
      <c r="AM120" s="69"/>
      <c r="AN120" s="69"/>
      <c r="AO120" s="69"/>
      <c r="AP120" s="69"/>
      <c r="AQ120" s="69"/>
      <c r="AR120" s="69"/>
      <c r="AS120" s="69"/>
      <c r="AT120" s="69"/>
      <c r="AU120" s="69"/>
      <c r="AV120" s="69"/>
      <c r="AW120" s="69"/>
      <c r="AX120" s="69"/>
      <c r="AY120" s="69"/>
      <c r="AZ120" s="69"/>
      <c r="BD120" s="69"/>
      <c r="BE120" s="69"/>
      <c r="BF120" s="69"/>
      <c r="BG120" s="69"/>
    </row>
    <row r="121" spans="3:59" s="69" customFormat="1" x14ac:dyDescent="0.25">
      <c r="AC121" s="2">
        <v>743901</v>
      </c>
      <c r="AD121" s="35">
        <v>39331</v>
      </c>
      <c r="AE121" s="270">
        <v>43939</v>
      </c>
      <c r="AF121" s="69" t="s">
        <v>261</v>
      </c>
      <c r="AG121"/>
      <c r="AH121"/>
      <c r="AI121"/>
      <c r="AO121"/>
      <c r="AP121"/>
      <c r="AQ121"/>
      <c r="AR121"/>
      <c r="AS121"/>
      <c r="AT121"/>
      <c r="AU121"/>
      <c r="AV121"/>
      <c r="AW121"/>
      <c r="AX121"/>
      <c r="AY121"/>
      <c r="AZ121"/>
      <c r="BA121"/>
      <c r="BB121"/>
      <c r="BD121"/>
      <c r="BE121"/>
      <c r="BF121"/>
      <c r="BG121"/>
    </row>
    <row r="122" spans="3:59" s="69" customFormat="1" x14ac:dyDescent="0.25">
      <c r="AC122" s="2">
        <v>743901</v>
      </c>
      <c r="AD122" s="35">
        <v>39331</v>
      </c>
      <c r="AE122" s="270">
        <v>43939</v>
      </c>
      <c r="AF122" s="69" t="s">
        <v>367</v>
      </c>
      <c r="AG122"/>
      <c r="AH122"/>
      <c r="AI122"/>
      <c r="AO122"/>
      <c r="AP122"/>
      <c r="AQ122"/>
      <c r="AR122"/>
      <c r="AS122"/>
      <c r="AT122"/>
      <c r="AU122"/>
      <c r="AV122"/>
      <c r="AW122"/>
      <c r="AX122"/>
      <c r="AY122"/>
      <c r="AZ122"/>
      <c r="BA122"/>
      <c r="BB122"/>
      <c r="BD122"/>
      <c r="BE122"/>
      <c r="BF122"/>
      <c r="BG122"/>
    </row>
    <row r="123" spans="3:59" s="69" customFormat="1" x14ac:dyDescent="0.25">
      <c r="AD123" s="2">
        <v>798145</v>
      </c>
      <c r="AE123" s="35">
        <v>42853</v>
      </c>
      <c r="AF123" s="270">
        <v>43941</v>
      </c>
      <c r="AG123" s="69" t="s">
        <v>309</v>
      </c>
      <c r="AH123"/>
      <c r="AI123"/>
      <c r="AO123"/>
      <c r="AP123"/>
      <c r="AQ123"/>
      <c r="AR123"/>
      <c r="AS123"/>
      <c r="AT123"/>
      <c r="AU123"/>
      <c r="AV123"/>
      <c r="AW123"/>
      <c r="AX123"/>
      <c r="AY123"/>
      <c r="AZ123"/>
      <c r="BA123"/>
      <c r="BB123"/>
      <c r="BC123"/>
      <c r="BD123"/>
      <c r="BE123"/>
      <c r="BF123"/>
      <c r="BG123"/>
    </row>
    <row r="124" spans="3:59" s="69" customFormat="1" x14ac:dyDescent="0.25">
      <c r="C124"/>
      <c r="D124"/>
      <c r="E124"/>
      <c r="F124"/>
      <c r="G124"/>
      <c r="H124"/>
      <c r="I124"/>
      <c r="J124"/>
      <c r="K124"/>
      <c r="L124"/>
      <c r="M124"/>
      <c r="N124"/>
      <c r="O124"/>
      <c r="P124"/>
      <c r="Q124"/>
      <c r="R124"/>
      <c r="S124"/>
      <c r="T124"/>
      <c r="U124"/>
      <c r="V124"/>
      <c r="W124"/>
      <c r="X124"/>
      <c r="Y124"/>
      <c r="Z124"/>
      <c r="AA124"/>
      <c r="AB124"/>
      <c r="AC124"/>
      <c r="AD124" s="35">
        <v>824229</v>
      </c>
      <c r="AE124" s="2">
        <v>45536</v>
      </c>
      <c r="AF124" s="217">
        <v>43942</v>
      </c>
      <c r="AG124" t="s">
        <v>298</v>
      </c>
      <c r="AO124"/>
      <c r="AP124"/>
      <c r="AQ124"/>
      <c r="AR124"/>
      <c r="AS124"/>
      <c r="AT124"/>
      <c r="AU124"/>
      <c r="AV124"/>
      <c r="AW124"/>
      <c r="AX124"/>
      <c r="AY124"/>
      <c r="AZ124"/>
      <c r="BC124"/>
      <c r="BD124"/>
      <c r="BE124"/>
      <c r="BF124"/>
      <c r="BG124"/>
    </row>
    <row r="125" spans="3:59" s="69" customFormat="1" x14ac:dyDescent="0.25">
      <c r="C125"/>
      <c r="D125"/>
      <c r="E125"/>
      <c r="F125"/>
      <c r="G125"/>
      <c r="H125"/>
      <c r="I125"/>
      <c r="J125"/>
      <c r="K125"/>
      <c r="L125"/>
      <c r="M125"/>
      <c r="N125"/>
      <c r="O125"/>
      <c r="P125"/>
      <c r="Q125"/>
      <c r="R125"/>
      <c r="S125"/>
      <c r="T125"/>
      <c r="U125"/>
      <c r="V125"/>
      <c r="W125"/>
      <c r="X125"/>
      <c r="Y125"/>
      <c r="Z125"/>
      <c r="AA125"/>
      <c r="AB125"/>
      <c r="AC125"/>
      <c r="AD125" s="2">
        <v>854385</v>
      </c>
      <c r="AE125" s="2">
        <v>47894</v>
      </c>
      <c r="AF125" s="217">
        <v>43943</v>
      </c>
      <c r="AG125" t="s">
        <v>295</v>
      </c>
      <c r="AH125"/>
      <c r="AI125"/>
      <c r="AJ125"/>
      <c r="AK125"/>
      <c r="AL125"/>
      <c r="AM125"/>
      <c r="AN125"/>
      <c r="AO125"/>
      <c r="AP125"/>
      <c r="AQ125"/>
      <c r="AR125"/>
      <c r="AS125"/>
      <c r="AT125"/>
      <c r="AU125"/>
      <c r="AV125"/>
      <c r="AW125"/>
      <c r="AX125"/>
      <c r="AY125"/>
      <c r="AZ125"/>
      <c r="BC125"/>
      <c r="BD125"/>
      <c r="BE125"/>
      <c r="BF125"/>
      <c r="BG125"/>
    </row>
    <row r="126" spans="3:59" s="69" customFormat="1" x14ac:dyDescent="0.25">
      <c r="C126"/>
      <c r="D126"/>
      <c r="E126"/>
      <c r="F126"/>
      <c r="G126"/>
      <c r="H126"/>
      <c r="I126"/>
      <c r="J126"/>
      <c r="K126"/>
      <c r="L126"/>
      <c r="M126"/>
      <c r="N126"/>
      <c r="O126"/>
      <c r="P126"/>
      <c r="Q126"/>
      <c r="R126"/>
      <c r="S126"/>
      <c r="T126"/>
      <c r="U126"/>
      <c r="V126"/>
      <c r="W126"/>
      <c r="X126"/>
      <c r="Y126"/>
      <c r="Z126"/>
      <c r="AA126"/>
      <c r="AB126"/>
      <c r="AC126"/>
      <c r="AD126" s="2">
        <v>854385</v>
      </c>
      <c r="AE126" s="2">
        <v>47894</v>
      </c>
      <c r="AF126" s="270">
        <v>43943</v>
      </c>
      <c r="AG126" s="69" t="s">
        <v>307</v>
      </c>
      <c r="AH126"/>
      <c r="AI126"/>
      <c r="AJ126"/>
      <c r="AK126"/>
      <c r="AL126"/>
      <c r="AM126"/>
      <c r="AN126"/>
      <c r="AO126"/>
      <c r="AP126"/>
      <c r="AQ126"/>
      <c r="AR126"/>
      <c r="AS126"/>
      <c r="AT126"/>
      <c r="AU126"/>
      <c r="AV126"/>
      <c r="AW126"/>
      <c r="AX126"/>
      <c r="AY126"/>
      <c r="AZ126"/>
      <c r="BC126"/>
      <c r="BD126"/>
      <c r="BE126"/>
      <c r="BF126"/>
      <c r="BG126"/>
    </row>
    <row r="127" spans="3:59" s="69" customFormat="1" x14ac:dyDescent="0.25">
      <c r="C127"/>
      <c r="D127"/>
      <c r="E127"/>
      <c r="F127"/>
      <c r="G127"/>
      <c r="H127"/>
      <c r="I127"/>
      <c r="J127"/>
      <c r="K127"/>
      <c r="L127"/>
      <c r="M127"/>
      <c r="N127"/>
      <c r="O127"/>
      <c r="P127"/>
      <c r="Q127"/>
      <c r="R127"/>
      <c r="S127"/>
      <c r="T127"/>
      <c r="U127"/>
      <c r="V127"/>
      <c r="W127"/>
      <c r="X127"/>
      <c r="Y127"/>
      <c r="Z127"/>
      <c r="AA127"/>
      <c r="AB127"/>
      <c r="AC127"/>
      <c r="AD127" s="2">
        <v>854385</v>
      </c>
      <c r="AE127" s="2">
        <v>47894</v>
      </c>
      <c r="AF127" s="270">
        <v>43943</v>
      </c>
      <c r="AG127" t="s">
        <v>293</v>
      </c>
      <c r="AH127"/>
      <c r="AI127"/>
      <c r="AJ127"/>
      <c r="AK127"/>
      <c r="AL127"/>
      <c r="AM127"/>
      <c r="AN127"/>
      <c r="AO127"/>
      <c r="AP127"/>
      <c r="AQ127"/>
      <c r="AR127"/>
      <c r="AS127"/>
      <c r="AT127"/>
      <c r="AU127"/>
      <c r="AV127"/>
      <c r="AW127"/>
      <c r="AX127"/>
      <c r="AY127"/>
      <c r="AZ127"/>
      <c r="BC127"/>
      <c r="BD127"/>
      <c r="BE127"/>
      <c r="BF127"/>
      <c r="BG127"/>
    </row>
    <row r="128" spans="3:59" s="69" customFormat="1" x14ac:dyDescent="0.25">
      <c r="AE128" s="2">
        <v>886274</v>
      </c>
      <c r="AF128" s="35">
        <v>50234</v>
      </c>
      <c r="AG128" s="270">
        <v>43944</v>
      </c>
      <c r="AH128" t="s">
        <v>296</v>
      </c>
      <c r="AI128"/>
      <c r="AJ128"/>
      <c r="AK128"/>
      <c r="AL128"/>
      <c r="AM128"/>
      <c r="AN128"/>
      <c r="AO128"/>
      <c r="AP128"/>
      <c r="AQ128"/>
      <c r="AR128"/>
      <c r="AS128"/>
      <c r="AT128"/>
      <c r="AU128"/>
      <c r="AV128"/>
      <c r="AW128"/>
      <c r="AX128"/>
      <c r="AY128"/>
      <c r="AZ128"/>
      <c r="BC128"/>
      <c r="BD128"/>
      <c r="BE128"/>
      <c r="BF128"/>
      <c r="BG128"/>
    </row>
    <row r="129" spans="3:59" s="69" customFormat="1" x14ac:dyDescent="0.25">
      <c r="AE129" s="2">
        <v>886274</v>
      </c>
      <c r="AF129" s="35">
        <v>50234</v>
      </c>
      <c r="AG129" s="270">
        <v>43944</v>
      </c>
      <c r="AH129" t="s">
        <v>297</v>
      </c>
      <c r="AI129"/>
      <c r="AJ129"/>
      <c r="AO129"/>
      <c r="AP129"/>
      <c r="AQ129"/>
      <c r="AR129"/>
      <c r="AS129"/>
      <c r="AT129"/>
      <c r="AU129"/>
      <c r="AV129"/>
      <c r="AW129"/>
      <c r="AX129"/>
      <c r="AY129"/>
      <c r="AZ129"/>
      <c r="BA129"/>
      <c r="BB129"/>
      <c r="BC129"/>
      <c r="BD129"/>
      <c r="BE129"/>
      <c r="BF129"/>
      <c r="BG129"/>
    </row>
    <row r="130" spans="3:59" s="69" customFormat="1" x14ac:dyDescent="0.25">
      <c r="C130"/>
      <c r="D130"/>
      <c r="E130"/>
      <c r="F130"/>
      <c r="G130"/>
      <c r="H130"/>
      <c r="I130"/>
      <c r="J130"/>
      <c r="K130"/>
      <c r="L130"/>
      <c r="M130"/>
      <c r="N130"/>
      <c r="O130"/>
      <c r="P130"/>
      <c r="Q130"/>
      <c r="R130"/>
      <c r="S130"/>
      <c r="T130"/>
      <c r="U130"/>
      <c r="V130"/>
      <c r="W130"/>
      <c r="X130"/>
      <c r="Y130"/>
      <c r="Z130"/>
      <c r="AA130"/>
      <c r="AB130"/>
      <c r="AC130"/>
      <c r="AD130"/>
      <c r="AE130" s="2">
        <v>886274</v>
      </c>
      <c r="AF130" s="35">
        <v>50234</v>
      </c>
      <c r="AG130" s="217">
        <v>43944</v>
      </c>
      <c r="AH130" t="s">
        <v>324</v>
      </c>
      <c r="AI130"/>
      <c r="AJ130"/>
      <c r="AO130"/>
      <c r="AP130"/>
      <c r="AQ130"/>
      <c r="AR130"/>
      <c r="AS130"/>
      <c r="AT130"/>
      <c r="AU130"/>
      <c r="AV130"/>
      <c r="AW130"/>
      <c r="AX130"/>
      <c r="AY130"/>
      <c r="AZ130"/>
      <c r="BA130"/>
      <c r="BB130"/>
      <c r="BC130"/>
      <c r="BD130"/>
      <c r="BE130"/>
      <c r="BF130"/>
      <c r="BG130"/>
    </row>
    <row r="131" spans="3:59" s="69" customFormat="1" x14ac:dyDescent="0.25">
      <c r="C131"/>
      <c r="D131"/>
      <c r="E131"/>
      <c r="F131"/>
      <c r="G131"/>
      <c r="H131"/>
      <c r="I131"/>
      <c r="J131"/>
      <c r="K131"/>
      <c r="L131"/>
      <c r="M131"/>
      <c r="N131"/>
      <c r="O131"/>
      <c r="P131"/>
      <c r="Q131"/>
      <c r="R131"/>
      <c r="S131"/>
      <c r="T131"/>
      <c r="U131"/>
      <c r="V131"/>
      <c r="W131"/>
      <c r="X131"/>
      <c r="Y131"/>
      <c r="Z131"/>
      <c r="AA131"/>
      <c r="AB131"/>
      <c r="AC131"/>
      <c r="AD131"/>
      <c r="AE131" s="2">
        <v>925232</v>
      </c>
      <c r="AF131" s="35">
        <v>52191</v>
      </c>
      <c r="AG131" s="270">
        <v>43945</v>
      </c>
      <c r="AH131" t="s">
        <v>310</v>
      </c>
      <c r="AI131"/>
      <c r="AJ131"/>
      <c r="AK131"/>
      <c r="AL131"/>
      <c r="AM131"/>
      <c r="AN131"/>
      <c r="AO131"/>
      <c r="AP131"/>
      <c r="AQ131"/>
      <c r="AR131"/>
      <c r="AS131"/>
      <c r="AT131"/>
      <c r="AU131"/>
      <c r="AV131"/>
      <c r="AW131"/>
      <c r="AX131"/>
      <c r="AY131"/>
      <c r="AZ131"/>
      <c r="BA131"/>
      <c r="BB131"/>
      <c r="BC131"/>
      <c r="BD131"/>
      <c r="BE131"/>
      <c r="BF131"/>
      <c r="BG131"/>
    </row>
    <row r="132" spans="3:59" s="69" customFormat="1" x14ac:dyDescent="0.25">
      <c r="C132"/>
      <c r="D132"/>
      <c r="E132"/>
      <c r="F132"/>
      <c r="G132"/>
      <c r="H132"/>
      <c r="I132"/>
      <c r="J132"/>
      <c r="K132"/>
      <c r="L132"/>
      <c r="M132"/>
      <c r="N132"/>
      <c r="O132"/>
      <c r="P132"/>
      <c r="Q132"/>
      <c r="R132"/>
      <c r="S132"/>
      <c r="T132"/>
      <c r="U132"/>
      <c r="V132"/>
      <c r="W132"/>
      <c r="X132"/>
      <c r="Y132"/>
      <c r="Z132"/>
      <c r="AA132"/>
      <c r="AB132"/>
      <c r="AC132"/>
      <c r="AD132"/>
      <c r="AE132" s="2">
        <v>925232</v>
      </c>
      <c r="AF132" s="35">
        <v>52191</v>
      </c>
      <c r="AG132" s="217">
        <v>43945</v>
      </c>
      <c r="AH132" s="69" t="s">
        <v>315</v>
      </c>
      <c r="AI132"/>
      <c r="AJ132"/>
      <c r="AK132"/>
      <c r="AL132"/>
      <c r="AM132"/>
      <c r="AN132"/>
      <c r="AO132"/>
      <c r="AP132"/>
      <c r="AQ132"/>
      <c r="AR132"/>
      <c r="AS132"/>
      <c r="AT132"/>
      <c r="AU132"/>
      <c r="AV132"/>
      <c r="AW132"/>
      <c r="AX132"/>
      <c r="AY132"/>
      <c r="AZ132"/>
      <c r="BA132"/>
      <c r="BB132"/>
      <c r="BC132"/>
      <c r="BD132"/>
      <c r="BE132"/>
      <c r="BF132"/>
      <c r="BG132"/>
    </row>
    <row r="133" spans="3:59" x14ac:dyDescent="0.25">
      <c r="AE133" s="2">
        <v>960651</v>
      </c>
      <c r="AF133" s="35">
        <v>54191</v>
      </c>
      <c r="AG133" s="165">
        <v>43946</v>
      </c>
      <c r="AH133" s="69" t="s">
        <v>312</v>
      </c>
      <c r="AO133" s="69"/>
      <c r="AP133" s="69"/>
      <c r="AQ133" s="69"/>
      <c r="AR133" s="69"/>
      <c r="AS133" s="69"/>
      <c r="AT133" s="69"/>
      <c r="AU133" s="69"/>
      <c r="AV133" s="69"/>
      <c r="AW133" s="69"/>
      <c r="AX133" s="69"/>
      <c r="AY133" s="69"/>
      <c r="AZ133" s="69"/>
    </row>
    <row r="134" spans="3:59" x14ac:dyDescent="0.25">
      <c r="AE134" s="2">
        <v>960651</v>
      </c>
      <c r="AF134" s="35">
        <v>54191</v>
      </c>
      <c r="AG134" s="271">
        <v>43946</v>
      </c>
      <c r="AH134" s="69" t="s">
        <v>318</v>
      </c>
      <c r="AO134" s="69"/>
      <c r="AP134" s="69"/>
      <c r="AQ134" s="69"/>
      <c r="AR134" s="69"/>
      <c r="AS134" s="69"/>
      <c r="AT134" s="69"/>
      <c r="AU134" s="69"/>
      <c r="AV134" s="69"/>
      <c r="AW134" s="69"/>
      <c r="AX134" s="69"/>
      <c r="AY134" s="69"/>
      <c r="AZ134" s="69"/>
      <c r="BA134" s="69"/>
      <c r="BB134" s="69"/>
    </row>
    <row r="135" spans="3:59" x14ac:dyDescent="0.25">
      <c r="AE135" s="2">
        <v>960651</v>
      </c>
      <c r="AF135" s="35">
        <v>54191</v>
      </c>
      <c r="AG135" s="271">
        <v>43946</v>
      </c>
      <c r="AH135" s="69" t="s">
        <v>317</v>
      </c>
      <c r="AO135" s="69"/>
      <c r="AP135" s="69"/>
      <c r="AQ135" s="69"/>
      <c r="AR135" s="69"/>
      <c r="AS135" s="69"/>
      <c r="AT135" s="69"/>
      <c r="AU135" s="69"/>
      <c r="AV135" s="69"/>
      <c r="AW135" s="69"/>
      <c r="AX135" s="69"/>
      <c r="AY135" s="69"/>
      <c r="AZ135" s="69"/>
      <c r="BD135" s="69"/>
      <c r="BE135" s="69"/>
      <c r="BF135" s="69"/>
      <c r="BG135" s="69"/>
    </row>
    <row r="136" spans="3:59" x14ac:dyDescent="0.25">
      <c r="AF136" s="2">
        <v>1010356</v>
      </c>
      <c r="AG136" s="2">
        <v>56795</v>
      </c>
      <c r="AH136" s="271">
        <v>43948</v>
      </c>
      <c r="AI136" t="s">
        <v>316</v>
      </c>
      <c r="AO136" s="69"/>
      <c r="AP136" s="69"/>
      <c r="AQ136" s="69"/>
      <c r="AR136" s="69"/>
      <c r="AS136" s="69"/>
      <c r="AT136" s="69"/>
      <c r="AU136" s="69"/>
      <c r="AV136" s="69"/>
      <c r="AW136" s="69"/>
      <c r="AX136" s="69"/>
      <c r="AY136" s="69"/>
      <c r="AZ136" s="69"/>
    </row>
    <row r="137" spans="3:59" x14ac:dyDescent="0.25">
      <c r="AF137" s="2">
        <v>1010356</v>
      </c>
      <c r="AG137" s="2">
        <v>56795</v>
      </c>
      <c r="AH137" s="270">
        <v>43948</v>
      </c>
      <c r="AI137" s="69" t="s">
        <v>306</v>
      </c>
      <c r="AQ137" s="217"/>
      <c r="AR137" s="217"/>
      <c r="AS137" s="217"/>
      <c r="AT137" s="217"/>
      <c r="AU137" s="217"/>
    </row>
    <row r="138" spans="3:59" x14ac:dyDescent="0.25">
      <c r="AF138" s="35">
        <v>1035765</v>
      </c>
      <c r="AG138" s="2">
        <v>59265</v>
      </c>
      <c r="AH138" s="270">
        <v>43949</v>
      </c>
      <c r="AI138" t="s">
        <v>313</v>
      </c>
      <c r="AJ138" s="69"/>
      <c r="AK138" s="69"/>
      <c r="BA138" s="69"/>
      <c r="BB138" s="69"/>
    </row>
    <row r="139" spans="3:59" x14ac:dyDescent="0.25">
      <c r="AF139" s="35">
        <v>1035765</v>
      </c>
      <c r="AG139" s="2">
        <v>59265</v>
      </c>
      <c r="AH139" s="217">
        <v>43949</v>
      </c>
      <c r="AI139" t="s">
        <v>323</v>
      </c>
    </row>
    <row r="140" spans="3:59" x14ac:dyDescent="0.25">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c r="AD140" s="69"/>
      <c r="AE140" s="69"/>
      <c r="AF140" s="35">
        <v>1095023</v>
      </c>
      <c r="AG140" s="35">
        <v>63856</v>
      </c>
      <c r="AH140" s="270">
        <v>43951</v>
      </c>
      <c r="AI140" t="s">
        <v>319</v>
      </c>
      <c r="AL140" s="69"/>
      <c r="AM140" s="69"/>
      <c r="AN140" s="69"/>
    </row>
    <row r="141" spans="3:59" x14ac:dyDescent="0.25">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c r="AD141" s="69"/>
      <c r="AE141" s="69"/>
      <c r="AF141" s="35">
        <v>1095023</v>
      </c>
      <c r="AG141" s="35">
        <v>63856</v>
      </c>
      <c r="AH141" s="270">
        <v>43951</v>
      </c>
      <c r="AI141" t="s">
        <v>320</v>
      </c>
      <c r="AJ141" s="69"/>
      <c r="AK141" s="69"/>
      <c r="AL141" s="69"/>
      <c r="AM141" s="69"/>
      <c r="AN141" s="69"/>
      <c r="AO141" s="69"/>
      <c r="AP141" s="69"/>
      <c r="AQ141" s="69"/>
      <c r="AR141" s="69"/>
      <c r="AS141" s="69"/>
      <c r="AT141" s="69"/>
      <c r="AU141" s="69"/>
      <c r="AV141" s="69"/>
      <c r="AW141" s="69"/>
      <c r="AX141" s="69"/>
      <c r="AY141" s="69"/>
      <c r="AZ141" s="69"/>
      <c r="BC141" s="69"/>
    </row>
    <row r="142" spans="3:59" x14ac:dyDescent="0.25">
      <c r="AF142" s="35">
        <v>1095023</v>
      </c>
      <c r="AG142" s="35">
        <v>63856</v>
      </c>
      <c r="AH142" s="217">
        <v>43951</v>
      </c>
      <c r="AI142" t="s">
        <v>322</v>
      </c>
      <c r="AJ142" s="69"/>
      <c r="AK142" s="69"/>
      <c r="AO142" s="69"/>
      <c r="AP142" s="69"/>
      <c r="AQ142" s="69"/>
      <c r="AR142" s="69"/>
      <c r="AS142" s="69"/>
      <c r="AT142" s="69"/>
      <c r="AU142" s="69"/>
      <c r="AV142" s="69"/>
      <c r="AW142" s="69"/>
      <c r="AX142" s="69"/>
      <c r="AY142" s="69"/>
      <c r="AZ142" s="69"/>
      <c r="BC142" s="69"/>
    </row>
    <row r="143" spans="3:59" x14ac:dyDescent="0.25">
      <c r="AF143" s="35">
        <v>1095023</v>
      </c>
      <c r="AG143" s="35">
        <v>63856</v>
      </c>
      <c r="AH143" s="165">
        <v>43951</v>
      </c>
      <c r="AI143" s="69" t="s">
        <v>321</v>
      </c>
    </row>
    <row r="144" spans="3:59" x14ac:dyDescent="0.25">
      <c r="AF144" s="35">
        <v>1095023</v>
      </c>
      <c r="AG144" s="35">
        <v>63856</v>
      </c>
      <c r="AH144" s="270">
        <v>43951</v>
      </c>
      <c r="AI144" s="69" t="s">
        <v>351</v>
      </c>
      <c r="BA144" s="69"/>
      <c r="BB144" s="69"/>
    </row>
    <row r="145" spans="3:59" x14ac:dyDescent="0.25">
      <c r="AF145" s="35">
        <v>1095023</v>
      </c>
      <c r="AG145" s="35">
        <v>63856</v>
      </c>
      <c r="AH145" s="217">
        <v>43951</v>
      </c>
      <c r="AI145" s="69" t="s">
        <v>343</v>
      </c>
      <c r="AJ145" s="69"/>
      <c r="AK145" s="69"/>
      <c r="BC145" s="69"/>
    </row>
    <row r="146" spans="3:59" x14ac:dyDescent="0.25">
      <c r="AF146" s="35">
        <v>1131030</v>
      </c>
      <c r="AG146" s="35">
        <v>65753</v>
      </c>
      <c r="AH146" s="217">
        <v>43952</v>
      </c>
      <c r="AI146" t="s">
        <v>326</v>
      </c>
      <c r="BC146" s="69"/>
    </row>
    <row r="147" spans="3:59" x14ac:dyDescent="0.25">
      <c r="AF147" s="35">
        <v>1188122</v>
      </c>
      <c r="AG147" s="35">
        <v>68597</v>
      </c>
      <c r="AH147" s="217">
        <v>43954</v>
      </c>
      <c r="AI147" t="s">
        <v>333</v>
      </c>
      <c r="AJ147" s="69"/>
      <c r="AK147" s="69"/>
      <c r="BC147" s="69"/>
    </row>
    <row r="148" spans="3:59" s="69" customFormat="1" x14ac:dyDescent="0.25">
      <c r="C148"/>
      <c r="D148"/>
      <c r="E148"/>
      <c r="F148"/>
      <c r="G148"/>
      <c r="H148"/>
      <c r="I148"/>
      <c r="J148"/>
      <c r="K148"/>
      <c r="L148"/>
      <c r="M148"/>
      <c r="N148"/>
      <c r="O148"/>
      <c r="P148"/>
      <c r="Q148"/>
      <c r="R148"/>
      <c r="S148"/>
      <c r="T148"/>
      <c r="U148"/>
      <c r="V148"/>
      <c r="W148"/>
      <c r="X148"/>
      <c r="Y148"/>
      <c r="Z148"/>
      <c r="AA148"/>
      <c r="AB148"/>
      <c r="AC148"/>
      <c r="AD148"/>
      <c r="AE148"/>
      <c r="AF148" s="35">
        <v>1237633</v>
      </c>
      <c r="AG148" s="35">
        <v>72271</v>
      </c>
      <c r="AH148" s="217">
        <v>43956</v>
      </c>
      <c r="AI148" t="s">
        <v>337</v>
      </c>
      <c r="AL148"/>
      <c r="AM148"/>
      <c r="AN148"/>
      <c r="AO148"/>
      <c r="AP148"/>
      <c r="AQ148"/>
      <c r="AR148"/>
      <c r="AS148"/>
      <c r="AT148"/>
      <c r="AU148"/>
      <c r="AV148"/>
      <c r="AW148"/>
      <c r="AX148"/>
      <c r="AY148"/>
      <c r="AZ148"/>
      <c r="BA148"/>
      <c r="BB148"/>
      <c r="BC148"/>
      <c r="BD148"/>
      <c r="BE148"/>
      <c r="BF148"/>
      <c r="BG148"/>
    </row>
    <row r="149" spans="3:59" s="69" customFormat="1" x14ac:dyDescent="0.25">
      <c r="C149"/>
      <c r="D149"/>
      <c r="E149"/>
      <c r="F149"/>
      <c r="G149"/>
      <c r="H149"/>
      <c r="I149"/>
      <c r="J149"/>
      <c r="K149"/>
      <c r="L149"/>
      <c r="M149"/>
      <c r="N149"/>
      <c r="O149"/>
      <c r="P149"/>
      <c r="Q149"/>
      <c r="R149"/>
      <c r="S149"/>
      <c r="T149"/>
      <c r="U149"/>
      <c r="V149"/>
      <c r="W149"/>
      <c r="X149"/>
      <c r="Y149"/>
      <c r="Z149"/>
      <c r="AA149"/>
      <c r="AB149"/>
      <c r="AC149"/>
      <c r="AD149"/>
      <c r="AE149"/>
      <c r="AF149" s="35">
        <v>1237633</v>
      </c>
      <c r="AG149" s="35">
        <v>72271</v>
      </c>
      <c r="AH149" s="217">
        <v>43956</v>
      </c>
      <c r="AI149" t="s">
        <v>374</v>
      </c>
      <c r="AL149"/>
      <c r="AM149"/>
      <c r="AN149"/>
      <c r="AO149"/>
      <c r="AP149"/>
      <c r="AQ149"/>
      <c r="AR149"/>
      <c r="AS149"/>
      <c r="AT149"/>
      <c r="AU149"/>
      <c r="AV149"/>
      <c r="AW149"/>
      <c r="AX149"/>
      <c r="AY149"/>
      <c r="AZ149"/>
      <c r="BA149"/>
      <c r="BB149"/>
      <c r="BC149"/>
      <c r="BD149"/>
      <c r="BE149"/>
      <c r="BF149"/>
      <c r="BG149"/>
    </row>
    <row r="150" spans="3:59" x14ac:dyDescent="0.25">
      <c r="AF150" s="35">
        <v>1237633</v>
      </c>
      <c r="AG150" s="35">
        <v>72271</v>
      </c>
      <c r="AH150" s="217">
        <v>43956</v>
      </c>
      <c r="AI150" t="s">
        <v>336</v>
      </c>
    </row>
    <row r="151" spans="3:59" x14ac:dyDescent="0.25">
      <c r="AF151" s="35">
        <v>1237633</v>
      </c>
      <c r="AG151" s="35">
        <v>72271</v>
      </c>
      <c r="AH151" s="270">
        <v>43956</v>
      </c>
      <c r="AI151" t="s">
        <v>335</v>
      </c>
      <c r="BD151" s="69"/>
      <c r="BE151" s="69"/>
      <c r="BF151" s="69"/>
      <c r="BG151" s="69"/>
    </row>
    <row r="152" spans="3:59" x14ac:dyDescent="0.25">
      <c r="AG152" s="2">
        <v>1292623</v>
      </c>
      <c r="AH152" s="2">
        <v>76928</v>
      </c>
      <c r="AI152" s="270">
        <v>43958</v>
      </c>
      <c r="AJ152" t="s">
        <v>344</v>
      </c>
      <c r="BC152" s="69"/>
    </row>
    <row r="153" spans="3:59" x14ac:dyDescent="0.25">
      <c r="AG153" s="2">
        <v>1321785</v>
      </c>
      <c r="AH153" s="2">
        <v>78615</v>
      </c>
      <c r="AI153" s="217">
        <v>43959</v>
      </c>
      <c r="AJ153" t="s">
        <v>365</v>
      </c>
    </row>
    <row r="154" spans="3:59" x14ac:dyDescent="0.25">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c r="AD154" s="69"/>
      <c r="AE154" s="69"/>
      <c r="AF154" s="69"/>
      <c r="AG154" s="2">
        <v>1321785</v>
      </c>
      <c r="AH154" s="2">
        <v>78615</v>
      </c>
      <c r="AI154" s="270">
        <v>43959</v>
      </c>
      <c r="AJ154" s="69" t="s">
        <v>341</v>
      </c>
      <c r="AK154" s="69"/>
      <c r="AL154" s="69"/>
      <c r="AM154" s="69"/>
      <c r="AN154" s="69"/>
      <c r="AO154" s="69"/>
      <c r="AP154" s="69"/>
      <c r="AQ154" s="69"/>
      <c r="AR154" s="69"/>
      <c r="AS154" s="69"/>
      <c r="AT154" s="69"/>
      <c r="AU154" s="69"/>
      <c r="AV154" s="69"/>
      <c r="AW154" s="69"/>
      <c r="AX154" s="69"/>
      <c r="AY154" s="69"/>
      <c r="AZ154" s="69"/>
      <c r="BD154" s="69"/>
      <c r="BE154" s="69"/>
      <c r="BF154" s="69"/>
      <c r="BG154" s="69"/>
    </row>
    <row r="155" spans="3:59" x14ac:dyDescent="0.25">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c r="AD155" s="69"/>
      <c r="AE155" s="69"/>
      <c r="AF155" s="69"/>
      <c r="AG155" s="2">
        <v>1321785</v>
      </c>
      <c r="AH155" s="2">
        <v>78615</v>
      </c>
      <c r="AI155" s="165">
        <v>43959</v>
      </c>
      <c r="AJ155" s="69" t="s">
        <v>338</v>
      </c>
      <c r="AM155" s="69"/>
      <c r="AN155" s="69"/>
      <c r="AO155" s="69"/>
      <c r="AP155" s="69"/>
      <c r="AQ155" s="69"/>
      <c r="AR155" s="69"/>
      <c r="AS155" s="69"/>
      <c r="AT155" s="69"/>
      <c r="AU155" s="69"/>
      <c r="AV155" s="69"/>
      <c r="AW155" s="69"/>
      <c r="AX155" s="69"/>
      <c r="AY155" s="69"/>
      <c r="AZ155" s="69"/>
      <c r="BD155" s="69"/>
      <c r="BE155" s="69"/>
      <c r="BF155" s="69"/>
      <c r="BG155" s="69"/>
    </row>
    <row r="156" spans="3:59" x14ac:dyDescent="0.25">
      <c r="AG156" s="2">
        <v>1321785</v>
      </c>
      <c r="AH156" s="2">
        <v>78615</v>
      </c>
      <c r="AI156" s="217">
        <v>43959</v>
      </c>
      <c r="AJ156" s="69" t="s">
        <v>342</v>
      </c>
    </row>
    <row r="157" spans="3:59" x14ac:dyDescent="0.25">
      <c r="D157" s="69"/>
      <c r="E157" s="69"/>
      <c r="F157" s="69"/>
      <c r="G157" s="69"/>
      <c r="H157" s="69"/>
      <c r="I157" s="69"/>
      <c r="J157" s="69"/>
      <c r="K157" s="69"/>
      <c r="L157" s="69"/>
      <c r="M157" s="69"/>
      <c r="N157" s="69"/>
      <c r="O157" s="69"/>
      <c r="P157" s="69"/>
      <c r="Q157" s="69"/>
      <c r="R157" s="165"/>
      <c r="S157" s="69"/>
      <c r="T157" s="69"/>
      <c r="U157" s="69"/>
      <c r="AG157" s="2">
        <v>1321785</v>
      </c>
      <c r="AH157" s="2">
        <v>78615</v>
      </c>
      <c r="AI157" s="217">
        <v>43959</v>
      </c>
      <c r="AJ157" s="69" t="s">
        <v>348</v>
      </c>
    </row>
    <row r="158" spans="3:59" x14ac:dyDescent="0.25">
      <c r="D158" s="69"/>
      <c r="E158" s="69"/>
      <c r="F158" s="69"/>
      <c r="G158" s="69"/>
      <c r="H158" s="69"/>
      <c r="I158" s="69"/>
      <c r="J158" s="69"/>
      <c r="K158" s="69"/>
      <c r="L158" s="69"/>
      <c r="M158" s="69"/>
      <c r="N158" s="69"/>
      <c r="O158" s="69"/>
      <c r="P158" s="69"/>
      <c r="Q158" s="69"/>
      <c r="R158" s="165"/>
      <c r="S158" s="69"/>
      <c r="T158" s="69"/>
      <c r="U158" s="69"/>
      <c r="AG158" s="2">
        <v>1347309</v>
      </c>
      <c r="AH158" s="2">
        <v>80037</v>
      </c>
      <c r="AI158" s="217">
        <v>43960</v>
      </c>
      <c r="AJ158" s="69" t="s">
        <v>364</v>
      </c>
      <c r="BA158" s="69"/>
      <c r="BB158" s="69"/>
      <c r="BC158" s="69"/>
      <c r="BD158" s="69"/>
      <c r="BE158" s="69"/>
      <c r="BF158" s="69"/>
      <c r="BG158" s="69"/>
    </row>
    <row r="159" spans="3:59" x14ac:dyDescent="0.25">
      <c r="D159" s="69"/>
      <c r="E159" s="69"/>
      <c r="F159" s="69"/>
      <c r="G159" s="69"/>
      <c r="H159" s="69"/>
      <c r="I159" s="69"/>
      <c r="J159" s="69"/>
      <c r="K159" s="69"/>
      <c r="L159" s="69"/>
      <c r="M159" s="69"/>
      <c r="N159" s="69"/>
      <c r="O159" s="69"/>
      <c r="P159" s="69"/>
      <c r="Q159" s="69"/>
      <c r="R159" s="165"/>
      <c r="S159" s="69"/>
      <c r="T159" s="69"/>
      <c r="U159" s="69"/>
      <c r="AG159" s="2">
        <v>1347309</v>
      </c>
      <c r="AH159" s="2">
        <v>80037</v>
      </c>
      <c r="AI159" s="217">
        <v>43960</v>
      </c>
      <c r="AJ159" s="69" t="s">
        <v>339</v>
      </c>
      <c r="BA159" s="69"/>
      <c r="BB159" s="69"/>
      <c r="BC159" s="69"/>
    </row>
    <row r="160" spans="3:59" x14ac:dyDescent="0.25">
      <c r="C160" s="69"/>
      <c r="D160" s="69"/>
      <c r="E160" s="69"/>
      <c r="F160" s="69"/>
      <c r="G160" s="69"/>
      <c r="H160" s="69"/>
      <c r="I160" s="69"/>
      <c r="J160" s="69"/>
      <c r="K160" s="69"/>
      <c r="L160" s="69"/>
      <c r="M160" s="69"/>
      <c r="N160" s="69"/>
      <c r="O160" s="69"/>
      <c r="P160" s="69"/>
      <c r="Q160" s="69"/>
      <c r="R160" s="165"/>
      <c r="S160" s="69"/>
      <c r="T160" s="69"/>
      <c r="U160" s="69"/>
      <c r="V160" s="69"/>
      <c r="W160" s="69"/>
      <c r="AB160" s="69"/>
      <c r="AC160" s="69"/>
      <c r="AD160" s="69"/>
      <c r="AE160" s="69"/>
      <c r="AF160" s="69"/>
      <c r="AG160" s="2">
        <v>1347309</v>
      </c>
      <c r="AH160" s="2">
        <v>80037</v>
      </c>
      <c r="AI160" s="270">
        <v>43960</v>
      </c>
      <c r="AJ160" s="69" t="s">
        <v>347</v>
      </c>
      <c r="AM160" s="69"/>
      <c r="AN160" s="69"/>
      <c r="AO160" s="69"/>
      <c r="AP160" s="69"/>
      <c r="AQ160" s="69"/>
      <c r="AR160" s="69"/>
      <c r="AS160" s="69"/>
      <c r="AT160" s="69"/>
      <c r="AU160" s="69"/>
      <c r="AV160" s="69"/>
      <c r="AW160" s="69"/>
      <c r="AX160" s="69"/>
      <c r="AY160" s="69"/>
      <c r="AZ160" s="69"/>
      <c r="BA160" s="69"/>
      <c r="BB160" s="69"/>
      <c r="BD160" s="69"/>
      <c r="BE160" s="69"/>
      <c r="BF160" s="69"/>
      <c r="BG160" s="69"/>
    </row>
    <row r="161" spans="3:59" x14ac:dyDescent="0.25">
      <c r="AG161" s="2">
        <v>1347309</v>
      </c>
      <c r="AH161" s="2">
        <v>80037</v>
      </c>
      <c r="AI161" s="217">
        <v>43960</v>
      </c>
      <c r="AJ161" s="69" t="s">
        <v>340</v>
      </c>
      <c r="BA161" s="69"/>
      <c r="BB161" s="69"/>
      <c r="BD161" s="69"/>
      <c r="BE161" s="69"/>
      <c r="BF161" s="69"/>
      <c r="BG161" s="69"/>
    </row>
    <row r="162" spans="3:59" x14ac:dyDescent="0.25">
      <c r="AG162" s="2">
        <v>1367638</v>
      </c>
      <c r="AH162" s="2">
        <v>80787</v>
      </c>
      <c r="AI162" s="217">
        <v>43961</v>
      </c>
      <c r="AJ162" s="69" t="s">
        <v>345</v>
      </c>
    </row>
    <row r="163" spans="3:59" s="69" customFormat="1" x14ac:dyDescent="0.25">
      <c r="C163"/>
      <c r="D163"/>
      <c r="E163"/>
      <c r="F163"/>
      <c r="G163"/>
      <c r="H163"/>
      <c r="I163"/>
      <c r="J163"/>
      <c r="K163"/>
      <c r="L163"/>
      <c r="M163"/>
      <c r="N163"/>
      <c r="O163"/>
      <c r="P163"/>
      <c r="Q163"/>
      <c r="R163"/>
      <c r="S163"/>
      <c r="T163"/>
      <c r="U163"/>
      <c r="V163"/>
      <c r="W163"/>
      <c r="X163"/>
      <c r="Y163"/>
      <c r="Z163"/>
      <c r="AA163"/>
      <c r="AB163"/>
      <c r="AC163"/>
      <c r="AD163"/>
      <c r="AE163"/>
      <c r="AF163"/>
      <c r="AG163" s="2">
        <v>1367638</v>
      </c>
      <c r="AH163" s="2">
        <v>80787</v>
      </c>
      <c r="AI163" s="270">
        <v>43961</v>
      </c>
      <c r="AJ163" s="69" t="s">
        <v>346</v>
      </c>
      <c r="AK163"/>
      <c r="AL163"/>
      <c r="AM163"/>
      <c r="AN163"/>
      <c r="AO163"/>
      <c r="AP163"/>
      <c r="AQ163"/>
      <c r="AR163"/>
      <c r="AS163"/>
      <c r="AT163"/>
      <c r="AU163"/>
      <c r="AV163"/>
      <c r="AW163"/>
      <c r="AX163"/>
      <c r="AY163"/>
      <c r="AZ163"/>
      <c r="BA163"/>
      <c r="BB163"/>
      <c r="BC163"/>
      <c r="BD163"/>
      <c r="BE163"/>
      <c r="BF163"/>
      <c r="BG163"/>
    </row>
    <row r="164" spans="3:59" x14ac:dyDescent="0.25">
      <c r="AG164" s="2">
        <v>1385834</v>
      </c>
      <c r="AH164" s="2">
        <v>81795</v>
      </c>
      <c r="AI164" s="217">
        <v>43962</v>
      </c>
      <c r="AJ164" s="69" t="s">
        <v>349</v>
      </c>
    </row>
    <row r="165" spans="3:59" x14ac:dyDescent="0.25">
      <c r="AG165" s="2">
        <v>1385834</v>
      </c>
      <c r="AH165" s="2">
        <v>81795</v>
      </c>
      <c r="AI165" s="270">
        <v>43962</v>
      </c>
      <c r="AJ165" s="69" t="s">
        <v>350</v>
      </c>
    </row>
    <row r="166" spans="3:59" s="69" customFormat="1" x14ac:dyDescent="0.25">
      <c r="C166"/>
      <c r="D166"/>
      <c r="E166"/>
      <c r="F166"/>
      <c r="G166"/>
      <c r="H166"/>
      <c r="I166"/>
      <c r="J166"/>
      <c r="K166"/>
      <c r="L166"/>
      <c r="M166"/>
      <c r="N166"/>
      <c r="O166"/>
      <c r="P166"/>
      <c r="Q166"/>
      <c r="R166"/>
      <c r="S166"/>
      <c r="T166"/>
      <c r="U166"/>
      <c r="V166"/>
      <c r="W166"/>
      <c r="X166"/>
      <c r="Y166"/>
      <c r="Z166"/>
      <c r="AA166"/>
      <c r="AB166"/>
      <c r="AC166"/>
      <c r="AD166"/>
      <c r="AE166"/>
      <c r="AF166"/>
      <c r="AG166" s="2">
        <v>1385834</v>
      </c>
      <c r="AH166" s="2">
        <v>81795</v>
      </c>
      <c r="AI166" s="165">
        <v>43962</v>
      </c>
      <c r="AJ166" s="69" t="s">
        <v>355</v>
      </c>
      <c r="AK166"/>
      <c r="AL166"/>
      <c r="AM166"/>
      <c r="AN166"/>
      <c r="AO166"/>
      <c r="AP166"/>
      <c r="AQ166"/>
      <c r="AR166"/>
      <c r="AS166"/>
      <c r="AT166"/>
      <c r="AU166"/>
      <c r="AV166"/>
      <c r="AW166"/>
      <c r="AX166"/>
      <c r="AY166"/>
      <c r="AZ166"/>
      <c r="BC166"/>
    </row>
    <row r="167" spans="3:59" s="69" customFormat="1" x14ac:dyDescent="0.25">
      <c r="AG167" s="2">
        <v>1385834</v>
      </c>
      <c r="AH167" s="2">
        <v>81795</v>
      </c>
      <c r="AI167" s="165">
        <v>43962</v>
      </c>
      <c r="AJ167" s="69" t="s">
        <v>353</v>
      </c>
      <c r="BC167"/>
      <c r="BD167"/>
      <c r="BE167"/>
      <c r="BF167"/>
      <c r="BG167"/>
    </row>
    <row r="168" spans="3:59" x14ac:dyDescent="0.25">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2">
        <v>1385834</v>
      </c>
      <c r="AH168" s="2">
        <v>81795</v>
      </c>
      <c r="AI168" s="270">
        <v>43962</v>
      </c>
      <c r="AJ168" s="69" t="s">
        <v>354</v>
      </c>
      <c r="AK168" s="69"/>
      <c r="AL168" s="69"/>
      <c r="AM168" s="69"/>
      <c r="AN168" s="69"/>
      <c r="AO168" s="69"/>
      <c r="AP168" s="69"/>
      <c r="AQ168" s="69"/>
      <c r="AR168" s="69"/>
      <c r="AS168" s="69"/>
      <c r="AT168" s="69"/>
      <c r="AU168" s="69"/>
      <c r="AV168" s="69"/>
      <c r="AW168" s="69"/>
      <c r="AX168" s="69"/>
      <c r="AY168" s="69"/>
      <c r="AZ168" s="69"/>
    </row>
    <row r="169" spans="3:59" x14ac:dyDescent="0.25">
      <c r="AG169" s="2">
        <v>1408636</v>
      </c>
      <c r="AH169" s="2">
        <v>83425</v>
      </c>
      <c r="AI169" s="270">
        <v>43963</v>
      </c>
      <c r="AJ169" t="s">
        <v>352</v>
      </c>
    </row>
    <row r="170" spans="3:59" s="69" customFormat="1" x14ac:dyDescent="0.25">
      <c r="C170"/>
      <c r="D170"/>
      <c r="E170"/>
      <c r="F170"/>
      <c r="G170"/>
      <c r="H170"/>
      <c r="I170"/>
      <c r="J170"/>
      <c r="K170"/>
      <c r="L170"/>
      <c r="M170"/>
      <c r="N170"/>
      <c r="O170"/>
      <c r="P170"/>
      <c r="Q170"/>
      <c r="R170"/>
      <c r="S170"/>
      <c r="T170"/>
      <c r="U170"/>
      <c r="V170"/>
      <c r="W170"/>
      <c r="X170"/>
      <c r="Y170"/>
      <c r="Z170"/>
      <c r="AA170"/>
      <c r="AB170"/>
      <c r="AC170"/>
      <c r="AD170"/>
      <c r="AE170"/>
      <c r="AF170"/>
      <c r="AG170" s="2">
        <v>1430347</v>
      </c>
      <c r="AH170" s="2">
        <v>85197</v>
      </c>
      <c r="AI170" s="270">
        <v>43964</v>
      </c>
      <c r="AJ170" t="s">
        <v>356</v>
      </c>
      <c r="AK170"/>
      <c r="AL170"/>
      <c r="AM170"/>
      <c r="AN170"/>
      <c r="AO170"/>
      <c r="AP170"/>
      <c r="AQ170"/>
      <c r="AR170"/>
      <c r="AS170"/>
      <c r="AT170"/>
      <c r="AU170"/>
      <c r="AV170"/>
      <c r="AW170"/>
      <c r="AX170"/>
      <c r="AY170"/>
      <c r="AZ170"/>
      <c r="BA170"/>
      <c r="BB170"/>
      <c r="BD170"/>
      <c r="BE170"/>
      <c r="BF170"/>
      <c r="BG170"/>
    </row>
    <row r="171" spans="3:59" x14ac:dyDescent="0.25">
      <c r="AG171" s="2">
        <v>1430347</v>
      </c>
      <c r="AH171" s="2">
        <v>85197</v>
      </c>
      <c r="AI171" s="217">
        <v>43964</v>
      </c>
      <c r="AJ171" t="s">
        <v>368</v>
      </c>
      <c r="BC171" s="69"/>
    </row>
    <row r="172" spans="3:59" s="69" customFormat="1" x14ac:dyDescent="0.25">
      <c r="AG172" s="35">
        <v>1484285</v>
      </c>
      <c r="AH172" s="35">
        <v>88507</v>
      </c>
      <c r="AI172" s="217">
        <v>43966</v>
      </c>
      <c r="AJ172" t="s">
        <v>369</v>
      </c>
      <c r="BA172"/>
      <c r="BB172"/>
      <c r="BD172"/>
      <c r="BE172"/>
      <c r="BF172"/>
      <c r="BG172"/>
    </row>
    <row r="173" spans="3:59" s="69" customFormat="1" x14ac:dyDescent="0.25">
      <c r="AG173" s="35">
        <v>1484285</v>
      </c>
      <c r="AH173" s="35">
        <v>88507</v>
      </c>
      <c r="AI173" s="165">
        <v>43966</v>
      </c>
      <c r="AJ173" s="69" t="s">
        <v>370</v>
      </c>
      <c r="AK173"/>
      <c r="BA173"/>
      <c r="BB173"/>
      <c r="BC173"/>
      <c r="BD173"/>
      <c r="BE173"/>
      <c r="BF173"/>
      <c r="BG173"/>
    </row>
    <row r="174" spans="3:59" x14ac:dyDescent="0.25">
      <c r="AG174" s="35">
        <v>1484285</v>
      </c>
      <c r="AH174" s="35">
        <v>88507</v>
      </c>
      <c r="AI174" s="270">
        <v>43966</v>
      </c>
      <c r="AJ174" s="69" t="s">
        <v>371</v>
      </c>
    </row>
    <row r="175" spans="3:59" x14ac:dyDescent="0.25">
      <c r="AG175" s="35">
        <v>1507773</v>
      </c>
      <c r="AH175" s="35">
        <v>90113</v>
      </c>
      <c r="AI175" s="270">
        <v>43967</v>
      </c>
      <c r="AJ175" s="69" t="s">
        <v>372</v>
      </c>
    </row>
    <row r="176" spans="3:59" x14ac:dyDescent="0.25">
      <c r="AG176" s="35">
        <v>1527664</v>
      </c>
      <c r="AH176" s="35">
        <v>90978</v>
      </c>
      <c r="AI176" s="217">
        <v>43968</v>
      </c>
      <c r="AJ176" t="s">
        <v>380</v>
      </c>
    </row>
    <row r="177" spans="33:59" x14ac:dyDescent="0.25">
      <c r="AG177" s="35">
        <v>1527664</v>
      </c>
      <c r="AH177" s="35">
        <v>90978</v>
      </c>
      <c r="AI177" s="270">
        <v>43968</v>
      </c>
      <c r="AJ177" t="s">
        <v>373</v>
      </c>
    </row>
    <row r="178" spans="33:59" s="69" customFormat="1" x14ac:dyDescent="0.25">
      <c r="AH178" s="35">
        <v>1570583</v>
      </c>
      <c r="AI178" s="35">
        <v>93533</v>
      </c>
      <c r="AJ178" s="270">
        <v>43970</v>
      </c>
      <c r="AK178" t="s">
        <v>377</v>
      </c>
    </row>
    <row r="179" spans="33:59" x14ac:dyDescent="0.25">
      <c r="AH179" s="35">
        <v>1570583</v>
      </c>
      <c r="AI179" s="35">
        <v>93533</v>
      </c>
      <c r="AJ179" s="217">
        <v>43970</v>
      </c>
      <c r="AK179" t="s">
        <v>381</v>
      </c>
      <c r="BA179" s="69"/>
      <c r="BB179" s="69"/>
      <c r="BC179" s="69"/>
      <c r="BD179" s="69"/>
      <c r="BE179" s="69"/>
      <c r="BF179" s="69"/>
      <c r="BG179" s="69"/>
    </row>
    <row r="180" spans="33:59" x14ac:dyDescent="0.25">
      <c r="AH180" s="35">
        <v>1570583</v>
      </c>
      <c r="AI180" s="35">
        <v>93533</v>
      </c>
      <c r="AJ180" s="270">
        <v>43970</v>
      </c>
      <c r="AK180" t="s">
        <v>375</v>
      </c>
    </row>
    <row r="181" spans="33:59" x14ac:dyDescent="0.25">
      <c r="AH181" s="35">
        <v>1570583</v>
      </c>
      <c r="AI181" s="35">
        <v>93533</v>
      </c>
      <c r="AJ181" s="270">
        <v>43970</v>
      </c>
      <c r="AK181" t="s">
        <v>379</v>
      </c>
    </row>
    <row r="182" spans="33:59" x14ac:dyDescent="0.25">
      <c r="AH182" s="35">
        <v>1570583</v>
      </c>
      <c r="AI182" s="35">
        <v>93533</v>
      </c>
      <c r="AJ182" s="217">
        <v>43970</v>
      </c>
      <c r="AK182" t="s">
        <v>382</v>
      </c>
    </row>
    <row r="183" spans="33:59" x14ac:dyDescent="0.25">
      <c r="AH183" s="35">
        <v>1570583</v>
      </c>
      <c r="AI183" s="35">
        <v>93533</v>
      </c>
      <c r="AJ183" s="217">
        <v>43970</v>
      </c>
      <c r="AK183" t="s">
        <v>376</v>
      </c>
    </row>
    <row r="184" spans="33:59" x14ac:dyDescent="0.25">
      <c r="BA184" s="69"/>
      <c r="BB184" s="69"/>
      <c r="BC184" s="69"/>
      <c r="BD184" s="69"/>
      <c r="BE184" s="69"/>
      <c r="BF184" s="69"/>
      <c r="BG184" s="69"/>
    </row>
    <row r="185" spans="33:59" x14ac:dyDescent="0.25">
      <c r="AJ185" t="s">
        <v>378</v>
      </c>
    </row>
    <row r="191" spans="33:59" s="69" customFormat="1" x14ac:dyDescent="0.25"/>
    <row r="192" spans="33:59" s="69" customFormat="1" x14ac:dyDescent="0.25"/>
    <row r="194" spans="1:60" x14ac:dyDescent="0.25">
      <c r="A194" s="4" t="s">
        <v>190</v>
      </c>
      <c r="B194" s="221">
        <v>330565500</v>
      </c>
    </row>
    <row r="195" spans="1:60" x14ac:dyDescent="0.25">
      <c r="A195" s="4"/>
      <c r="B195" s="288"/>
    </row>
    <row r="196" spans="1:60" s="69" customFormat="1" x14ac:dyDescent="0.25">
      <c r="A196" s="62"/>
      <c r="B196" s="169"/>
    </row>
    <row r="197" spans="1:60" x14ac:dyDescent="0.25">
      <c r="A197" s="4" t="s">
        <v>114</v>
      </c>
      <c r="B197" s="155">
        <v>0.12</v>
      </c>
      <c r="C197" t="s">
        <v>113</v>
      </c>
      <c r="D197" s="69"/>
      <c r="E197" s="69"/>
      <c r="F197" s="69" t="s">
        <v>304</v>
      </c>
      <c r="G197" s="69"/>
      <c r="H197" s="69"/>
      <c r="I197" s="69"/>
      <c r="J197" s="69"/>
      <c r="K197" s="69"/>
      <c r="L197" s="69"/>
      <c r="M197" s="69"/>
      <c r="N197" s="69"/>
      <c r="O197" s="69"/>
      <c r="P197" s="69"/>
      <c r="Q197" s="69"/>
      <c r="R197" s="69"/>
      <c r="S197" s="165"/>
      <c r="T197" s="69"/>
      <c r="U197" s="165"/>
      <c r="X197" s="198"/>
      <c r="Y197" s="16"/>
    </row>
    <row r="198" spans="1:60" x14ac:dyDescent="0.25">
      <c r="A198" s="37" t="s">
        <v>116</v>
      </c>
      <c r="B198" s="114">
        <v>7.0000000000000007E-2</v>
      </c>
      <c r="C198" s="248"/>
      <c r="D198" s="69"/>
      <c r="E198" s="69"/>
      <c r="F198" s="69"/>
      <c r="G198" s="69"/>
      <c r="H198" s="69"/>
      <c r="I198" s="69"/>
      <c r="J198" s="69"/>
      <c r="K198" s="69"/>
      <c r="L198" s="69"/>
      <c r="M198" s="69"/>
      <c r="N198" s="69"/>
      <c r="O198" s="69"/>
      <c r="P198" s="69"/>
      <c r="Q198" s="69"/>
      <c r="R198" s="69"/>
      <c r="S198" s="69"/>
      <c r="T198" s="165"/>
      <c r="U198" s="165"/>
      <c r="V198" s="69"/>
      <c r="W198" s="69"/>
      <c r="X198" s="16"/>
      <c r="Y198" s="16"/>
    </row>
    <row r="199" spans="1:60" x14ac:dyDescent="0.25">
      <c r="A199" s="4" t="s">
        <v>179</v>
      </c>
      <c r="B199" s="249">
        <v>2.4</v>
      </c>
      <c r="C199" s="64">
        <f>(B194/1000)*B199</f>
        <v>793357.2</v>
      </c>
      <c r="D199" s="69"/>
      <c r="E199" s="69"/>
      <c r="F199" s="69"/>
      <c r="G199" s="69"/>
      <c r="H199" s="69"/>
      <c r="I199" s="69"/>
      <c r="J199" s="69"/>
      <c r="K199" s="69"/>
      <c r="L199" s="69"/>
      <c r="M199" s="69"/>
      <c r="N199" s="69"/>
      <c r="O199" s="69"/>
      <c r="P199" s="69"/>
      <c r="Q199" s="69"/>
      <c r="R199" s="69"/>
      <c r="S199" s="69"/>
      <c r="T199" s="69"/>
      <c r="U199" s="69"/>
      <c r="V199" s="69"/>
      <c r="W199" s="69"/>
      <c r="X199" s="16"/>
      <c r="Y199" s="16"/>
      <c r="AA199" s="120"/>
    </row>
    <row r="200" spans="1:60" x14ac:dyDescent="0.25">
      <c r="A200" s="37" t="s">
        <v>180</v>
      </c>
      <c r="B200" s="250">
        <v>34.700000000000003</v>
      </c>
      <c r="C200" s="61">
        <f>(B194/100000)*B200</f>
        <v>114706.22850000001</v>
      </c>
      <c r="D200" s="69"/>
      <c r="E200" s="69"/>
      <c r="F200" s="69"/>
      <c r="G200" s="69"/>
      <c r="H200" s="69"/>
      <c r="I200" s="69"/>
      <c r="J200" s="69"/>
      <c r="K200" s="69"/>
      <c r="L200" s="69"/>
      <c r="M200" s="69"/>
      <c r="N200" s="69"/>
      <c r="O200" s="69"/>
      <c r="P200" s="69"/>
      <c r="Q200" s="69"/>
      <c r="R200" s="69"/>
      <c r="S200" s="69"/>
      <c r="T200" s="69"/>
      <c r="U200" s="69"/>
      <c r="V200" s="150"/>
      <c r="W200" s="69"/>
      <c r="AL200" s="255"/>
    </row>
    <row r="201" spans="1:60" x14ac:dyDescent="0.25">
      <c r="A201" s="41"/>
      <c r="B201" s="289"/>
      <c r="C201" s="10"/>
      <c r="D201" s="69"/>
      <c r="E201" s="69"/>
      <c r="F201" s="69"/>
      <c r="G201" s="69"/>
      <c r="H201" s="69"/>
      <c r="I201" s="69"/>
      <c r="J201" s="69"/>
      <c r="K201" s="69"/>
      <c r="L201" s="69"/>
      <c r="M201" s="69"/>
      <c r="N201" s="69"/>
      <c r="O201" s="69"/>
      <c r="P201" s="69"/>
      <c r="Q201" s="69"/>
      <c r="R201" s="69"/>
      <c r="S201" s="69"/>
      <c r="T201" s="69"/>
      <c r="U201" s="69"/>
      <c r="V201" s="150"/>
      <c r="W201" s="69"/>
    </row>
    <row r="202" spans="1:60" x14ac:dyDescent="0.25">
      <c r="A202" s="4" t="s">
        <v>74</v>
      </c>
      <c r="B202" s="112">
        <v>0.81</v>
      </c>
      <c r="C202" s="2"/>
      <c r="D202" s="69"/>
      <c r="E202" s="69"/>
      <c r="F202" s="69"/>
      <c r="G202" s="69"/>
      <c r="H202" s="69"/>
      <c r="I202" s="69"/>
      <c r="J202" s="69"/>
      <c r="K202" s="69"/>
      <c r="L202" s="69"/>
      <c r="M202" s="69"/>
      <c r="N202" s="69"/>
      <c r="O202" s="69"/>
      <c r="P202" s="69"/>
      <c r="Q202" s="69"/>
      <c r="R202" s="69"/>
      <c r="S202" s="69"/>
      <c r="T202" s="69"/>
      <c r="U202" s="69"/>
      <c r="Z202" s="217"/>
      <c r="AC202" s="255"/>
    </row>
    <row r="203" spans="1:60" x14ac:dyDescent="0.25">
      <c r="A203" s="41" t="s">
        <v>75</v>
      </c>
      <c r="B203" s="113">
        <v>0.14000000000000001</v>
      </c>
      <c r="C203" s="2"/>
      <c r="D203" s="69"/>
      <c r="E203" s="69"/>
      <c r="F203" s="69"/>
      <c r="G203" s="69"/>
      <c r="H203" s="69"/>
      <c r="I203" s="69"/>
      <c r="J203" s="69"/>
      <c r="K203" s="69"/>
      <c r="L203" s="69"/>
      <c r="M203" s="69"/>
      <c r="N203" s="69"/>
      <c r="O203" s="69"/>
      <c r="P203" s="69"/>
      <c r="Q203" s="69"/>
      <c r="R203" s="69"/>
      <c r="S203" s="69"/>
      <c r="T203" s="69"/>
      <c r="U203" s="47"/>
      <c r="V203" s="69"/>
      <c r="W203" s="165"/>
      <c r="AC203" s="217"/>
      <c r="AV203" s="255"/>
      <c r="AW203" s="255"/>
      <c r="AX203" s="255"/>
      <c r="AY203" s="255"/>
      <c r="AZ203" s="255"/>
    </row>
    <row r="204" spans="1:60" x14ac:dyDescent="0.25">
      <c r="A204" s="37" t="s">
        <v>109</v>
      </c>
      <c r="B204" s="114">
        <v>0.05</v>
      </c>
      <c r="C204" s="2"/>
      <c r="D204" s="212" t="s">
        <v>169</v>
      </c>
      <c r="T204" s="16"/>
      <c r="U204" s="16"/>
      <c r="V204" s="259"/>
      <c r="W204" s="16"/>
      <c r="AE204" s="2"/>
      <c r="AJ204" s="217"/>
      <c r="AK204" s="217"/>
      <c r="BA204" s="175"/>
      <c r="BB204" s="175"/>
      <c r="BC204" s="175"/>
      <c r="BD204" s="175"/>
      <c r="BE204" s="175"/>
      <c r="BF204" s="175"/>
    </row>
    <row r="205" spans="1:60" x14ac:dyDescent="0.25">
      <c r="A205" s="37" t="s">
        <v>115</v>
      </c>
      <c r="B205" s="65">
        <v>5.8999999999999997E-2</v>
      </c>
      <c r="C205" s="2"/>
      <c r="D205" s="179" t="s">
        <v>161</v>
      </c>
      <c r="U205" s="16"/>
      <c r="V205" s="16"/>
      <c r="W205" s="16"/>
      <c r="AI205" s="217"/>
      <c r="AJ205" s="217"/>
      <c r="AV205" s="176"/>
      <c r="AW205" s="176"/>
      <c r="AX205" s="176"/>
      <c r="AY205" s="176"/>
      <c r="AZ205" s="176"/>
    </row>
    <row r="206" spans="1:60" x14ac:dyDescent="0.25">
      <c r="A206" s="153" t="s">
        <v>302</v>
      </c>
      <c r="B206" s="154">
        <v>43851</v>
      </c>
      <c r="C206" s="2"/>
      <c r="D206" s="256">
        <f>(BA209-P209)/(LOG(BA210/P210)/LOG(2))</f>
        <v>36</v>
      </c>
      <c r="E206" s="175"/>
      <c r="S206" s="16"/>
      <c r="T206" s="16"/>
      <c r="U206" s="16"/>
      <c r="V206" s="16"/>
      <c r="W206" s="16"/>
      <c r="AC206" t="s">
        <v>334</v>
      </c>
      <c r="AK206" s="217"/>
      <c r="AL206" s="217"/>
    </row>
    <row r="207" spans="1:60" x14ac:dyDescent="0.25">
      <c r="A207" s="16"/>
      <c r="B207" s="50" t="s">
        <v>54</v>
      </c>
      <c r="C207" s="10"/>
      <c r="D207" s="16"/>
      <c r="E207" s="16"/>
      <c r="F207" s="16"/>
      <c r="G207" s="16"/>
      <c r="H207" s="16"/>
      <c r="I207" s="16"/>
      <c r="J207" s="16"/>
      <c r="K207" s="16"/>
      <c r="L207" s="16"/>
      <c r="M207" s="16"/>
      <c r="N207" s="16"/>
      <c r="O207" s="16"/>
      <c r="Q207" s="16"/>
      <c r="R207" s="16"/>
      <c r="S207" s="16"/>
      <c r="T207" s="16"/>
      <c r="U207" s="16"/>
      <c r="V207" s="16"/>
      <c r="W207" s="16"/>
      <c r="X207" s="16"/>
      <c r="Y207" s="16"/>
      <c r="Z207" s="16"/>
      <c r="AA207" s="16"/>
      <c r="AB207" s="16"/>
      <c r="AC207" s="16"/>
      <c r="AD207" s="16"/>
      <c r="AE207" s="16"/>
      <c r="AF207" s="16" t="s">
        <v>294</v>
      </c>
      <c r="AG207" s="16"/>
      <c r="AH207" s="16"/>
      <c r="AI207" s="16"/>
      <c r="AJ207" s="16"/>
      <c r="AK207" s="16"/>
      <c r="AL207" s="16"/>
      <c r="AM207" s="16"/>
      <c r="AN207" s="16"/>
      <c r="AO207" s="16"/>
      <c r="AP207" s="16"/>
      <c r="AQ207" s="16"/>
      <c r="AR207" s="16"/>
      <c r="AS207" s="16"/>
      <c r="AT207" s="16"/>
      <c r="AU207" s="16"/>
      <c r="BH207" s="152"/>
    </row>
    <row r="208" spans="1:60" x14ac:dyDescent="0.25">
      <c r="A208" s="53" t="s">
        <v>41</v>
      </c>
      <c r="B208" s="192">
        <v>43882</v>
      </c>
      <c r="C208" s="192">
        <v>43890</v>
      </c>
      <c r="D208" s="192">
        <v>43893</v>
      </c>
      <c r="E208" s="192">
        <v>43895</v>
      </c>
      <c r="F208" s="192">
        <v>43904</v>
      </c>
      <c r="G208" s="192">
        <v>43912</v>
      </c>
      <c r="H208" s="192">
        <v>43918</v>
      </c>
      <c r="I208" s="192">
        <v>43923</v>
      </c>
      <c r="J208" s="192">
        <v>43932</v>
      </c>
      <c r="K208" s="192">
        <v>43948</v>
      </c>
      <c r="L208" s="192">
        <v>43980</v>
      </c>
      <c r="M208" s="192">
        <v>44012</v>
      </c>
      <c r="N208" s="192">
        <v>44044</v>
      </c>
      <c r="O208" s="192"/>
      <c r="Q208" s="133" t="s">
        <v>303</v>
      </c>
      <c r="R208" s="16"/>
      <c r="S208" s="16"/>
      <c r="T208" s="16"/>
      <c r="U208" s="16"/>
      <c r="V208" s="16"/>
      <c r="W208" s="16"/>
      <c r="X208" s="16"/>
      <c r="Y208" s="182"/>
      <c r="Z208" s="16"/>
      <c r="AA208" s="16"/>
      <c r="AB208" s="16"/>
      <c r="AC208" s="16" t="s">
        <v>269</v>
      </c>
      <c r="AG208" t="s">
        <v>305</v>
      </c>
      <c r="AL208" s="16"/>
      <c r="AM208" s="16"/>
      <c r="AN208" s="16"/>
      <c r="AO208" s="16"/>
      <c r="AP208" s="16"/>
      <c r="AQ208" s="16"/>
      <c r="AR208" s="16"/>
      <c r="AS208" s="16"/>
      <c r="AT208" s="16"/>
      <c r="AU208" s="16"/>
      <c r="BB208" s="212" t="s">
        <v>170</v>
      </c>
      <c r="BH208" s="252" t="s">
        <v>189</v>
      </c>
    </row>
    <row r="209" spans="1:63" x14ac:dyDescent="0.25">
      <c r="A209" s="4" t="s">
        <v>11</v>
      </c>
      <c r="B209" s="84">
        <v>8</v>
      </c>
      <c r="C209" s="157">
        <v>3</v>
      </c>
      <c r="D209" s="258">
        <v>2</v>
      </c>
      <c r="E209" s="157">
        <v>3</v>
      </c>
      <c r="F209" s="258">
        <v>2</v>
      </c>
      <c r="G209" s="157">
        <v>3</v>
      </c>
      <c r="H209" s="156">
        <v>5</v>
      </c>
      <c r="I209" s="257">
        <v>9</v>
      </c>
      <c r="J209">
        <v>16</v>
      </c>
      <c r="K209">
        <v>42</v>
      </c>
      <c r="L209">
        <v>64</v>
      </c>
      <c r="M209">
        <v>128</v>
      </c>
      <c r="N209">
        <v>256</v>
      </c>
      <c r="O209" s="220"/>
      <c r="P209" s="277">
        <v>43882</v>
      </c>
      <c r="Q209" s="278">
        <f t="shared" ref="Q209:AD209" si="0">P209+HLOOKUP(P209+1, $B$208:$O$209,2,TRUE)</f>
        <v>43890</v>
      </c>
      <c r="R209" s="279">
        <f t="shared" si="0"/>
        <v>43893</v>
      </c>
      <c r="S209" s="278">
        <f t="shared" si="0"/>
        <v>43895</v>
      </c>
      <c r="T209" s="278">
        <f t="shared" si="0"/>
        <v>43898</v>
      </c>
      <c r="U209" s="278">
        <f t="shared" si="0"/>
        <v>43901</v>
      </c>
      <c r="V209" s="279">
        <f t="shared" si="0"/>
        <v>43904</v>
      </c>
      <c r="W209" s="279">
        <f t="shared" si="0"/>
        <v>43906</v>
      </c>
      <c r="X209" s="279">
        <f t="shared" si="0"/>
        <v>43908</v>
      </c>
      <c r="Y209" s="279">
        <f t="shared" si="0"/>
        <v>43910</v>
      </c>
      <c r="Z209" s="278">
        <f t="shared" si="0"/>
        <v>43912</v>
      </c>
      <c r="AA209" s="280">
        <f t="shared" si="0"/>
        <v>43915</v>
      </c>
      <c r="AB209" s="280">
        <f t="shared" si="0"/>
        <v>43918</v>
      </c>
      <c r="AC209" s="281">
        <f t="shared" si="0"/>
        <v>43923</v>
      </c>
      <c r="AD209" s="282">
        <f t="shared" si="0"/>
        <v>43932</v>
      </c>
      <c r="AE209" s="283">
        <f>$AD$209+(($AH$209-$AD$209)*0.25)</f>
        <v>43936</v>
      </c>
      <c r="AF209" s="283">
        <f>$AD$209+(($AH$209-$AD$209)*0.5)</f>
        <v>43940</v>
      </c>
      <c r="AG209" s="283">
        <f>$AD$209+(($AH$209-$AD$209)*0.75)</f>
        <v>43944</v>
      </c>
      <c r="AH209" s="282">
        <f>AD209+HLOOKUP(AD209+1, $B$208:$O$209,2,TRUE)</f>
        <v>43948</v>
      </c>
      <c r="AI209" s="283">
        <f>$AH$209+(($AL$209-$AH$209)*0.25)</f>
        <v>43958.5</v>
      </c>
      <c r="AJ209" s="287">
        <f>$AH$209+(($AL$209-$AH$209)*0.5)</f>
        <v>43969</v>
      </c>
      <c r="AK209" s="285">
        <f>$AH$209+(($AL$209-$AH$209)*0.75)</f>
        <v>43979.5</v>
      </c>
      <c r="AL209" s="228">
        <f>AH209+HLOOKUP(AH209+1, $B$208:$O$209,2,TRUE)</f>
        <v>43990</v>
      </c>
      <c r="AM209" s="285">
        <f>$AL$209+(($AQ$209-$AL$209)*0.2)</f>
        <v>44002.8</v>
      </c>
      <c r="AN209" s="285">
        <f>$AL$209+(($AQ$209-$AL$209)*0.4)</f>
        <v>44015.6</v>
      </c>
      <c r="AO209" s="285">
        <f>$AL$209+(($AQ$209-$AL$209)*0.6)</f>
        <v>44028.4</v>
      </c>
      <c r="AP209" s="285">
        <f>$AL$209+(($AQ$209-$AL$209)*0.8)</f>
        <v>44041.2</v>
      </c>
      <c r="AQ209" s="228">
        <f>AL209+HLOOKUP(AL209+1, $B$208:$O$209,2,TRUE)</f>
        <v>44054</v>
      </c>
      <c r="AR209" s="285">
        <f>$AQ$209+(($AV$209-$AQ$209)*0.2)</f>
        <v>44105.2</v>
      </c>
      <c r="AS209" s="285">
        <f>$AQ$209+(($AV$209-$AQ$209)*0.4)</f>
        <v>44156.4</v>
      </c>
      <c r="AT209" s="285">
        <f>$AQ$209+(($AV$209-$AQ$209)*0.6)</f>
        <v>44207.6</v>
      </c>
      <c r="AU209" s="285">
        <f>$AQ$209+(($AV$209-$AQ$209)*0.8)</f>
        <v>44258.8</v>
      </c>
      <c r="AV209" s="228">
        <f>AQ209+HLOOKUP(AQ209+1, $B$208:$O$209,2,TRUE)</f>
        <v>44310</v>
      </c>
      <c r="AW209" s="285">
        <f>$AV$209+(($BA$209-$AV$209)*0.2)</f>
        <v>44361.2</v>
      </c>
      <c r="AX209" s="285">
        <f>$AV$209+(($BA$209-$AV$209)*0.4)</f>
        <v>44412.4</v>
      </c>
      <c r="AY209" s="285">
        <f>$AV$209+(($BA$209-$AV$209)*0.6)</f>
        <v>44463.6</v>
      </c>
      <c r="AZ209" s="285">
        <f>$AV$209+(($BA$209-$AV$209)*0.8)</f>
        <v>44514.8</v>
      </c>
      <c r="BA209" s="237">
        <f>AV209+HLOOKUP(AV209+1, $B$208:$O$209,2,TRUE)</f>
        <v>44566</v>
      </c>
      <c r="BB209" s="228">
        <f t="shared" ref="BB209:BG209" si="1">BA209+HLOOKUP(BA209+1, $B$208:$O$209,2,TRUE)</f>
        <v>44822</v>
      </c>
      <c r="BC209" s="228">
        <f t="shared" si="1"/>
        <v>45078</v>
      </c>
      <c r="BD209" s="228">
        <f t="shared" si="1"/>
        <v>45334</v>
      </c>
      <c r="BE209" s="228">
        <f t="shared" si="1"/>
        <v>45590</v>
      </c>
      <c r="BF209" s="237">
        <f t="shared" si="1"/>
        <v>45846</v>
      </c>
      <c r="BG209" s="237">
        <f t="shared" si="1"/>
        <v>46102</v>
      </c>
      <c r="BH209" s="251">
        <f>BG209+(7*8)</f>
        <v>46158</v>
      </c>
      <c r="BI209" s="70"/>
      <c r="BJ209" s="70"/>
      <c r="BK209" s="69"/>
    </row>
    <row r="210" spans="1:63" x14ac:dyDescent="0.25">
      <c r="A210" s="41" t="s">
        <v>107</v>
      </c>
      <c r="B210" s="16"/>
      <c r="C210" s="16"/>
      <c r="D210" s="16"/>
      <c r="E210" s="16"/>
      <c r="F210" s="16"/>
      <c r="G210" s="16"/>
      <c r="H210" s="16"/>
      <c r="I210" s="16"/>
      <c r="J210" s="16"/>
      <c r="K210" s="16"/>
      <c r="L210" s="16"/>
      <c r="M210" s="16"/>
      <c r="N210" s="16"/>
      <c r="O210" s="16"/>
      <c r="P210" s="273">
        <v>31.25</v>
      </c>
      <c r="Q210" s="274">
        <f>P210*2</f>
        <v>62.5</v>
      </c>
      <c r="R210" s="274">
        <f t="shared" ref="R210:AD210" si="2">Q210*2</f>
        <v>125</v>
      </c>
      <c r="S210" s="274">
        <f t="shared" si="2"/>
        <v>250</v>
      </c>
      <c r="T210" s="274">
        <f t="shared" si="2"/>
        <v>500</v>
      </c>
      <c r="U210" s="274">
        <f t="shared" si="2"/>
        <v>1000</v>
      </c>
      <c r="V210" s="274">
        <f t="shared" si="2"/>
        <v>2000</v>
      </c>
      <c r="W210" s="274">
        <f t="shared" si="2"/>
        <v>4000</v>
      </c>
      <c r="X210" s="274">
        <f t="shared" si="2"/>
        <v>8000</v>
      </c>
      <c r="Y210" s="274">
        <f>X210*2</f>
        <v>16000</v>
      </c>
      <c r="Z210" s="274">
        <f>Y210*2</f>
        <v>32000</v>
      </c>
      <c r="AA210" s="274">
        <f>Z210*2</f>
        <v>64000</v>
      </c>
      <c r="AB210" s="274">
        <f>AA210*2</f>
        <v>128000</v>
      </c>
      <c r="AC210" s="274">
        <f t="shared" si="2"/>
        <v>256000</v>
      </c>
      <c r="AD210" s="274">
        <f t="shared" si="2"/>
        <v>512000</v>
      </c>
      <c r="AE210" s="274">
        <f>$AD$210+(($AH$210-$AD$210)*0.25)</f>
        <v>640000</v>
      </c>
      <c r="AF210" s="274">
        <f>$AD$210+(($AH$210-$AD$210)*0.5)</f>
        <v>768000</v>
      </c>
      <c r="AG210" s="274">
        <f>$AD$210+(($AH$210-$AD$210)*0.75)</f>
        <v>896000</v>
      </c>
      <c r="AH210" s="274">
        <f>AD210*2</f>
        <v>1024000</v>
      </c>
      <c r="AI210" s="274">
        <f>$AH$210+(($AL$210-$AH$210)*0.28)</f>
        <v>1310720</v>
      </c>
      <c r="AJ210" s="274">
        <f>$AH$210+(($AL$210-$AH$210)*0.5)</f>
        <v>1536000</v>
      </c>
      <c r="AK210" s="274">
        <f>$AH$210+(($AL$210-$AH$210)*0.75)</f>
        <v>1792000</v>
      </c>
      <c r="AL210" s="274">
        <f>AH210*2</f>
        <v>2048000</v>
      </c>
      <c r="AM210" s="274">
        <f>$AL$210+(($AQ$210-$AL$210)*0.2)</f>
        <v>2457600</v>
      </c>
      <c r="AN210" s="274">
        <f>$AL$210+(($AQ$210-$AL$210)*0.4)</f>
        <v>2867200</v>
      </c>
      <c r="AO210" s="274">
        <f>$AL$210+(($AQ$210-$AL$210)*0.6)</f>
        <v>3276800</v>
      </c>
      <c r="AP210" s="274">
        <f>$AL$210+(($AQ$210-$AL$210)*0.8)</f>
        <v>3686400</v>
      </c>
      <c r="AQ210" s="274">
        <f>AL210*2</f>
        <v>4096000</v>
      </c>
      <c r="AR210" s="274">
        <f>$AQ$210+(($AV$210-$AQ$210)*0.2)</f>
        <v>4915200</v>
      </c>
      <c r="AS210" s="274">
        <f>$AQ$210+(($AV$210-$AQ$210)*0.4)</f>
        <v>5734400</v>
      </c>
      <c r="AT210" s="274">
        <f>$AQ$210+(($AV$210-$AQ$210)*0.6)</f>
        <v>6553600</v>
      </c>
      <c r="AU210" s="274">
        <f>$AQ$210+(($AV$210-$AQ$210)*0.8)</f>
        <v>7372800</v>
      </c>
      <c r="AV210" s="274">
        <f>AQ210*2</f>
        <v>8192000</v>
      </c>
      <c r="AW210" s="274">
        <f>$AV$210+(($BA$210-$AV$210)*0.2)</f>
        <v>9830400</v>
      </c>
      <c r="AX210" s="274">
        <f>$AV$210+(($BA$210-$AV$210)*0.4)</f>
        <v>11468800</v>
      </c>
      <c r="AY210" s="274">
        <f>$AV$210+(($BA$210-$AV$210)*0.6)</f>
        <v>13107200</v>
      </c>
      <c r="AZ210" s="274">
        <f>$AV$210+(($BA$210-$AV$210)*0.8)</f>
        <v>14745600</v>
      </c>
      <c r="BA210" s="275">
        <f>AV210*2</f>
        <v>16384000</v>
      </c>
      <c r="BB210" s="238">
        <f t="shared" ref="BB210:BE210" si="3">BA210*2</f>
        <v>32768000</v>
      </c>
      <c r="BC210" s="208">
        <f t="shared" si="3"/>
        <v>65536000</v>
      </c>
      <c r="BD210" s="208">
        <f t="shared" si="3"/>
        <v>131072000</v>
      </c>
      <c r="BE210" s="208">
        <f t="shared" si="3"/>
        <v>262144000</v>
      </c>
      <c r="BF210" s="209">
        <f>B194</f>
        <v>330565500</v>
      </c>
      <c r="BG210" s="199">
        <f>B194</f>
        <v>330565500</v>
      </c>
      <c r="BH210" s="242">
        <f>B194*BH211</f>
        <v>23139585.000000004</v>
      </c>
      <c r="BI210" s="45"/>
      <c r="BJ210" s="45"/>
      <c r="BK210" s="69"/>
    </row>
    <row r="211" spans="1:63" x14ac:dyDescent="0.25">
      <c r="A211" s="41" t="s">
        <v>108</v>
      </c>
      <c r="B211" s="16"/>
      <c r="C211" s="16"/>
      <c r="D211" s="16"/>
      <c r="E211" s="16"/>
      <c r="F211" s="16"/>
      <c r="G211" s="16"/>
      <c r="H211" s="16"/>
      <c r="I211" s="16"/>
      <c r="J211" s="16"/>
      <c r="K211" s="16"/>
      <c r="L211" s="16"/>
      <c r="M211" s="16"/>
      <c r="N211" s="16"/>
      <c r="O211" s="16"/>
      <c r="P211" s="218">
        <f t="shared" ref="P211:AP211" si="4">P210/$B$194</f>
        <v>9.453497113280122E-8</v>
      </c>
      <c r="Q211" s="219">
        <f t="shared" si="4"/>
        <v>1.8906994226560244E-7</v>
      </c>
      <c r="R211" s="219">
        <f t="shared" si="4"/>
        <v>3.7813988453120488E-7</v>
      </c>
      <c r="S211" s="196">
        <f t="shared" si="4"/>
        <v>7.5627976906240976E-7</v>
      </c>
      <c r="T211" s="196">
        <f t="shared" si="4"/>
        <v>1.5125595381248195E-6</v>
      </c>
      <c r="U211" s="196">
        <f t="shared" si="4"/>
        <v>3.025119076249639E-6</v>
      </c>
      <c r="V211" s="196">
        <f t="shared" si="4"/>
        <v>6.0502381524992781E-6</v>
      </c>
      <c r="W211" s="66">
        <f t="shared" si="4"/>
        <v>1.2100476304998556E-5</v>
      </c>
      <c r="X211" s="36">
        <f t="shared" si="4"/>
        <v>2.4200952609997112E-5</v>
      </c>
      <c r="Y211" s="36">
        <f>Y210/$B$194</f>
        <v>4.8401905219994225E-5</v>
      </c>
      <c r="Z211" s="36">
        <f>Z210/$B$194</f>
        <v>9.6803810439988449E-5</v>
      </c>
      <c r="AA211" s="36">
        <f>AA210/$B$194</f>
        <v>1.936076208799769E-4</v>
      </c>
      <c r="AB211" s="36">
        <f>AB210/$B$194</f>
        <v>3.872152417599538E-4</v>
      </c>
      <c r="AC211" s="14">
        <f t="shared" si="4"/>
        <v>7.7443048351990759E-4</v>
      </c>
      <c r="AD211" s="14">
        <f t="shared" si="4"/>
        <v>1.5488609670398152E-3</v>
      </c>
      <c r="AE211" s="14">
        <f t="shared" ref="AE211:AG211" si="5">AE210/$B$194</f>
        <v>1.9360762087997688E-3</v>
      </c>
      <c r="AF211" s="14">
        <f t="shared" si="5"/>
        <v>2.3232914505597227E-3</v>
      </c>
      <c r="AG211" s="14">
        <f t="shared" si="5"/>
        <v>2.7105066923196765E-3</v>
      </c>
      <c r="AH211" s="14">
        <f t="shared" si="4"/>
        <v>3.0977219340796304E-3</v>
      </c>
      <c r="AI211" s="14">
        <f t="shared" ref="AI211:AK211" si="6">AI210/$B$194</f>
        <v>3.9650840756219269E-3</v>
      </c>
      <c r="AJ211" s="14">
        <f t="shared" si="6"/>
        <v>4.6465829011194454E-3</v>
      </c>
      <c r="AK211" s="14">
        <f t="shared" si="6"/>
        <v>5.4210133846393531E-3</v>
      </c>
      <c r="AL211" s="14">
        <f t="shared" si="4"/>
        <v>6.1954438681592608E-3</v>
      </c>
      <c r="AM211" s="15">
        <f t="shared" si="4"/>
        <v>7.4345326417911122E-3</v>
      </c>
      <c r="AN211" s="15">
        <f t="shared" si="4"/>
        <v>8.6736214154229645E-3</v>
      </c>
      <c r="AO211" s="15">
        <f t="shared" si="4"/>
        <v>9.9127101890548169E-3</v>
      </c>
      <c r="AP211" s="15">
        <f t="shared" si="4"/>
        <v>1.1151798962686669E-2</v>
      </c>
      <c r="AQ211" s="15">
        <f>AQ210/$B$194</f>
        <v>1.2390887736318522E-2</v>
      </c>
      <c r="AR211" s="15">
        <f t="shared" ref="AR211:AU211" si="7">AR210/$B$194</f>
        <v>1.4869065283582224E-2</v>
      </c>
      <c r="AS211" s="15">
        <f t="shared" si="7"/>
        <v>1.7347242830845929E-2</v>
      </c>
      <c r="AT211" s="15">
        <f t="shared" si="7"/>
        <v>1.9825420378109634E-2</v>
      </c>
      <c r="AU211" s="15">
        <f t="shared" si="7"/>
        <v>2.2303597925373338E-2</v>
      </c>
      <c r="AV211" s="15">
        <f>AV210/$B$194</f>
        <v>2.4781775472637043E-2</v>
      </c>
      <c r="AW211" s="15">
        <f t="shared" ref="AW211:AZ211" si="8">AW210/$B$194</f>
        <v>2.9738130567164449E-2</v>
      </c>
      <c r="AX211" s="15">
        <f t="shared" si="8"/>
        <v>3.4694485661691858E-2</v>
      </c>
      <c r="AY211" s="15">
        <f t="shared" si="8"/>
        <v>3.9650840756219267E-2</v>
      </c>
      <c r="AZ211" s="15">
        <f t="shared" si="8"/>
        <v>4.4607195850746677E-2</v>
      </c>
      <c r="BA211" s="224">
        <f>BA210/$B$194</f>
        <v>4.9563550945274086E-2</v>
      </c>
      <c r="BB211" s="260">
        <f t="shared" ref="BB211:BF211" si="9">BB210/$B$194</f>
        <v>9.9127101890548172E-2</v>
      </c>
      <c r="BC211" s="223">
        <f t="shared" si="9"/>
        <v>0.19825420378109634</v>
      </c>
      <c r="BD211" s="223">
        <f t="shared" si="9"/>
        <v>0.39650840756219269</v>
      </c>
      <c r="BE211" s="223">
        <f t="shared" si="9"/>
        <v>0.79301681512438538</v>
      </c>
      <c r="BF211" s="178">
        <f t="shared" si="9"/>
        <v>1</v>
      </c>
      <c r="BG211" s="177">
        <f>BG210/$B$194</f>
        <v>1</v>
      </c>
      <c r="BH211" s="243">
        <f>B198</f>
        <v>7.0000000000000007E-2</v>
      </c>
      <c r="BI211" s="25"/>
      <c r="BJ211" s="25"/>
      <c r="BK211" s="69"/>
    </row>
    <row r="212" spans="1:63" x14ac:dyDescent="0.25">
      <c r="A212" s="41" t="s">
        <v>157</v>
      </c>
      <c r="B212" s="16"/>
      <c r="C212" s="16"/>
      <c r="D212" s="16"/>
      <c r="E212" s="16"/>
      <c r="F212" s="16"/>
      <c r="G212" s="16"/>
      <c r="H212" s="16"/>
      <c r="I212" s="16"/>
      <c r="J212" s="16"/>
      <c r="K212" s="16"/>
      <c r="L212" s="16"/>
      <c r="M212" s="16"/>
      <c r="N212" s="16"/>
      <c r="O212" s="16"/>
      <c r="P212" s="264">
        <f t="shared" ref="P212:Y212" si="10">MAX(P210-(P218-P219)-(P220-P221)-(P222-P223),0)</f>
        <v>25.558430925469978</v>
      </c>
      <c r="Q212" s="265">
        <f t="shared" si="10"/>
        <v>48.253729583441825</v>
      </c>
      <c r="R212" s="265">
        <f t="shared" si="10"/>
        <v>104.90319014596037</v>
      </c>
      <c r="S212" s="265">
        <f t="shared" si="10"/>
        <v>224.72190063694103</v>
      </c>
      <c r="T212" s="265">
        <f>MAX(T210-(T218-T219)-(T220-T221)-(T222-T223),0)</f>
        <v>468.16151942648673</v>
      </c>
      <c r="U212" s="265">
        <f t="shared" si="10"/>
        <v>955.08635794363818</v>
      </c>
      <c r="V212" s="265">
        <f>MAX(V210-(V218-V219)-(V220-V221)-(V222-V223),0)</f>
        <v>1950.8214285714287</v>
      </c>
      <c r="W212" s="265">
        <f t="shared" si="10"/>
        <v>3941.9387841598559</v>
      </c>
      <c r="X212" s="265">
        <f t="shared" si="10"/>
        <v>7899.3926009765419</v>
      </c>
      <c r="Y212" s="265">
        <f t="shared" si="10"/>
        <v>15815.828395301851</v>
      </c>
      <c r="Z212" s="265">
        <f>MAX(Z210-(Z218-Z219)-(Z220-Z221)-(Z222-Z223),0)</f>
        <v>31608.741071428572</v>
      </c>
      <c r="AA212" s="265">
        <f t="shared" ref="AA212:BA212" si="11">MAX(AA210-(AA218-AA219)-(AA220-AA221)-(AA222-AA223),0)</f>
        <v>63059.098214285717</v>
      </c>
      <c r="AB212" s="265">
        <f t="shared" si="11"/>
        <v>125994.22083273345</v>
      </c>
      <c r="AC212" s="265">
        <f t="shared" si="11"/>
        <v>247644.31677867728</v>
      </c>
      <c r="AD212" s="265">
        <f t="shared" si="11"/>
        <v>416172.14285714284</v>
      </c>
      <c r="AE212" s="265">
        <f t="shared" ref="AE212:AG212" si="12">MAX(AE210-(AE218-AE219)-(AE220-AE221)-(AE222-AE223),0)</f>
        <v>402226.56939406152</v>
      </c>
      <c r="AF212" s="265">
        <f t="shared" si="12"/>
        <v>399354.62073629722</v>
      </c>
      <c r="AG212" s="265">
        <f t="shared" si="12"/>
        <v>119097.53326256634</v>
      </c>
      <c r="AH212" s="265">
        <f t="shared" si="11"/>
        <v>413664.82197137375</v>
      </c>
      <c r="AI212" s="265">
        <f t="shared" ref="AI212:AK212" si="13">MAX(AI210-(AI218-AI219)-(AI220-AI221)-(AI222-AI223),0)</f>
        <v>560043.97974272678</v>
      </c>
      <c r="AJ212" s="265">
        <f t="shared" si="13"/>
        <v>83274.795974478722</v>
      </c>
      <c r="AK212" s="265">
        <f t="shared" si="13"/>
        <v>82241.515071343136</v>
      </c>
      <c r="AL212" s="265">
        <f t="shared" si="11"/>
        <v>99140.08618808625</v>
      </c>
      <c r="AM212" s="265">
        <f t="shared" ref="AM212:AP212" si="14">MAX(AM210-(AM218-AM219)-(AM220-AM221)-(AM222-AM223),0)</f>
        <v>20224.752035916521</v>
      </c>
      <c r="AN212" s="265">
        <f t="shared" si="14"/>
        <v>0</v>
      </c>
      <c r="AO212" s="265">
        <f t="shared" si="14"/>
        <v>0</v>
      </c>
      <c r="AP212" s="265">
        <f t="shared" si="14"/>
        <v>0</v>
      </c>
      <c r="AQ212" s="265">
        <f t="shared" si="11"/>
        <v>0</v>
      </c>
      <c r="AR212" s="265">
        <f t="shared" ref="AR212:AU212" si="15">MAX(AR210-(AR218-AR219)-(AR220-AR221)-(AR222-AR223),0)</f>
        <v>0</v>
      </c>
      <c r="AS212" s="265">
        <f t="shared" si="15"/>
        <v>0</v>
      </c>
      <c r="AT212" s="265">
        <f t="shared" si="15"/>
        <v>0</v>
      </c>
      <c r="AU212" s="265">
        <f t="shared" si="15"/>
        <v>0</v>
      </c>
      <c r="AV212" s="265">
        <f t="shared" si="11"/>
        <v>0</v>
      </c>
      <c r="AW212" s="265">
        <f t="shared" ref="AW212:AZ212" si="16">MAX(AW210-(AW218-AW219)-(AW220-AW221)-(AW222-AW223),0)</f>
        <v>0</v>
      </c>
      <c r="AX212" s="265">
        <f t="shared" si="16"/>
        <v>0</v>
      </c>
      <c r="AY212" s="265">
        <f t="shared" si="16"/>
        <v>0</v>
      </c>
      <c r="AZ212" s="265">
        <f t="shared" si="16"/>
        <v>0</v>
      </c>
      <c r="BA212" s="268">
        <f t="shared" si="11"/>
        <v>0</v>
      </c>
      <c r="BB212" s="240">
        <f t="shared" ref="BB212:BF212" si="17">MAX(BB210-(BB218-BB219)-(BB220-BB221)-(BB222-BB223),0)</f>
        <v>0</v>
      </c>
      <c r="BC212" s="199">
        <f t="shared" si="17"/>
        <v>0</v>
      </c>
      <c r="BD212" s="199">
        <f t="shared" si="17"/>
        <v>0</v>
      </c>
      <c r="BE212" s="199">
        <f t="shared" si="17"/>
        <v>0</v>
      </c>
      <c r="BF212" s="200">
        <f t="shared" si="17"/>
        <v>0</v>
      </c>
      <c r="BG212" s="199">
        <f>MAX(BG210-(BG218-BG219)-(BG220-BG221)-(BG222-BG223),0)</f>
        <v>0</v>
      </c>
      <c r="BH212" s="244"/>
      <c r="BI212" s="45"/>
      <c r="BJ212" s="45"/>
      <c r="BK212" s="69"/>
    </row>
    <row r="213" spans="1:63" x14ac:dyDescent="0.25">
      <c r="A213" s="41" t="s">
        <v>171</v>
      </c>
      <c r="B213" s="16"/>
      <c r="C213" s="16"/>
      <c r="D213" s="16"/>
      <c r="E213" s="16"/>
      <c r="F213" s="16"/>
      <c r="G213" s="16"/>
      <c r="H213" s="16"/>
      <c r="I213" s="16"/>
      <c r="J213" s="16"/>
      <c r="K213" s="16"/>
      <c r="L213" s="16"/>
      <c r="M213" s="16"/>
      <c r="N213" s="16"/>
      <c r="O213" s="16"/>
      <c r="P213" s="86">
        <f>MAX(P210-P212-P225,0)</f>
        <v>5.6915690745300225</v>
      </c>
      <c r="Q213" s="87">
        <f>MAX(Q210-Q212-Q225,0)</f>
        <v>14.246270416558175</v>
      </c>
      <c r="R213" s="87">
        <f t="shared" ref="R213:S213" si="18">MAX(R210-R212-R225,0)</f>
        <v>20.096809854039634</v>
      </c>
      <c r="S213" s="87">
        <f t="shared" si="18"/>
        <v>25.278099363058971</v>
      </c>
      <c r="T213" s="121">
        <f>MAX(T210-T212-T225,0)</f>
        <v>31.838480573513266</v>
      </c>
      <c r="U213" s="121">
        <f t="shared" ref="U213:BA213" si="19">MAX(U210-U212-U225,0)</f>
        <v>44.913642056361823</v>
      </c>
      <c r="V213" s="121">
        <f t="shared" si="19"/>
        <v>49.178571428571331</v>
      </c>
      <c r="W213" s="121">
        <f t="shared" si="19"/>
        <v>58.061215840144087</v>
      </c>
      <c r="X213" s="121">
        <f t="shared" si="19"/>
        <v>100.60739902345813</v>
      </c>
      <c r="Y213" s="121">
        <f t="shared" si="19"/>
        <v>184.17160469814917</v>
      </c>
      <c r="Z213" s="121">
        <f t="shared" si="19"/>
        <v>391.25892857142753</v>
      </c>
      <c r="AA213" s="121">
        <f t="shared" si="19"/>
        <v>940.9017857142826</v>
      </c>
      <c r="AB213" s="121">
        <f t="shared" si="19"/>
        <v>2003.7113570348822</v>
      </c>
      <c r="AC213" s="121">
        <f t="shared" si="19"/>
        <v>8352.0141689341526</v>
      </c>
      <c r="AD213" s="121">
        <f t="shared" si="19"/>
        <v>95812.399151249774</v>
      </c>
      <c r="AE213" s="121">
        <f t="shared" ref="AE213:AG213" si="20">MAX(AE210-AE212-AE225,0)</f>
        <v>237704.89578450992</v>
      </c>
      <c r="AF213" s="121">
        <f t="shared" si="20"/>
        <v>368467.31815135264</v>
      </c>
      <c r="AG213" s="121">
        <f t="shared" si="20"/>
        <v>776294.06938257115</v>
      </c>
      <c r="AH213" s="121">
        <f t="shared" si="19"/>
        <v>608093.48355927167</v>
      </c>
      <c r="AI213" s="121">
        <f t="shared" ref="AI213:AK213" si="21">MAX(AI210-AI212-AI225,0)</f>
        <v>735959.1453717968</v>
      </c>
      <c r="AJ213" s="121">
        <f t="shared" si="21"/>
        <v>1410892.8540212316</v>
      </c>
      <c r="AK213" s="121">
        <f t="shared" si="21"/>
        <v>1659092.7794346062</v>
      </c>
      <c r="AL213" s="121">
        <f t="shared" si="19"/>
        <v>1790668.8969138388</v>
      </c>
      <c r="AM213" s="121">
        <f t="shared" ref="AM213:AP213" si="22">MAX(AM210-AM212-AM225,0)</f>
        <v>2192830.1940432428</v>
      </c>
      <c r="AN213" s="121">
        <f t="shared" si="22"/>
        <v>2760515.2805460696</v>
      </c>
      <c r="AO213" s="121">
        <f t="shared" si="22"/>
        <v>3124379.1396338972</v>
      </c>
      <c r="AP213" s="121">
        <f t="shared" si="22"/>
        <v>3541471.9839022495</v>
      </c>
      <c r="AQ213" s="121">
        <f t="shared" si="19"/>
        <v>3914852.1716521145</v>
      </c>
      <c r="AR213" s="121">
        <f t="shared" ref="AR213:AU213" si="23">MAX(AR210-AR212-AR225,0)</f>
        <v>4267526.2226976203</v>
      </c>
      <c r="AS213" s="121">
        <f t="shared" si="23"/>
        <v>5238258.5854402725</v>
      </c>
      <c r="AT213" s="121">
        <f t="shared" si="23"/>
        <v>6003603.2129952675</v>
      </c>
      <c r="AU213" s="121">
        <f t="shared" si="23"/>
        <v>6776810.2200248018</v>
      </c>
      <c r="AV213" s="121">
        <f t="shared" si="19"/>
        <v>7553169.9401841639</v>
      </c>
      <c r="AW213" s="121">
        <f t="shared" ref="AW213:AZ213" si="24">MAX(AW210-AW212-AW225,0)</f>
        <v>9141342.7992494106</v>
      </c>
      <c r="AX213" s="121">
        <f t="shared" si="24"/>
        <v>10822374.316105444</v>
      </c>
      <c r="AY213" s="121">
        <f t="shared" si="24"/>
        <v>12306847.927861013</v>
      </c>
      <c r="AZ213" s="121">
        <f t="shared" si="24"/>
        <v>13812961.978412606</v>
      </c>
      <c r="BA213" s="122">
        <f t="shared" si="19"/>
        <v>15332664.730537362</v>
      </c>
      <c r="BB213" s="261">
        <f>MAX(BB210-BB212-BB225,0)</f>
        <v>0</v>
      </c>
      <c r="BC213" s="213">
        <f>MAX(BC210-BC212-BC225,0)</f>
        <v>21784401.835517131</v>
      </c>
      <c r="BD213" s="213">
        <f t="shared" ref="BD213:BG213" si="25">MAX(BD210-BD212-BD225,0)</f>
        <v>81281492.749823615</v>
      </c>
      <c r="BE213" s="213">
        <f t="shared" si="25"/>
        <v>193017093.56137794</v>
      </c>
      <c r="BF213" s="214">
        <f t="shared" si="25"/>
        <v>223495107.69848305</v>
      </c>
      <c r="BG213" s="213">
        <f t="shared" si="25"/>
        <v>153297419.10961282</v>
      </c>
      <c r="BH213" s="245"/>
      <c r="BI213" s="25"/>
      <c r="BJ213" s="25"/>
      <c r="BK213" s="69"/>
    </row>
    <row r="214" spans="1:63" x14ac:dyDescent="0.25">
      <c r="A214" s="4" t="s">
        <v>164</v>
      </c>
      <c r="B214" s="9"/>
      <c r="C214" s="9"/>
      <c r="D214" s="9"/>
      <c r="E214" s="9"/>
      <c r="F214" s="9"/>
      <c r="G214" s="9"/>
      <c r="H214" s="9"/>
      <c r="I214" s="9"/>
      <c r="J214" s="9"/>
      <c r="K214" s="9"/>
      <c r="L214" s="9"/>
      <c r="M214" s="9"/>
      <c r="N214" s="9"/>
      <c r="O214" s="5"/>
      <c r="P214" s="197">
        <f t="shared" ref="P214:BC214" si="26">P210/$B$197</f>
        <v>260.41666666666669</v>
      </c>
      <c r="Q214" s="198">
        <f t="shared" si="26"/>
        <v>520.83333333333337</v>
      </c>
      <c r="R214" s="198">
        <f t="shared" si="26"/>
        <v>1041.6666666666667</v>
      </c>
      <c r="S214" s="198">
        <f t="shared" si="26"/>
        <v>2083.3333333333335</v>
      </c>
      <c r="T214" s="198">
        <f t="shared" si="26"/>
        <v>4166.666666666667</v>
      </c>
      <c r="U214" s="198">
        <f t="shared" si="26"/>
        <v>8333.3333333333339</v>
      </c>
      <c r="V214" s="198">
        <f t="shared" si="26"/>
        <v>16666.666666666668</v>
      </c>
      <c r="W214" s="198">
        <f t="shared" si="26"/>
        <v>33333.333333333336</v>
      </c>
      <c r="X214" s="198">
        <f t="shared" si="26"/>
        <v>66666.666666666672</v>
      </c>
      <c r="Y214" s="198">
        <f t="shared" si="26"/>
        <v>133333.33333333334</v>
      </c>
      <c r="Z214" s="198">
        <f t="shared" si="26"/>
        <v>266666.66666666669</v>
      </c>
      <c r="AA214" s="198">
        <f t="shared" si="26"/>
        <v>533333.33333333337</v>
      </c>
      <c r="AB214" s="198">
        <f t="shared" si="26"/>
        <v>1066666.6666666667</v>
      </c>
      <c r="AC214" s="198">
        <f t="shared" si="26"/>
        <v>2133333.3333333335</v>
      </c>
      <c r="AD214" s="198">
        <f t="shared" si="26"/>
        <v>4266666.666666667</v>
      </c>
      <c r="AE214" s="198">
        <f t="shared" ref="AE214:AG214" si="27">AE210/$B$197</f>
        <v>5333333.333333334</v>
      </c>
      <c r="AF214" s="198">
        <f t="shared" si="27"/>
        <v>6400000</v>
      </c>
      <c r="AG214" s="198">
        <f t="shared" si="27"/>
        <v>7466666.666666667</v>
      </c>
      <c r="AH214" s="198">
        <f t="shared" si="26"/>
        <v>8533333.333333334</v>
      </c>
      <c r="AI214" s="198">
        <f t="shared" ref="AI214:AK214" si="28">AI210/$B$197</f>
        <v>10922666.666666668</v>
      </c>
      <c r="AJ214" s="198">
        <f t="shared" si="28"/>
        <v>12800000</v>
      </c>
      <c r="AK214" s="198">
        <f t="shared" si="28"/>
        <v>14933333.333333334</v>
      </c>
      <c r="AL214" s="198">
        <f t="shared" si="26"/>
        <v>17066666.666666668</v>
      </c>
      <c r="AM214" s="198">
        <f t="shared" ref="AM214:AP214" si="29">AM210/$B$197</f>
        <v>20480000</v>
      </c>
      <c r="AN214" s="198">
        <f t="shared" si="29"/>
        <v>23893333.333333336</v>
      </c>
      <c r="AO214" s="198">
        <f t="shared" si="29"/>
        <v>27306666.666666668</v>
      </c>
      <c r="AP214" s="198">
        <f t="shared" si="29"/>
        <v>30720000</v>
      </c>
      <c r="AQ214" s="198">
        <f t="shared" si="26"/>
        <v>34133333.333333336</v>
      </c>
      <c r="AR214" s="198">
        <f t="shared" ref="AR214:AU214" si="30">AR210/$B$197</f>
        <v>40960000</v>
      </c>
      <c r="AS214" s="198">
        <f t="shared" si="30"/>
        <v>47786666.666666672</v>
      </c>
      <c r="AT214" s="198">
        <f t="shared" si="30"/>
        <v>54613333.333333336</v>
      </c>
      <c r="AU214" s="198">
        <f t="shared" si="30"/>
        <v>61440000</v>
      </c>
      <c r="AV214" s="198">
        <f t="shared" si="26"/>
        <v>68266666.666666672</v>
      </c>
      <c r="AW214" s="198">
        <f t="shared" ref="AW214:AZ214" si="31">AW210/$B$197</f>
        <v>81920000</v>
      </c>
      <c r="AX214" s="198">
        <f t="shared" si="31"/>
        <v>95573333.333333343</v>
      </c>
      <c r="AY214" s="198">
        <f t="shared" si="31"/>
        <v>109226666.66666667</v>
      </c>
      <c r="AZ214" s="198">
        <f t="shared" si="31"/>
        <v>122880000</v>
      </c>
      <c r="BA214" s="198">
        <f t="shared" si="26"/>
        <v>136533333.33333334</v>
      </c>
      <c r="BB214" s="238">
        <f t="shared" si="26"/>
        <v>273066666.66666669</v>
      </c>
      <c r="BC214" s="208">
        <f t="shared" si="26"/>
        <v>546133333.33333337</v>
      </c>
      <c r="BD214" s="208">
        <f>$B$194</f>
        <v>330565500</v>
      </c>
      <c r="BE214" s="208">
        <f t="shared" ref="BE214:BF214" si="32">$B$194</f>
        <v>330565500</v>
      </c>
      <c r="BF214" s="209">
        <f t="shared" si="32"/>
        <v>330565500</v>
      </c>
      <c r="BG214" s="199">
        <f>BG210</f>
        <v>330565500</v>
      </c>
      <c r="BH214" s="244">
        <f>($B$194*$B$198)/$B$197</f>
        <v>192829875.00000003</v>
      </c>
      <c r="BI214" s="25"/>
      <c r="BJ214" s="25"/>
      <c r="BK214" s="69"/>
    </row>
    <row r="215" spans="1:63" x14ac:dyDescent="0.25">
      <c r="A215" s="41" t="s">
        <v>112</v>
      </c>
      <c r="B215" s="16"/>
      <c r="C215" s="16"/>
      <c r="D215" s="16"/>
      <c r="E215" s="16"/>
      <c r="F215" s="16"/>
      <c r="G215" s="16"/>
      <c r="H215" s="16"/>
      <c r="I215" s="16"/>
      <c r="J215" s="16"/>
      <c r="K215" s="16"/>
      <c r="L215" s="16"/>
      <c r="M215" s="16"/>
      <c r="N215" s="16"/>
      <c r="O215" s="17"/>
      <c r="P215" s="195">
        <f>P214/$B$194</f>
        <v>7.8779142610667684E-7</v>
      </c>
      <c r="Q215" s="196">
        <f t="shared" ref="Q215:AV215" si="33">Q214/$B$194</f>
        <v>1.5755828522133537E-6</v>
      </c>
      <c r="R215" s="196">
        <f t="shared" si="33"/>
        <v>3.1511657044267074E-6</v>
      </c>
      <c r="S215" s="66">
        <f t="shared" si="33"/>
        <v>6.3023314088534147E-6</v>
      </c>
      <c r="T215" s="66">
        <f t="shared" si="33"/>
        <v>1.2604662817706829E-5</v>
      </c>
      <c r="U215" s="66">
        <f t="shared" si="33"/>
        <v>2.5209325635413659E-5</v>
      </c>
      <c r="V215" s="66">
        <f t="shared" si="33"/>
        <v>5.0418651270827318E-5</v>
      </c>
      <c r="W215" s="66">
        <f t="shared" si="33"/>
        <v>1.0083730254165464E-4</v>
      </c>
      <c r="X215" s="36">
        <f t="shared" si="33"/>
        <v>2.0167460508330927E-4</v>
      </c>
      <c r="Y215" s="36">
        <f t="shared" si="33"/>
        <v>4.0334921016661854E-4</v>
      </c>
      <c r="Z215" s="36">
        <f t="shared" si="33"/>
        <v>8.0669842033323708E-4</v>
      </c>
      <c r="AA215" s="36">
        <f t="shared" si="33"/>
        <v>1.6133968406664742E-3</v>
      </c>
      <c r="AB215" s="14">
        <f t="shared" si="33"/>
        <v>3.2267936813329483E-3</v>
      </c>
      <c r="AC215" s="15">
        <f t="shared" si="33"/>
        <v>6.4535873626658967E-3</v>
      </c>
      <c r="AD215" s="15">
        <f t="shared" si="33"/>
        <v>1.2907174725331793E-2</v>
      </c>
      <c r="AE215" s="15">
        <f t="shared" ref="AE215:AG215" si="34">AE214/$B$194</f>
        <v>1.6133968406664742E-2</v>
      </c>
      <c r="AF215" s="15">
        <f t="shared" si="34"/>
        <v>1.9360762087997689E-2</v>
      </c>
      <c r="AG215" s="15">
        <f t="shared" si="34"/>
        <v>2.258755576933064E-2</v>
      </c>
      <c r="AH215" s="15">
        <f t="shared" si="33"/>
        <v>2.5814349450663587E-2</v>
      </c>
      <c r="AI215" s="15">
        <f t="shared" ref="AI215:AK215" si="35">AI214/$B$194</f>
        <v>3.3042367296849395E-2</v>
      </c>
      <c r="AJ215" s="15">
        <f t="shared" si="35"/>
        <v>3.8721524175995378E-2</v>
      </c>
      <c r="AK215" s="15">
        <f t="shared" si="35"/>
        <v>4.5175111538661279E-2</v>
      </c>
      <c r="AL215" s="15">
        <f t="shared" si="33"/>
        <v>5.1628698901327173E-2</v>
      </c>
      <c r="AM215" s="15">
        <f t="shared" ref="AM215:AP215" si="36">AM214/$B$194</f>
        <v>6.1954438681592602E-2</v>
      </c>
      <c r="AN215" s="15">
        <f t="shared" si="36"/>
        <v>7.2280178461858052E-2</v>
      </c>
      <c r="AO215" s="15">
        <f t="shared" si="36"/>
        <v>8.2605918242123474E-2</v>
      </c>
      <c r="AP215" s="15">
        <f t="shared" si="36"/>
        <v>9.293165802238891E-2</v>
      </c>
      <c r="AQ215" s="15">
        <f t="shared" si="33"/>
        <v>0.10325739780265435</v>
      </c>
      <c r="AR215" s="75">
        <f t="shared" ref="AR215:AU215" si="37">AR214/$B$194</f>
        <v>0.1239088773631852</v>
      </c>
      <c r="AS215" s="75">
        <f t="shared" si="37"/>
        <v>0.1445603569237161</v>
      </c>
      <c r="AT215" s="75">
        <f t="shared" si="37"/>
        <v>0.16521183648424695</v>
      </c>
      <c r="AU215" s="75">
        <f t="shared" si="37"/>
        <v>0.18586331604477782</v>
      </c>
      <c r="AV215" s="75">
        <f t="shared" si="33"/>
        <v>0.20651479560530869</v>
      </c>
      <c r="AW215" s="75">
        <f t="shared" ref="AW215:AZ215" si="38">AW214/$B$194</f>
        <v>0.24781775472637041</v>
      </c>
      <c r="AX215" s="75">
        <f t="shared" si="38"/>
        <v>0.28912071384743221</v>
      </c>
      <c r="AY215" s="75">
        <f t="shared" si="38"/>
        <v>0.3304236729684939</v>
      </c>
      <c r="AZ215" s="75">
        <f t="shared" si="38"/>
        <v>0.37172663208955564</v>
      </c>
      <c r="BA215" s="75">
        <f>BA214/$B$194</f>
        <v>0.41302959121061739</v>
      </c>
      <c r="BB215" s="239">
        <f t="shared" ref="BB215:BF215" si="39">BB214/$B$194</f>
        <v>0.82605918242123477</v>
      </c>
      <c r="BC215" s="177">
        <f t="shared" si="39"/>
        <v>1.6521183648424695</v>
      </c>
      <c r="BD215" s="177">
        <f t="shared" si="39"/>
        <v>1</v>
      </c>
      <c r="BE215" s="177">
        <f t="shared" si="39"/>
        <v>1</v>
      </c>
      <c r="BF215" s="178">
        <f t="shared" si="39"/>
        <v>1</v>
      </c>
      <c r="BG215" s="177">
        <v>1</v>
      </c>
      <c r="BH215" s="243">
        <f>BH214/B194</f>
        <v>0.58333333333333337</v>
      </c>
      <c r="BI215" s="25"/>
      <c r="BJ215" s="25"/>
      <c r="BK215" s="69"/>
    </row>
    <row r="216" spans="1:63" x14ac:dyDescent="0.25">
      <c r="A216" s="41" t="s">
        <v>162</v>
      </c>
      <c r="B216" s="16"/>
      <c r="C216" s="16"/>
      <c r="D216" s="16"/>
      <c r="E216" s="16"/>
      <c r="F216" s="16"/>
      <c r="G216" s="16"/>
      <c r="H216" s="16"/>
      <c r="I216" s="16"/>
      <c r="J216" s="16"/>
      <c r="K216" s="16"/>
      <c r="L216" s="16"/>
      <c r="M216" s="16"/>
      <c r="N216" s="16"/>
      <c r="O216" s="17"/>
      <c r="P216" s="197">
        <f>P214-P210</f>
        <v>229.16666666666669</v>
      </c>
      <c r="Q216" s="198">
        <f t="shared" ref="Q216:AU216" si="40">Q214-Q210</f>
        <v>458.33333333333337</v>
      </c>
      <c r="R216" s="198">
        <f t="shared" si="40"/>
        <v>916.66666666666674</v>
      </c>
      <c r="S216" s="198">
        <f t="shared" si="40"/>
        <v>1833.3333333333335</v>
      </c>
      <c r="T216" s="198">
        <f>T214-T210</f>
        <v>3666.666666666667</v>
      </c>
      <c r="U216" s="198">
        <f t="shared" si="40"/>
        <v>7333.3333333333339</v>
      </c>
      <c r="V216" s="198">
        <f t="shared" si="40"/>
        <v>14666.666666666668</v>
      </c>
      <c r="W216" s="198">
        <f t="shared" si="40"/>
        <v>29333.333333333336</v>
      </c>
      <c r="X216" s="198">
        <f t="shared" si="40"/>
        <v>58666.666666666672</v>
      </c>
      <c r="Y216" s="198">
        <f t="shared" si="40"/>
        <v>117333.33333333334</v>
      </c>
      <c r="Z216" s="198">
        <f t="shared" si="40"/>
        <v>234666.66666666669</v>
      </c>
      <c r="AA216" s="198">
        <f t="shared" si="40"/>
        <v>469333.33333333337</v>
      </c>
      <c r="AB216" s="198">
        <f t="shared" si="40"/>
        <v>938666.66666666674</v>
      </c>
      <c r="AC216" s="198">
        <f t="shared" si="40"/>
        <v>1877333.3333333335</v>
      </c>
      <c r="AD216" s="198">
        <f t="shared" si="40"/>
        <v>3754666.666666667</v>
      </c>
      <c r="AE216" s="198">
        <f t="shared" ref="AE216:AG216" si="41">AE214-AE210</f>
        <v>4693333.333333334</v>
      </c>
      <c r="AF216" s="198">
        <f t="shared" si="41"/>
        <v>5632000</v>
      </c>
      <c r="AG216" s="198">
        <f t="shared" si="41"/>
        <v>6570666.666666667</v>
      </c>
      <c r="AH216" s="198">
        <f t="shared" si="40"/>
        <v>7509333.333333334</v>
      </c>
      <c r="AI216" s="198">
        <f t="shared" ref="AI216:AK216" si="42">AI214-AI210</f>
        <v>9611946.6666666679</v>
      </c>
      <c r="AJ216" s="198">
        <f t="shared" si="42"/>
        <v>11264000</v>
      </c>
      <c r="AK216" s="198">
        <f t="shared" si="42"/>
        <v>13141333.333333334</v>
      </c>
      <c r="AL216" s="198">
        <f t="shared" si="40"/>
        <v>15018666.666666668</v>
      </c>
      <c r="AM216" s="198">
        <f t="shared" ref="AM216:AP216" si="43">AM214-AM210</f>
        <v>18022400</v>
      </c>
      <c r="AN216" s="198">
        <f t="shared" si="43"/>
        <v>21026133.333333336</v>
      </c>
      <c r="AO216" s="198">
        <f t="shared" si="43"/>
        <v>24029866.666666668</v>
      </c>
      <c r="AP216" s="198">
        <f t="shared" si="43"/>
        <v>27033600</v>
      </c>
      <c r="AQ216" s="198">
        <f t="shared" si="40"/>
        <v>30037333.333333336</v>
      </c>
      <c r="AR216" s="198">
        <f t="shared" si="40"/>
        <v>36044800</v>
      </c>
      <c r="AS216" s="198">
        <f t="shared" si="40"/>
        <v>42052266.666666672</v>
      </c>
      <c r="AT216" s="198">
        <f t="shared" si="40"/>
        <v>48059733.333333336</v>
      </c>
      <c r="AU216" s="198">
        <f t="shared" si="40"/>
        <v>54067200</v>
      </c>
      <c r="AV216" s="198">
        <f>AV214-AV210</f>
        <v>60074666.666666672</v>
      </c>
      <c r="AW216" s="198">
        <f t="shared" ref="AW216:AZ216" si="44">AW214-AW210</f>
        <v>72089600</v>
      </c>
      <c r="AX216" s="198">
        <f t="shared" si="44"/>
        <v>84104533.333333343</v>
      </c>
      <c r="AY216" s="198">
        <f t="shared" si="44"/>
        <v>96119466.666666672</v>
      </c>
      <c r="AZ216" s="198">
        <f t="shared" si="44"/>
        <v>108134400</v>
      </c>
      <c r="BA216" s="198">
        <f>BA214-BA210</f>
        <v>120149333.33333334</v>
      </c>
      <c r="BB216" s="240">
        <f>BB214-BB210</f>
        <v>240298666.66666669</v>
      </c>
      <c r="BC216" s="199">
        <f t="shared" ref="BC216:BF216" si="45">BC214</f>
        <v>546133333.33333337</v>
      </c>
      <c r="BD216" s="199">
        <f t="shared" si="45"/>
        <v>330565500</v>
      </c>
      <c r="BE216" s="199">
        <f t="shared" si="45"/>
        <v>330565500</v>
      </c>
      <c r="BF216" s="200">
        <f t="shared" si="45"/>
        <v>330565500</v>
      </c>
      <c r="BG216" s="199">
        <f>BG214</f>
        <v>330565500</v>
      </c>
      <c r="BH216" s="246">
        <f>BH214-BH210</f>
        <v>169690290.00000003</v>
      </c>
      <c r="BI216" s="25"/>
      <c r="BJ216" s="25"/>
      <c r="BK216" s="69"/>
    </row>
    <row r="217" spans="1:63" x14ac:dyDescent="0.25">
      <c r="A217" s="37" t="s">
        <v>163</v>
      </c>
      <c r="B217" s="39"/>
      <c r="C217" s="39"/>
      <c r="D217" s="39"/>
      <c r="E217" s="39"/>
      <c r="F217" s="39"/>
      <c r="G217" s="39"/>
      <c r="H217" s="39"/>
      <c r="I217" s="39"/>
      <c r="J217" s="39"/>
      <c r="K217" s="39"/>
      <c r="L217" s="39"/>
      <c r="M217" s="39"/>
      <c r="N217" s="39"/>
      <c r="O217" s="63"/>
      <c r="P217" s="206">
        <f>MIN((1/$B$197)*(2^(((P209 - 14) - $B$206)/$P$235)),P216)</f>
        <v>58.555237392284177</v>
      </c>
      <c r="Q217" s="207">
        <f>MIN((1/$B$197)*(2^(((Q209 - 14) - $B$206)/$P$235)),Q216)</f>
        <v>146.56656807158615</v>
      </c>
      <c r="R217" s="207">
        <f>MIN((1/$B$197)*(2^(((R209 - 14) - $B$206)/$P$235)),R216)</f>
        <v>206.75730302509908</v>
      </c>
      <c r="S217" s="207">
        <f>MIN((1/$B$197)*(2^(((S209 - 14) - $B$206)/$P$235)),S216)</f>
        <v>260.06275064875484</v>
      </c>
      <c r="T217" s="198">
        <f t="shared" ref="T217:AV217" si="46">MIN(($P$210/$B$197)*(2^(((T209 - 14) - $P$209)/HLOOKUP((T209-14)-$B$206,$P$233:$BH$235,3,TRUE))),T216)</f>
        <v>327.55638450116504</v>
      </c>
      <c r="U217" s="198">
        <f t="shared" si="46"/>
        <v>462.07450675269331</v>
      </c>
      <c r="V217" s="198">
        <f t="shared" si="46"/>
        <v>505.95238095238091</v>
      </c>
      <c r="W217" s="198">
        <f t="shared" si="46"/>
        <v>597.33761152411716</v>
      </c>
      <c r="X217" s="198">
        <f t="shared" si="46"/>
        <v>1035.0555455088277</v>
      </c>
      <c r="Y217" s="198">
        <f t="shared" si="46"/>
        <v>1894.7695956599703</v>
      </c>
      <c r="Z217" s="198">
        <f t="shared" si="46"/>
        <v>4025.2976190476184</v>
      </c>
      <c r="AA217" s="198">
        <f t="shared" si="46"/>
        <v>9680.0595238095229</v>
      </c>
      <c r="AB217" s="198">
        <f t="shared" si="46"/>
        <v>20617.559523809519</v>
      </c>
      <c r="AC217" s="198">
        <f t="shared" si="46"/>
        <v>85931.829782836779</v>
      </c>
      <c r="AD217" s="198">
        <f t="shared" si="46"/>
        <v>928482.14285714307</v>
      </c>
      <c r="AE217" s="198">
        <f t="shared" si="46"/>
        <v>2303837.6131082745</v>
      </c>
      <c r="AF217" s="198">
        <f t="shared" si="46"/>
        <v>3571489.8668963448</v>
      </c>
      <c r="AG217" s="198">
        <f t="shared" si="46"/>
        <v>6570666.666666667</v>
      </c>
      <c r="AH217" s="198">
        <f t="shared" si="46"/>
        <v>5908524.0119052939</v>
      </c>
      <c r="AI217" s="198">
        <f t="shared" si="46"/>
        <v>7156173.0923800394</v>
      </c>
      <c r="AJ217" s="198">
        <f t="shared" si="46"/>
        <v>11264000</v>
      </c>
      <c r="AK217" s="198">
        <f t="shared" si="46"/>
        <v>13141333.333333334</v>
      </c>
      <c r="AL217" s="198">
        <f t="shared" si="46"/>
        <v>15018666.666666668</v>
      </c>
      <c r="AM217" s="198">
        <f t="shared" si="46"/>
        <v>18022400</v>
      </c>
      <c r="AN217" s="198">
        <f t="shared" si="46"/>
        <v>21026133.333333336</v>
      </c>
      <c r="AO217" s="198">
        <f t="shared" si="46"/>
        <v>24029866.666666668</v>
      </c>
      <c r="AP217" s="198">
        <f t="shared" si="46"/>
        <v>27033600</v>
      </c>
      <c r="AQ217" s="198">
        <f t="shared" si="46"/>
        <v>30037333.333333336</v>
      </c>
      <c r="AR217" s="198">
        <f t="shared" si="46"/>
        <v>36044800</v>
      </c>
      <c r="AS217" s="198">
        <f t="shared" si="46"/>
        <v>42052266.666666672</v>
      </c>
      <c r="AT217" s="198">
        <f t="shared" si="46"/>
        <v>48059733.333333336</v>
      </c>
      <c r="AU217" s="198">
        <f t="shared" si="46"/>
        <v>54067200</v>
      </c>
      <c r="AV217" s="198">
        <f t="shared" si="46"/>
        <v>60074666.666666672</v>
      </c>
      <c r="AW217" s="198">
        <f t="shared" ref="AW217:AZ217" si="47">MIN(($P$210/$B$197)*(2^(((AW209 - 14) - $P$209)/HLOOKUP((AW209-14)-$B$206,$P$233:$BH$235,3,TRUE))),AW216)</f>
        <v>72089600</v>
      </c>
      <c r="AX217" s="198">
        <f t="shared" si="47"/>
        <v>84104533.333333343</v>
      </c>
      <c r="AY217" s="198">
        <f t="shared" si="47"/>
        <v>96119466.666666672</v>
      </c>
      <c r="AZ217" s="198">
        <f t="shared" si="47"/>
        <v>108134400</v>
      </c>
      <c r="BA217" s="198">
        <f t="shared" ref="BA217:BG217" si="48">MIN(($P$210/$B$197)*(2^(((BA209 - 14) - $P$209)/HLOOKUP((BA209-14)-$B$206,$P$233:$BH$235,3,TRUE))),BA216)</f>
        <v>120149333.33333334</v>
      </c>
      <c r="BB217" s="241">
        <f t="shared" si="48"/>
        <v>240298666.66666669</v>
      </c>
      <c r="BC217" s="203">
        <f t="shared" si="48"/>
        <v>546133333.33333337</v>
      </c>
      <c r="BD217" s="203">
        <f t="shared" si="48"/>
        <v>330565500</v>
      </c>
      <c r="BE217" s="203">
        <f t="shared" si="48"/>
        <v>330565500</v>
      </c>
      <c r="BF217" s="204">
        <f t="shared" si="48"/>
        <v>330565500</v>
      </c>
      <c r="BG217" s="203">
        <f t="shared" si="48"/>
        <v>330565500</v>
      </c>
      <c r="BH217" s="246"/>
      <c r="BI217" s="25"/>
      <c r="BJ217" s="25"/>
      <c r="BK217" s="69"/>
    </row>
    <row r="218" spans="1:63" x14ac:dyDescent="0.25">
      <c r="A218" s="41" t="s">
        <v>160</v>
      </c>
      <c r="B218" s="16"/>
      <c r="C218" s="16"/>
      <c r="D218" s="16"/>
      <c r="E218" s="16"/>
      <c r="F218" s="16"/>
      <c r="G218" s="16"/>
      <c r="H218" s="16"/>
      <c r="I218" s="16"/>
      <c r="J218" s="16"/>
      <c r="K218" s="16"/>
      <c r="L218" s="16"/>
      <c r="M218" s="16"/>
      <c r="N218" s="16"/>
      <c r="O218" s="16"/>
      <c r="P218" s="215">
        <f t="shared" ref="P218:BG218" si="49">P210*$B$202</f>
        <v>25.3125</v>
      </c>
      <c r="Q218" s="216">
        <f t="shared" si="49"/>
        <v>50.625</v>
      </c>
      <c r="R218" s="216">
        <f t="shared" si="49"/>
        <v>101.25</v>
      </c>
      <c r="S218" s="216">
        <f t="shared" si="49"/>
        <v>202.5</v>
      </c>
      <c r="T218" s="216">
        <f t="shared" si="49"/>
        <v>405</v>
      </c>
      <c r="U218" s="216">
        <f t="shared" si="49"/>
        <v>810</v>
      </c>
      <c r="V218" s="216">
        <f t="shared" si="49"/>
        <v>1620</v>
      </c>
      <c r="W218" s="216">
        <f t="shared" si="49"/>
        <v>3240</v>
      </c>
      <c r="X218" s="216">
        <f t="shared" si="49"/>
        <v>6480</v>
      </c>
      <c r="Y218" s="216">
        <f t="shared" si="49"/>
        <v>12960</v>
      </c>
      <c r="Z218" s="216">
        <f t="shared" si="49"/>
        <v>25920</v>
      </c>
      <c r="AA218" s="216">
        <f t="shared" si="49"/>
        <v>51840</v>
      </c>
      <c r="AB218" s="216">
        <f t="shared" si="49"/>
        <v>103680</v>
      </c>
      <c r="AC218" s="216">
        <f t="shared" si="49"/>
        <v>207360</v>
      </c>
      <c r="AD218" s="216">
        <f t="shared" si="49"/>
        <v>414720</v>
      </c>
      <c r="AE218" s="216">
        <f t="shared" ref="AE218:AG218" si="50">AE210*$B$202</f>
        <v>518400.00000000006</v>
      </c>
      <c r="AF218" s="216">
        <f t="shared" si="50"/>
        <v>622080</v>
      </c>
      <c r="AG218" s="216">
        <f t="shared" si="50"/>
        <v>725760</v>
      </c>
      <c r="AH218" s="216">
        <f t="shared" si="49"/>
        <v>829440</v>
      </c>
      <c r="AI218" s="216">
        <f t="shared" ref="AI218:AK218" si="51">AI210*$B$202</f>
        <v>1061683.2000000002</v>
      </c>
      <c r="AJ218" s="216">
        <f t="shared" si="51"/>
        <v>1244160</v>
      </c>
      <c r="AK218" s="216">
        <f t="shared" si="51"/>
        <v>1451520</v>
      </c>
      <c r="AL218" s="216">
        <f t="shared" si="49"/>
        <v>1658880</v>
      </c>
      <c r="AM218" s="216">
        <f t="shared" ref="AM218:AP218" si="52">AM210*$B$202</f>
        <v>1990656.0000000002</v>
      </c>
      <c r="AN218" s="216">
        <f t="shared" si="52"/>
        <v>2322432</v>
      </c>
      <c r="AO218" s="216">
        <f t="shared" si="52"/>
        <v>2654208</v>
      </c>
      <c r="AP218" s="216">
        <f t="shared" si="52"/>
        <v>2985984</v>
      </c>
      <c r="AQ218" s="216">
        <f t="shared" si="49"/>
        <v>3317760</v>
      </c>
      <c r="AR218" s="216">
        <f t="shared" ref="AR218:AU218" si="53">AR210*$B$202</f>
        <v>3981312.0000000005</v>
      </c>
      <c r="AS218" s="216">
        <f t="shared" si="53"/>
        <v>4644864</v>
      </c>
      <c r="AT218" s="216">
        <f t="shared" si="53"/>
        <v>5308416</v>
      </c>
      <c r="AU218" s="216">
        <f t="shared" si="53"/>
        <v>5971968</v>
      </c>
      <c r="AV218" s="216">
        <f t="shared" si="49"/>
        <v>6635520</v>
      </c>
      <c r="AW218" s="216">
        <f t="shared" ref="AW218:AZ218" si="54">AW210*$B$202</f>
        <v>7962624.0000000009</v>
      </c>
      <c r="AX218" s="216">
        <f t="shared" si="54"/>
        <v>9289728</v>
      </c>
      <c r="AY218" s="216">
        <f t="shared" si="54"/>
        <v>10616832</v>
      </c>
      <c r="AZ218" s="216">
        <f t="shared" si="54"/>
        <v>11943936</v>
      </c>
      <c r="BA218" s="216">
        <f t="shared" si="49"/>
        <v>13271040</v>
      </c>
      <c r="BB218" s="238">
        <f t="shared" ref="BB218:BF218" si="55">BB210*$B$202</f>
        <v>26542080</v>
      </c>
      <c r="BC218" s="208">
        <f t="shared" si="55"/>
        <v>53084160</v>
      </c>
      <c r="BD218" s="208">
        <f t="shared" si="55"/>
        <v>106168320</v>
      </c>
      <c r="BE218" s="208">
        <f t="shared" si="55"/>
        <v>212336640</v>
      </c>
      <c r="BF218" s="209">
        <f t="shared" si="55"/>
        <v>267758055.00000003</v>
      </c>
      <c r="BG218" s="199">
        <f t="shared" si="49"/>
        <v>267758055.00000003</v>
      </c>
      <c r="BH218" s="246">
        <f>BH210*B202</f>
        <v>18743063.850000005</v>
      </c>
      <c r="BI218" s="25"/>
      <c r="BJ218" s="25"/>
      <c r="BK218" s="69"/>
    </row>
    <row r="219" spans="1:63" x14ac:dyDescent="0.25">
      <c r="A219" s="41" t="s">
        <v>172</v>
      </c>
      <c r="B219" s="16"/>
      <c r="C219" s="16"/>
      <c r="D219" s="16"/>
      <c r="E219" s="16"/>
      <c r="F219" s="16"/>
      <c r="G219" s="16"/>
      <c r="H219" s="16"/>
      <c r="I219" s="16"/>
      <c r="J219" s="16"/>
      <c r="K219" s="16"/>
      <c r="L219" s="16"/>
      <c r="M219" s="16"/>
      <c r="N219" s="16"/>
      <c r="O219" s="16"/>
      <c r="P219" s="206">
        <f>P218-(1*$B$202)*(2^(((P209 - 14) - $B$206)/$P$235))</f>
        <v>19.620930925469978</v>
      </c>
      <c r="Q219" s="207">
        <f>Q218-(1*$B$202)*(2^(((Q209 - 14) - $B$206)/$P$235))</f>
        <v>36.378729583441825</v>
      </c>
      <c r="R219" s="207">
        <f>R218-(1*$B$202)*(2^(((R209 - 14) - $B$206)/$P$235))</f>
        <v>81.153190145960366</v>
      </c>
      <c r="S219" s="207">
        <f>S218-(1*$B$202)*(2^(((S209 - 14) - $B$206)/$P$235))</f>
        <v>177.22190063694103</v>
      </c>
      <c r="T219" s="205">
        <f t="shared" ref="T219:AV219" si="56">MAX(T218-(($P$210*$B$202)*(2^(((T209 -14) - $P$209)/HLOOKUP((T209-14)-$B$206,$P$233:$BH$235,3,TRUE)))),0)</f>
        <v>373.16151942648673</v>
      </c>
      <c r="U219" s="205">
        <f t="shared" si="56"/>
        <v>765.08635794363818</v>
      </c>
      <c r="V219" s="205">
        <f t="shared" si="56"/>
        <v>1570.8214285714287</v>
      </c>
      <c r="W219" s="205">
        <f t="shared" si="56"/>
        <v>3181.9387841598559</v>
      </c>
      <c r="X219" s="205">
        <f t="shared" si="56"/>
        <v>6379.3926009765419</v>
      </c>
      <c r="Y219" s="205">
        <f t="shared" si="56"/>
        <v>12775.828395301851</v>
      </c>
      <c r="Z219" s="205">
        <f t="shared" si="56"/>
        <v>25528.741071428572</v>
      </c>
      <c r="AA219" s="205">
        <f t="shared" si="56"/>
        <v>50899.098214285717</v>
      </c>
      <c r="AB219" s="205">
        <f t="shared" si="56"/>
        <v>101675.97321428571</v>
      </c>
      <c r="AC219" s="205">
        <f t="shared" si="56"/>
        <v>199007.42614510827</v>
      </c>
      <c r="AD219" s="205">
        <f t="shared" si="56"/>
        <v>324471.53571428568</v>
      </c>
      <c r="AE219" s="205">
        <f t="shared" si="56"/>
        <v>294466.98400587577</v>
      </c>
      <c r="AF219" s="205">
        <f t="shared" si="56"/>
        <v>274931.18493767531</v>
      </c>
      <c r="AG219" s="205">
        <f t="shared" si="56"/>
        <v>0</v>
      </c>
      <c r="AH219" s="205">
        <f t="shared" si="56"/>
        <v>255131.46604280546</v>
      </c>
      <c r="AI219" s="205">
        <f t="shared" si="56"/>
        <v>366103.17542066041</v>
      </c>
      <c r="AJ219" s="205">
        <f t="shared" si="56"/>
        <v>0</v>
      </c>
      <c r="AK219" s="205">
        <f t="shared" si="56"/>
        <v>0</v>
      </c>
      <c r="AL219" s="205">
        <f t="shared" si="56"/>
        <v>0</v>
      </c>
      <c r="AM219" s="205">
        <f t="shared" si="56"/>
        <v>0</v>
      </c>
      <c r="AN219" s="205">
        <f t="shared" si="56"/>
        <v>0</v>
      </c>
      <c r="AO219" s="205">
        <f t="shared" si="56"/>
        <v>0</v>
      </c>
      <c r="AP219" s="205">
        <f t="shared" si="56"/>
        <v>0</v>
      </c>
      <c r="AQ219" s="205">
        <f t="shared" si="56"/>
        <v>0</v>
      </c>
      <c r="AR219" s="205">
        <f t="shared" si="56"/>
        <v>0</v>
      </c>
      <c r="AS219" s="205">
        <f t="shared" si="56"/>
        <v>0</v>
      </c>
      <c r="AT219" s="205">
        <f t="shared" si="56"/>
        <v>0</v>
      </c>
      <c r="AU219" s="205">
        <f t="shared" si="56"/>
        <v>0</v>
      </c>
      <c r="AV219" s="205">
        <f t="shared" si="56"/>
        <v>0</v>
      </c>
      <c r="AW219" s="205">
        <f t="shared" ref="AW219:AZ219" si="57">MAX(AW218-(($P$210*$B$202)*(2^(((AW209 -14) - $P$209)/HLOOKUP((AW209-14)-$B$206,$P$233:$BH$235,3,TRUE)))),0)</f>
        <v>0</v>
      </c>
      <c r="AX219" s="205">
        <f t="shared" si="57"/>
        <v>0</v>
      </c>
      <c r="AY219" s="205">
        <f t="shared" si="57"/>
        <v>0</v>
      </c>
      <c r="AZ219" s="205">
        <f t="shared" si="57"/>
        <v>0</v>
      </c>
      <c r="BA219" s="205">
        <f t="shared" ref="BA219:BG219" si="58">MAX(BA218-(($P$210*$B$202)*(2^(((BA209 -14) - $P$209)/HLOOKUP((BA209-14)-$B$206,$P$233:$BH$235,3,TRUE)))),0)</f>
        <v>0</v>
      </c>
      <c r="BB219" s="241">
        <f t="shared" si="58"/>
        <v>0</v>
      </c>
      <c r="BC219" s="203">
        <f t="shared" si="58"/>
        <v>0</v>
      </c>
      <c r="BD219" s="203">
        <f t="shared" si="58"/>
        <v>0</v>
      </c>
      <c r="BE219" s="203">
        <f t="shared" si="58"/>
        <v>0</v>
      </c>
      <c r="BF219" s="204">
        <f t="shared" si="58"/>
        <v>0</v>
      </c>
      <c r="BG219" s="199">
        <f t="shared" si="58"/>
        <v>0</v>
      </c>
      <c r="BH219" s="244"/>
      <c r="BI219" s="25"/>
      <c r="BJ219" s="25"/>
      <c r="BK219" s="69"/>
    </row>
    <row r="220" spans="1:63" x14ac:dyDescent="0.25">
      <c r="A220" s="62" t="s">
        <v>110</v>
      </c>
      <c r="B220" s="9"/>
      <c r="C220" s="9"/>
      <c r="D220" s="9"/>
      <c r="E220" s="9"/>
      <c r="F220" s="9"/>
      <c r="G220" s="9"/>
      <c r="H220" s="9"/>
      <c r="I220" s="9"/>
      <c r="J220" s="9"/>
      <c r="K220" s="9"/>
      <c r="L220" s="9"/>
      <c r="M220" s="9"/>
      <c r="N220" s="9"/>
      <c r="O220" s="5"/>
      <c r="P220" s="225">
        <f>(1*($B$203+$B$204))*(2^(((P209 - 7) - $B$206)/$P$235))</f>
        <v>2.9796216359494587</v>
      </c>
      <c r="Q220" s="211">
        <f t="shared" ref="Q220:AV220" si="59">($P$210*($B$203+$B$204))*(2^(((Q209-7)-$P$209)/HLOOKUP((Q209-7)-$B$206,$P$233:$BH$235,3,TRUE)))</f>
        <v>6.6590498985850246</v>
      </c>
      <c r="R220" s="211">
        <f t="shared" si="59"/>
        <v>9.3937329355254953</v>
      </c>
      <c r="S220" s="211">
        <f t="shared" si="59"/>
        <v>11.815592437748149</v>
      </c>
      <c r="T220" s="211">
        <f t="shared" si="59"/>
        <v>12.534285987853202</v>
      </c>
      <c r="U220" s="211">
        <f t="shared" si="59"/>
        <v>23.599266437601273</v>
      </c>
      <c r="V220" s="211">
        <f t="shared" si="59"/>
        <v>49.779972972921911</v>
      </c>
      <c r="W220" s="211">
        <f t="shared" si="59"/>
        <v>108.90640436467176</v>
      </c>
      <c r="X220" s="211">
        <f t="shared" si="59"/>
        <v>220.70535714285711</v>
      </c>
      <c r="Y220" s="211">
        <f t="shared" si="59"/>
        <v>322.92231652302479</v>
      </c>
      <c r="Z220" s="211">
        <f t="shared" si="59"/>
        <v>573.4171414665534</v>
      </c>
      <c r="AA220" s="211">
        <f t="shared" si="59"/>
        <v>1580.5624999999989</v>
      </c>
      <c r="AB220" s="211">
        <f t="shared" si="59"/>
        <v>4157.3376801210561</v>
      </c>
      <c r="AC220" s="211">
        <f t="shared" si="59"/>
        <v>14709.910600081001</v>
      </c>
      <c r="AD220" s="211">
        <f t="shared" si="59"/>
        <v>65577.889617991445</v>
      </c>
      <c r="AE220" s="211">
        <f t="shared" si="59"/>
        <v>155906.69596672634</v>
      </c>
      <c r="AF220" s="284">
        <f t="shared" si="59"/>
        <v>111083.1714562041</v>
      </c>
      <c r="AG220" s="284">
        <f t="shared" si="59"/>
        <v>132795.09456567839</v>
      </c>
      <c r="AH220" s="284">
        <f t="shared" si="59"/>
        <v>155204.27961369391</v>
      </c>
      <c r="AI220" s="211">
        <f t="shared" si="59"/>
        <v>295492.66518045042</v>
      </c>
      <c r="AJ220" s="211">
        <f t="shared" si="59"/>
        <v>354791.8589697365</v>
      </c>
      <c r="AK220" s="211">
        <f t="shared" si="59"/>
        <v>404456.30588254385</v>
      </c>
      <c r="AL220" s="211">
        <f t="shared" si="59"/>
        <v>448667.17803600215</v>
      </c>
      <c r="AM220" s="211">
        <f t="shared" si="59"/>
        <v>626448.17961925734</v>
      </c>
      <c r="AN220" s="284">
        <f t="shared" si="59"/>
        <v>580299.25131562375</v>
      </c>
      <c r="AO220" s="211">
        <f t="shared" si="59"/>
        <v>713496.12109329749</v>
      </c>
      <c r="AP220" s="211">
        <f t="shared" si="59"/>
        <v>826004.17405265337</v>
      </c>
      <c r="AQ220" s="211">
        <f t="shared" si="59"/>
        <v>925634.71274539013</v>
      </c>
      <c r="AR220" s="211">
        <f t="shared" si="59"/>
        <v>13942115.564401073</v>
      </c>
      <c r="AS220" s="284">
        <f t="shared" si="59"/>
        <v>6895781.5708929989</v>
      </c>
      <c r="AT220" s="284">
        <f t="shared" si="59"/>
        <v>5967027.6533196941</v>
      </c>
      <c r="AU220" s="284">
        <f t="shared" si="59"/>
        <v>5425971.749718233</v>
      </c>
      <c r="AV220" s="284">
        <f t="shared" si="59"/>
        <v>5104717.9223895334</v>
      </c>
      <c r="AW220" s="284">
        <f t="shared" ref="AW220:AZ220" si="60">($P$210*($B$203+$B$204))*(2^(((AW209-7)-$P$209)/HLOOKUP((AW209-7)-$B$206,$P$233:$BH$235,3,TRUE)))</f>
        <v>4982197.2114317967</v>
      </c>
      <c r="AX220" s="284">
        <f t="shared" si="60"/>
        <v>4283641.6827014051</v>
      </c>
      <c r="AY220" s="284">
        <f t="shared" si="60"/>
        <v>5011548.4070010269</v>
      </c>
      <c r="AZ220" s="284">
        <f t="shared" si="60"/>
        <v>5556246.4583730092</v>
      </c>
      <c r="BA220" s="284">
        <f t="shared" ref="BA220:BF220" si="61">($P$210*($B$203+$B$204))*(2^(((BA209-7)-$P$209)/HLOOKUP((BA209-7)-$B$206,$P$233:$BH$235,3,TRUE)))</f>
        <v>5997597.7422241699</v>
      </c>
      <c r="BB220" s="238">
        <f t="shared" si="61"/>
        <v>322227474.18635631</v>
      </c>
      <c r="BC220" s="208">
        <f t="shared" si="61"/>
        <v>212210300.75158203</v>
      </c>
      <c r="BD220" s="208">
        <f t="shared" si="61"/>
        <v>224850523.6315012</v>
      </c>
      <c r="BE220" s="208">
        <f t="shared" si="61"/>
        <v>298063844.21520782</v>
      </c>
      <c r="BF220" s="209">
        <f t="shared" si="61"/>
        <v>446958543.90334916</v>
      </c>
      <c r="BG220" s="208">
        <f>($P$210*($B$203+$B$204))*(2^(((BG209 - 7) - $P$209)/BG235))</f>
        <v>53308843.799207248</v>
      </c>
      <c r="BH220" s="244">
        <f>BH210*(B203+B204)</f>
        <v>4396521.1500000004</v>
      </c>
      <c r="BI220" s="45"/>
      <c r="BJ220" s="45"/>
      <c r="BK220" s="69"/>
    </row>
    <row r="221" spans="1:63" x14ac:dyDescent="0.25">
      <c r="A221" s="37" t="s">
        <v>158</v>
      </c>
      <c r="B221" s="38"/>
      <c r="C221" s="39"/>
      <c r="D221" s="39"/>
      <c r="E221" s="39"/>
      <c r="F221" s="39"/>
      <c r="G221" s="39"/>
      <c r="H221" s="39"/>
      <c r="I221" s="39"/>
      <c r="J221" s="39"/>
      <c r="K221" s="39"/>
      <c r="L221" s="39"/>
      <c r="M221" s="39"/>
      <c r="N221" s="39"/>
      <c r="O221" s="63"/>
      <c r="P221" s="206">
        <f t="shared" ref="P221:AC221" si="62">P220</f>
        <v>2.9796216359494587</v>
      </c>
      <c r="Q221" s="207">
        <f t="shared" si="62"/>
        <v>6.6590498985850246</v>
      </c>
      <c r="R221" s="207">
        <f t="shared" si="62"/>
        <v>9.3937329355254953</v>
      </c>
      <c r="S221" s="207">
        <f t="shared" si="62"/>
        <v>11.815592437748149</v>
      </c>
      <c r="T221" s="207">
        <f t="shared" si="62"/>
        <v>12.534285987853202</v>
      </c>
      <c r="U221" s="207">
        <f t="shared" si="62"/>
        <v>23.599266437601273</v>
      </c>
      <c r="V221" s="207">
        <f t="shared" si="62"/>
        <v>49.779972972921911</v>
      </c>
      <c r="W221" s="207">
        <f t="shared" si="62"/>
        <v>108.90640436467176</v>
      </c>
      <c r="X221" s="207">
        <f t="shared" si="62"/>
        <v>220.70535714285711</v>
      </c>
      <c r="Y221" s="207">
        <f t="shared" si="62"/>
        <v>322.92231652302479</v>
      </c>
      <c r="Z221" s="207">
        <f t="shared" si="62"/>
        <v>573.4171414665534</v>
      </c>
      <c r="AA221" s="207">
        <f t="shared" si="62"/>
        <v>1580.5624999999989</v>
      </c>
      <c r="AB221" s="207">
        <f t="shared" si="62"/>
        <v>4157.3376801210561</v>
      </c>
      <c r="AC221" s="207">
        <f t="shared" si="62"/>
        <v>14709.910600081001</v>
      </c>
      <c r="AD221" s="198">
        <f t="shared" ref="AD221:AV221" si="63">MAX(AD220-($P$210*$B$203)*(2^(((AD209 - 42) - $P$209)/HLOOKUP((AD209-42)-$B$206,$P$233:$BH$235,3,TRUE)))-AD223,0)</f>
        <v>60011.596753736201</v>
      </c>
      <c r="AE221" s="198">
        <f t="shared" si="63"/>
        <v>142124.36171205499</v>
      </c>
      <c r="AF221" s="198">
        <f t="shared" si="63"/>
        <v>89737.506502580392</v>
      </c>
      <c r="AG221" s="198">
        <f t="shared" si="63"/>
        <v>82168.218806941761</v>
      </c>
      <c r="AH221" s="198">
        <f t="shared" si="63"/>
        <v>121077.37661798642</v>
      </c>
      <c r="AI221" s="198">
        <f t="shared" si="63"/>
        <v>252868.59737156465</v>
      </c>
      <c r="AJ221" s="198">
        <f t="shared" si="63"/>
        <v>181677.79901564698</v>
      </c>
      <c r="AK221" s="198">
        <f t="shared" si="63"/>
        <v>189154.85950816722</v>
      </c>
      <c r="AL221" s="198">
        <f t="shared" si="63"/>
        <v>292747.4480360162</v>
      </c>
      <c r="AM221" s="198">
        <f t="shared" si="63"/>
        <v>386970.50277453056</v>
      </c>
      <c r="AN221" s="198">
        <f t="shared" si="63"/>
        <v>32273.128478596278</v>
      </c>
      <c r="AO221" s="198">
        <f t="shared" si="63"/>
        <v>101629.94151841462</v>
      </c>
      <c r="AP221" s="198">
        <f t="shared" si="63"/>
        <v>0</v>
      </c>
      <c r="AQ221" s="198">
        <f t="shared" si="63"/>
        <v>155641.42139642089</v>
      </c>
      <c r="AR221" s="198">
        <f t="shared" si="63"/>
        <v>11253397.876591185</v>
      </c>
      <c r="AS221" s="198">
        <f t="shared" si="63"/>
        <v>5240431.984158502</v>
      </c>
      <c r="AT221" s="198">
        <f t="shared" si="63"/>
        <v>4310780.219288744</v>
      </c>
      <c r="AU221" s="198">
        <f t="shared" si="63"/>
        <v>3739226.625963958</v>
      </c>
      <c r="AV221" s="198">
        <f t="shared" si="63"/>
        <v>3367984.6987276403</v>
      </c>
      <c r="AW221" s="198">
        <f t="shared" ref="AW221:AZ221" si="64">MAX(AW220-($P$210*$B$203)*(2^(((AW209 - 42) - $P$209)/HLOOKUP((AW209-42)-$B$206,$P$233:$BH$235,3,TRUE)))-AW223,0)</f>
        <v>3159345.9183454243</v>
      </c>
      <c r="AX221" s="198">
        <f t="shared" si="64"/>
        <v>2609564.3926876779</v>
      </c>
      <c r="AY221" s="198">
        <f t="shared" si="64"/>
        <v>2964699.6926212031</v>
      </c>
      <c r="AZ221" s="198">
        <f t="shared" si="64"/>
        <v>3195312.9364259611</v>
      </c>
      <c r="BA221" s="198">
        <f t="shared" ref="BA221:BG221" si="65">MAX(BA220-($P$210*$B$203)*(2^(((BA209 - 42) - $P$209)/HLOOKUP((BA209-42)-$B$206,$P$233:$BH$235,3,TRUE)))-BA223,0)</f>
        <v>3358096.1561547285</v>
      </c>
      <c r="BB221" s="241">
        <f t="shared" si="65"/>
        <v>175998596.45457381</v>
      </c>
      <c r="BC221" s="203">
        <f t="shared" si="65"/>
        <v>105164597.83614863</v>
      </c>
      <c r="BD221" s="203">
        <f t="shared" si="65"/>
        <v>104100595.32384521</v>
      </c>
      <c r="BE221" s="203">
        <f t="shared" si="65"/>
        <v>131240770.11632963</v>
      </c>
      <c r="BF221" s="204">
        <f t="shared" si="65"/>
        <v>189357127.8658281</v>
      </c>
      <c r="BG221" s="199">
        <f t="shared" si="65"/>
        <v>0</v>
      </c>
      <c r="BH221" s="246"/>
      <c r="BI221" s="45"/>
      <c r="BJ221" s="45"/>
      <c r="BK221" s="69"/>
    </row>
    <row r="222" spans="1:63" x14ac:dyDescent="0.25">
      <c r="A222" s="62" t="s">
        <v>111</v>
      </c>
      <c r="B222" s="9"/>
      <c r="C222" s="9"/>
      <c r="D222" s="9"/>
      <c r="E222" s="9"/>
      <c r="F222" s="9"/>
      <c r="G222" s="9"/>
      <c r="H222" s="9"/>
      <c r="I222" s="9"/>
      <c r="J222" s="9"/>
      <c r="K222" s="9"/>
      <c r="L222" s="9"/>
      <c r="M222" s="9"/>
      <c r="N222" s="9"/>
      <c r="O222" s="5"/>
      <c r="P222" s="225">
        <f>(1*$B$204)*(2^(((P209 - 14) -$B$206)/$P$235))</f>
        <v>0.35133142435370507</v>
      </c>
      <c r="Q222" s="222">
        <f>(1*$B$204)*(2^(((Q209 - 14) -$B$206)/$P$235))</f>
        <v>0.8793994084295168</v>
      </c>
      <c r="R222" s="222">
        <f>(1*$B$204)*(2^(((R209 - 14) -$B$206)/$P$235))</f>
        <v>1.2405438181505943</v>
      </c>
      <c r="S222" s="222">
        <f>(1*$B$204)*(2^(((S209 - 14) -$B$206)/$P$235))</f>
        <v>1.5603765038925292</v>
      </c>
      <c r="T222" s="211">
        <f t="shared" ref="T222:AV222" si="66">($P$210*$B$204)*(2^(((T209 - 14) - $P$209)/HLOOKUP((T209-14)-$B$206,$P$233:$BH$235,3,TRUE)))</f>
        <v>1.9653383070069901</v>
      </c>
      <c r="U222" s="211">
        <f t="shared" si="66"/>
        <v>2.7724470405161594</v>
      </c>
      <c r="V222" s="211">
        <f t="shared" si="66"/>
        <v>3.0357142857142851</v>
      </c>
      <c r="W222" s="211">
        <f t="shared" si="66"/>
        <v>3.5840256691447028</v>
      </c>
      <c r="X222" s="211">
        <f t="shared" si="66"/>
        <v>6.2103332730529663</v>
      </c>
      <c r="Y222" s="211">
        <f t="shared" si="66"/>
        <v>11.368617573959821</v>
      </c>
      <c r="Z222" s="211">
        <f t="shared" si="66"/>
        <v>24.151785714285708</v>
      </c>
      <c r="AA222" s="211">
        <f t="shared" si="66"/>
        <v>58.080357142857132</v>
      </c>
      <c r="AB222" s="211">
        <f t="shared" si="66"/>
        <v>123.70535714285711</v>
      </c>
      <c r="AC222" s="211">
        <f t="shared" si="66"/>
        <v>515.59097869702066</v>
      </c>
      <c r="AD222" s="211">
        <f t="shared" si="66"/>
        <v>5570.8928571428578</v>
      </c>
      <c r="AE222" s="211">
        <f t="shared" si="66"/>
        <v>13823.025678649645</v>
      </c>
      <c r="AF222" s="211">
        <f t="shared" si="66"/>
        <v>21428.939201378067</v>
      </c>
      <c r="AG222" s="211">
        <f t="shared" si="66"/>
        <v>50945.755168707459</v>
      </c>
      <c r="AH222" s="284">
        <f t="shared" si="66"/>
        <v>35451.144071431758</v>
      </c>
      <c r="AI222" s="284">
        <f t="shared" si="66"/>
        <v>42937.038554280232</v>
      </c>
      <c r="AJ222" s="211">
        <f t="shared" si="66"/>
        <v>134060.1838119278</v>
      </c>
      <c r="AK222" s="211">
        <f t="shared" si="66"/>
        <v>151062.35047825405</v>
      </c>
      <c r="AL222" s="211">
        <f t="shared" si="66"/>
        <v>163685.41381191395</v>
      </c>
      <c r="AM222" s="211">
        <f t="shared" si="66"/>
        <v>225051.48914056818</v>
      </c>
      <c r="AN222" s="211">
        <f t="shared" si="66"/>
        <v>297249.52954422822</v>
      </c>
      <c r="AO222" s="284">
        <f t="shared" si="66"/>
        <v>258511.83180707725</v>
      </c>
      <c r="AP222" s="284">
        <f t="shared" si="66"/>
        <v>305465.5112610397</v>
      </c>
      <c r="AQ222" s="211">
        <f t="shared" si="66"/>
        <v>341351.05317148636</v>
      </c>
      <c r="AR222" s="286">
        <f t="shared" si="66"/>
        <v>2281799.0125695718</v>
      </c>
      <c r="AS222" s="284">
        <f t="shared" si="66"/>
        <v>1259014.677664428</v>
      </c>
      <c r="AT222" s="284">
        <f t="shared" si="66"/>
        <v>1159045.2105821953</v>
      </c>
      <c r="AU222" s="284">
        <f t="shared" si="66"/>
        <v>1101183.3851362686</v>
      </c>
      <c r="AV222" s="284">
        <f t="shared" si="66"/>
        <v>1070328.1511377336</v>
      </c>
      <c r="AW222" s="284">
        <f t="shared" ref="AW222:AZ222" si="67">($P$210*$B$204)*(2^(((AW209 - 14) - $P$209)/HLOOKUP((AW209-14)-$B$206,$P$233:$BH$235,3,TRUE)))</f>
        <v>1071078.5089312098</v>
      </c>
      <c r="AX222" s="284">
        <f t="shared" si="67"/>
        <v>941198.66721668385</v>
      </c>
      <c r="AY222" s="284">
        <f t="shared" si="67"/>
        <v>1116840.1449715307</v>
      </c>
      <c r="AZ222" s="284">
        <f t="shared" si="67"/>
        <v>1253736.3162580992</v>
      </c>
      <c r="BA222" s="284">
        <f t="shared" ref="BA222:BG222" si="68">($P$210*$B$204)*(2^(((BA209 - 14) - $P$209)/HLOOKUP((BA209-14)-$B$206,$P$233:$BH$235,3,TRUE)))</f>
        <v>1368075.6402712457</v>
      </c>
      <c r="BB222" s="238">
        <f t="shared" si="68"/>
        <v>74190629.045997977</v>
      </c>
      <c r="BC222" s="208">
        <f t="shared" si="68"/>
        <v>50409817.686647393</v>
      </c>
      <c r="BD222" s="208">
        <f t="shared" si="68"/>
        <v>54374949.40595445</v>
      </c>
      <c r="BE222" s="208">
        <f t="shared" si="68"/>
        <v>72918135.437619492</v>
      </c>
      <c r="BF222" s="209">
        <f t="shared" si="68"/>
        <v>110232480.91009189</v>
      </c>
      <c r="BG222" s="208">
        <f t="shared" si="68"/>
        <v>179255435.61055675</v>
      </c>
      <c r="BH222" s="244">
        <f>BH210*B204</f>
        <v>1156979.2500000002</v>
      </c>
      <c r="BI222" s="45"/>
      <c r="BJ222" s="45"/>
      <c r="BK222" s="69"/>
    </row>
    <row r="223" spans="1:63" x14ac:dyDescent="0.25">
      <c r="A223" s="37" t="s">
        <v>159</v>
      </c>
      <c r="B223" s="38"/>
      <c r="C223" s="39"/>
      <c r="D223" s="39"/>
      <c r="E223" s="39"/>
      <c r="F223" s="39"/>
      <c r="G223" s="39"/>
      <c r="H223" s="39"/>
      <c r="I223" s="39"/>
      <c r="J223" s="39"/>
      <c r="K223" s="39"/>
      <c r="L223" s="39"/>
      <c r="M223" s="39"/>
      <c r="N223" s="39"/>
      <c r="O223" s="63"/>
      <c r="P223" s="206">
        <f t="shared" ref="P223:AA223" si="69">P222</f>
        <v>0.35133142435370507</v>
      </c>
      <c r="Q223" s="207">
        <f t="shared" si="69"/>
        <v>0.8793994084295168</v>
      </c>
      <c r="R223" s="207">
        <f t="shared" si="69"/>
        <v>1.2405438181505943</v>
      </c>
      <c r="S223" s="207">
        <f t="shared" si="69"/>
        <v>1.5603765038925292</v>
      </c>
      <c r="T223" s="207">
        <f t="shared" si="69"/>
        <v>1.9653383070069901</v>
      </c>
      <c r="U223" s="207">
        <f t="shared" si="69"/>
        <v>2.7724470405161594</v>
      </c>
      <c r="V223" s="207">
        <f t="shared" si="69"/>
        <v>3.0357142857142851</v>
      </c>
      <c r="W223" s="207">
        <f t="shared" si="69"/>
        <v>3.5840256691447028</v>
      </c>
      <c r="X223" s="207">
        <f t="shared" si="69"/>
        <v>6.2103332730529663</v>
      </c>
      <c r="Y223" s="207">
        <f t="shared" si="69"/>
        <v>11.368617573959821</v>
      </c>
      <c r="Z223" s="207">
        <f t="shared" si="69"/>
        <v>24.151785714285708</v>
      </c>
      <c r="AA223" s="207">
        <f t="shared" si="69"/>
        <v>58.080357142857132</v>
      </c>
      <c r="AB223" s="205">
        <f t="shared" ref="AB223:AV223" si="70">MAX(AB222-($P$210*$B$204)*(2^(((AB209 - 35) - $P$209)/HLOOKUP((AB209-35)-$B$206,$P$233:$BH$235,3,TRUE))),0)</f>
        <v>121.95297559059789</v>
      </c>
      <c r="AC223" s="205">
        <f t="shared" si="70"/>
        <v>512.48161226603429</v>
      </c>
      <c r="AD223" s="205">
        <f t="shared" si="70"/>
        <v>5557.792864255247</v>
      </c>
      <c r="AE223" s="205">
        <f t="shared" si="70"/>
        <v>13764.945321506788</v>
      </c>
      <c r="AF223" s="205">
        <f t="shared" si="70"/>
        <v>21278.039953623709</v>
      </c>
      <c r="AG223" s="205">
        <f t="shared" si="70"/>
        <v>50430.164190010437</v>
      </c>
      <c r="AH223" s="205">
        <f t="shared" si="70"/>
        <v>33551.402995707496</v>
      </c>
      <c r="AI223" s="205">
        <f t="shared" si="70"/>
        <v>30465.110685232437</v>
      </c>
      <c r="AJ223" s="205">
        <f t="shared" si="70"/>
        <v>98609.039740496039</v>
      </c>
      <c r="AK223" s="205">
        <f t="shared" si="70"/>
        <v>108125.31192397382</v>
      </c>
      <c r="AL223" s="205">
        <f t="shared" si="70"/>
        <v>29625.229999986157</v>
      </c>
      <c r="AM223" s="205">
        <f t="shared" si="70"/>
        <v>17809.918021211721</v>
      </c>
      <c r="AN223" s="205">
        <f t="shared" si="70"/>
        <v>206838.75034598209</v>
      </c>
      <c r="AO223" s="205">
        <f t="shared" si="70"/>
        <v>129341.61115783747</v>
      </c>
      <c r="AP223" s="205">
        <f t="shared" si="70"/>
        <v>182645.15863582725</v>
      </c>
      <c r="AQ223" s="205">
        <f t="shared" si="70"/>
        <v>187835.94440209193</v>
      </c>
      <c r="AR223" s="205">
        <f t="shared" si="70"/>
        <v>1732922.9301099279</v>
      </c>
      <c r="AS223" s="205">
        <f t="shared" si="70"/>
        <v>838555.85176635371</v>
      </c>
      <c r="AT223" s="205">
        <f t="shared" si="70"/>
        <v>692946.23854428646</v>
      </c>
      <c r="AU223" s="205">
        <f t="shared" si="70"/>
        <v>596107.30041152448</v>
      </c>
      <c r="AV223" s="205">
        <f t="shared" si="70"/>
        <v>528946.74451414391</v>
      </c>
      <c r="AW223" s="205">
        <f t="shared" ref="AW223:AZ223" si="71">MAX(AW222-($P$210*$B$204)*(2^(((AW209 - 35) - $P$209)/HLOOKUP((AW209-35)-$B$206,$P$233:$BH$235,3,TRUE))),0)</f>
        <v>487131.72863410017</v>
      </c>
      <c r="AX223" s="205">
        <f t="shared" si="71"/>
        <v>393380.29103485646</v>
      </c>
      <c r="AY223" s="205">
        <f t="shared" si="71"/>
        <v>438575.67705713422</v>
      </c>
      <c r="AZ223" s="205">
        <f t="shared" si="71"/>
        <v>463365.11152301927</v>
      </c>
      <c r="BA223" s="205">
        <f t="shared" ref="BA223:BG223" si="72">MAX(BA222-($P$210*$B$204)*(2^(((BA209 - 35) - $P$209)/HLOOKUP((BA209-35)-$B$206,$P$233:$BH$235,3,TRUE))),0)</f>
        <v>477113.54750629852</v>
      </c>
      <c r="BB223" s="241">
        <f t="shared" si="72"/>
        <v>24501738.236785866</v>
      </c>
      <c r="BC223" s="203">
        <f t="shared" si="72"/>
        <v>13332192.12352632</v>
      </c>
      <c r="BD223" s="203">
        <f t="shared" si="72"/>
        <v>12179604.27868633</v>
      </c>
      <c r="BE223" s="203">
        <f t="shared" si="72"/>
        <v>14336011.337092325</v>
      </c>
      <c r="BF223" s="204">
        <f t="shared" si="72"/>
        <v>19494860.315585986</v>
      </c>
      <c r="BG223" s="199">
        <f t="shared" si="72"/>
        <v>29028248.415313393</v>
      </c>
      <c r="BH223" s="244"/>
      <c r="BI223" s="45"/>
      <c r="BJ223" s="45"/>
      <c r="BK223" s="69"/>
    </row>
    <row r="224" spans="1:63" x14ac:dyDescent="0.25">
      <c r="A224" s="41" t="s">
        <v>56</v>
      </c>
      <c r="B224" s="15"/>
      <c r="C224" s="16"/>
      <c r="D224" s="16"/>
      <c r="E224" s="16"/>
      <c r="F224" s="16"/>
      <c r="G224" s="16"/>
      <c r="H224" s="16"/>
      <c r="I224" s="16"/>
      <c r="J224" s="16"/>
      <c r="K224" s="16"/>
      <c r="L224" s="16"/>
      <c r="M224" s="16"/>
      <c r="N224" s="16"/>
      <c r="O224" s="16"/>
      <c r="P224" s="226">
        <f t="shared" ref="P224:BG224" si="73">P210*$B$205</f>
        <v>1.84375</v>
      </c>
      <c r="Q224" s="227">
        <f t="shared" si="73"/>
        <v>3.6875</v>
      </c>
      <c r="R224" s="227">
        <f t="shared" si="73"/>
        <v>7.375</v>
      </c>
      <c r="S224" s="227">
        <f t="shared" si="73"/>
        <v>14.75</v>
      </c>
      <c r="T224" s="227">
        <f t="shared" si="73"/>
        <v>29.5</v>
      </c>
      <c r="U224" s="227">
        <f t="shared" si="73"/>
        <v>59</v>
      </c>
      <c r="V224" s="227">
        <f t="shared" si="73"/>
        <v>118</v>
      </c>
      <c r="W224" s="227">
        <f t="shared" si="73"/>
        <v>236</v>
      </c>
      <c r="X224" s="227">
        <f t="shared" si="73"/>
        <v>472</v>
      </c>
      <c r="Y224" s="227">
        <f t="shared" si="73"/>
        <v>944</v>
      </c>
      <c r="Z224" s="227">
        <f t="shared" si="73"/>
        <v>1888</v>
      </c>
      <c r="AA224" s="227">
        <f t="shared" si="73"/>
        <v>3776</v>
      </c>
      <c r="AB224" s="227">
        <f t="shared" si="73"/>
        <v>7552</v>
      </c>
      <c r="AC224" s="227">
        <f t="shared" si="73"/>
        <v>15104</v>
      </c>
      <c r="AD224" s="227">
        <f t="shared" si="73"/>
        <v>30208</v>
      </c>
      <c r="AE224" s="227">
        <f t="shared" ref="AE224:AG224" si="74">AE210*$B$205</f>
        <v>37760</v>
      </c>
      <c r="AF224" s="227">
        <f t="shared" si="74"/>
        <v>45312</v>
      </c>
      <c r="AG224" s="227">
        <f t="shared" si="74"/>
        <v>52864</v>
      </c>
      <c r="AH224" s="227">
        <f t="shared" si="73"/>
        <v>60416</v>
      </c>
      <c r="AI224" s="227">
        <f t="shared" ref="AI224:AK224" si="75">AI210*$B$205</f>
        <v>77332.479999999996</v>
      </c>
      <c r="AJ224" s="227">
        <f t="shared" si="75"/>
        <v>90624</v>
      </c>
      <c r="AK224" s="227">
        <f t="shared" si="75"/>
        <v>105728</v>
      </c>
      <c r="AL224" s="227">
        <f t="shared" si="73"/>
        <v>120832</v>
      </c>
      <c r="AM224" s="227">
        <f t="shared" ref="AM224:AP224" si="76">AM210*$B$205</f>
        <v>144998.39999999999</v>
      </c>
      <c r="AN224" s="227">
        <f t="shared" si="76"/>
        <v>169164.79999999999</v>
      </c>
      <c r="AO224" s="227">
        <f t="shared" si="76"/>
        <v>193331.19999999998</v>
      </c>
      <c r="AP224" s="227">
        <f t="shared" si="76"/>
        <v>217497.59999999998</v>
      </c>
      <c r="AQ224" s="227">
        <f t="shared" si="73"/>
        <v>241664</v>
      </c>
      <c r="AR224" s="227">
        <f t="shared" ref="AR224:AU224" si="77">AR210*$B$205</f>
        <v>289996.79999999999</v>
      </c>
      <c r="AS224" s="227">
        <f t="shared" si="77"/>
        <v>338329.59999999998</v>
      </c>
      <c r="AT224" s="227">
        <f t="shared" si="77"/>
        <v>386662.39999999997</v>
      </c>
      <c r="AU224" s="227">
        <f t="shared" si="77"/>
        <v>434995.19999999995</v>
      </c>
      <c r="AV224" s="227">
        <f t="shared" si="73"/>
        <v>483328</v>
      </c>
      <c r="AW224" s="227">
        <f t="shared" ref="AW224:AZ224" si="78">AW210*$B$205</f>
        <v>579993.59999999998</v>
      </c>
      <c r="AX224" s="227">
        <f t="shared" si="78"/>
        <v>676659.19999999995</v>
      </c>
      <c r="AY224" s="227">
        <f t="shared" si="78"/>
        <v>773324.79999999993</v>
      </c>
      <c r="AZ224" s="227">
        <f t="shared" si="78"/>
        <v>869990.39999999991</v>
      </c>
      <c r="BA224" s="227">
        <f t="shared" si="73"/>
        <v>966656</v>
      </c>
      <c r="BB224" s="240">
        <f t="shared" ref="BB224:BF224" si="79">BB210*$B$205</f>
        <v>1933312</v>
      </c>
      <c r="BC224" s="199">
        <f t="shared" si="79"/>
        <v>3866624</v>
      </c>
      <c r="BD224" s="199">
        <f t="shared" si="79"/>
        <v>7733248</v>
      </c>
      <c r="BE224" s="199">
        <f t="shared" si="79"/>
        <v>15466496</v>
      </c>
      <c r="BF224" s="200">
        <f t="shared" si="79"/>
        <v>19503364.5</v>
      </c>
      <c r="BG224" s="208">
        <f t="shared" si="73"/>
        <v>19503364.5</v>
      </c>
      <c r="BH224" s="244">
        <f>BH210*B205</f>
        <v>1365235.5150000001</v>
      </c>
      <c r="BI224" s="45"/>
      <c r="BJ224" s="45"/>
      <c r="BK224" s="69"/>
    </row>
    <row r="225" spans="1:63" x14ac:dyDescent="0.25">
      <c r="A225" s="37" t="s">
        <v>55</v>
      </c>
      <c r="B225" s="38"/>
      <c r="C225" s="39"/>
      <c r="D225" s="39"/>
      <c r="E225" s="39"/>
      <c r="F225" s="39"/>
      <c r="G225" s="39"/>
      <c r="H225" s="39"/>
      <c r="I225" s="39"/>
      <c r="J225" s="39"/>
      <c r="K225" s="39"/>
      <c r="L225" s="39"/>
      <c r="M225" s="39"/>
      <c r="N225" s="39"/>
      <c r="O225" s="39"/>
      <c r="P225" s="201"/>
      <c r="Q225" s="202"/>
      <c r="R225" s="202"/>
      <c r="S225" s="202"/>
      <c r="T225" s="202"/>
      <c r="U225" s="202"/>
      <c r="V225" s="202"/>
      <c r="W225" s="202"/>
      <c r="X225" s="202"/>
      <c r="Y225" s="202"/>
      <c r="Z225" s="202"/>
      <c r="AA225" s="202"/>
      <c r="AB225" s="210">
        <f t="shared" ref="AB225:AV225" si="80">($P$210*$B$205)*(2^(((AB209-35)-$P$209)/HLOOKUP((AB209-35)-$B$206,$P$233:$BH$235,3,TRUE)))</f>
        <v>2.067810231665876</v>
      </c>
      <c r="AC225" s="210">
        <f t="shared" si="80"/>
        <v>3.669052388563899</v>
      </c>
      <c r="AD225" s="210">
        <f t="shared" si="80"/>
        <v>15.457991607381013</v>
      </c>
      <c r="AE225" s="210">
        <f t="shared" si="80"/>
        <v>68.534821428571419</v>
      </c>
      <c r="AF225" s="210">
        <f t="shared" si="80"/>
        <v>178.06111235014029</v>
      </c>
      <c r="AG225" s="210">
        <f t="shared" si="80"/>
        <v>608.39735486248435</v>
      </c>
      <c r="AH225" s="210">
        <f t="shared" si="80"/>
        <v>2241.6944693546275</v>
      </c>
      <c r="AI225" s="210">
        <f t="shared" si="80"/>
        <v>14716.8748854764</v>
      </c>
      <c r="AJ225" s="210">
        <f t="shared" si="80"/>
        <v>41832.350004289474</v>
      </c>
      <c r="AK225" s="210">
        <f t="shared" si="80"/>
        <v>50665.705494050679</v>
      </c>
      <c r="AL225" s="210">
        <f t="shared" si="80"/>
        <v>158191.0168980748</v>
      </c>
      <c r="AM225" s="210">
        <f t="shared" si="80"/>
        <v>244545.05392084064</v>
      </c>
      <c r="AN225" s="210">
        <f t="shared" si="80"/>
        <v>106684.71945393043</v>
      </c>
      <c r="AO225" s="210">
        <f t="shared" si="80"/>
        <v>152420.86036610295</v>
      </c>
      <c r="AP225" s="210">
        <f t="shared" si="80"/>
        <v>144928.01609775069</v>
      </c>
      <c r="AQ225" s="210">
        <f t="shared" si="80"/>
        <v>181147.82834788543</v>
      </c>
      <c r="AR225" s="210">
        <f t="shared" si="80"/>
        <v>647673.77730238007</v>
      </c>
      <c r="AS225" s="210">
        <f t="shared" si="80"/>
        <v>496141.41455972771</v>
      </c>
      <c r="AT225" s="210">
        <f t="shared" si="80"/>
        <v>549996.78700473253</v>
      </c>
      <c r="AU225" s="210">
        <f t="shared" si="80"/>
        <v>595989.77997519809</v>
      </c>
      <c r="AV225" s="210">
        <f t="shared" si="80"/>
        <v>638830.05981583579</v>
      </c>
      <c r="AW225" s="210">
        <f t="shared" ref="AW225:AZ225" si="81">($P$210*$B$205)*(2^(((AW209-35)-$P$209)/HLOOKUP((AW209-35)-$B$206,$P$233:$BH$235,3,TRUE)))</f>
        <v>689057.20075058925</v>
      </c>
      <c r="AX225" s="210">
        <f t="shared" si="81"/>
        <v>646425.68389455625</v>
      </c>
      <c r="AY225" s="210">
        <f t="shared" si="81"/>
        <v>800352.07213898783</v>
      </c>
      <c r="AZ225" s="210">
        <f t="shared" si="81"/>
        <v>932638.02158739418</v>
      </c>
      <c r="BA225" s="210">
        <f t="shared" ref="BA225:BG225" si="82">($P$210*$B$205)*(2^(((BA209-35)-$P$209)/HLOOKUP((BA209-35)-$B$206,$P$233:$BH$235,3,TRUE)))</f>
        <v>1051335.2694626376</v>
      </c>
      <c r="BB225" s="241">
        <f t="shared" si="82"/>
        <v>58632891.154870294</v>
      </c>
      <c r="BC225" s="203">
        <f t="shared" si="82"/>
        <v>43751598.164482869</v>
      </c>
      <c r="BD225" s="203">
        <f t="shared" si="82"/>
        <v>49790507.250176385</v>
      </c>
      <c r="BE225" s="203">
        <f t="shared" si="82"/>
        <v>69126906.438622057</v>
      </c>
      <c r="BF225" s="204">
        <f t="shared" si="82"/>
        <v>107070392.30151697</v>
      </c>
      <c r="BG225" s="203">
        <f t="shared" si="82"/>
        <v>177268080.89038718</v>
      </c>
      <c r="BH225" s="247">
        <f>($P$210*$B$205)*(2^(((BH209 - 35) - $P$209)/BH235))</f>
        <v>13602791.961634319</v>
      </c>
      <c r="BI225" s="45"/>
      <c r="BJ225" s="45"/>
      <c r="BK225" s="69"/>
    </row>
    <row r="226" spans="1:63" s="69" customFormat="1" hidden="1" x14ac:dyDescent="0.25">
      <c r="A226" s="48" t="s">
        <v>105</v>
      </c>
      <c r="B226" s="25"/>
      <c r="C226" s="47"/>
      <c r="D226" s="47"/>
      <c r="E226" s="47"/>
      <c r="F226" s="47"/>
      <c r="G226" s="47"/>
      <c r="H226" s="47"/>
      <c r="I226" s="47"/>
      <c r="J226" s="47"/>
      <c r="K226" s="47"/>
      <c r="L226" s="47"/>
      <c r="M226" s="47"/>
      <c r="N226" s="47"/>
      <c r="O226" s="47"/>
      <c r="P226" s="150">
        <f t="shared" ref="P226:BG226" si="83">P209-7</f>
        <v>43875</v>
      </c>
      <c r="Q226" s="150">
        <f t="shared" si="83"/>
        <v>43883</v>
      </c>
      <c r="R226" s="150">
        <f t="shared" si="83"/>
        <v>43886</v>
      </c>
      <c r="S226" s="150">
        <f t="shared" si="83"/>
        <v>43888</v>
      </c>
      <c r="T226" s="150">
        <f t="shared" si="83"/>
        <v>43891</v>
      </c>
      <c r="U226" s="150">
        <f t="shared" si="83"/>
        <v>43894</v>
      </c>
      <c r="V226" s="150">
        <f t="shared" si="83"/>
        <v>43897</v>
      </c>
      <c r="W226" s="150">
        <f t="shared" si="83"/>
        <v>43899</v>
      </c>
      <c r="X226" s="150">
        <f t="shared" si="83"/>
        <v>43901</v>
      </c>
      <c r="Y226" s="150">
        <f t="shared" si="83"/>
        <v>43903</v>
      </c>
      <c r="Z226" s="150">
        <f t="shared" si="83"/>
        <v>43905</v>
      </c>
      <c r="AA226" s="150">
        <f t="shared" si="83"/>
        <v>43908</v>
      </c>
      <c r="AB226" s="150">
        <f t="shared" si="83"/>
        <v>43911</v>
      </c>
      <c r="AC226" s="150">
        <f t="shared" si="83"/>
        <v>43916</v>
      </c>
      <c r="AD226" s="150">
        <f t="shared" si="83"/>
        <v>43925</v>
      </c>
      <c r="AE226" s="150"/>
      <c r="AF226" s="150"/>
      <c r="AG226" s="150"/>
      <c r="AH226" s="150">
        <f t="shared" si="83"/>
        <v>43941</v>
      </c>
      <c r="AI226" s="150"/>
      <c r="AJ226" s="150"/>
      <c r="AK226" s="150"/>
      <c r="AL226" s="150">
        <f t="shared" si="83"/>
        <v>43983</v>
      </c>
      <c r="AM226" s="150"/>
      <c r="AN226" s="150"/>
      <c r="AO226" s="150"/>
      <c r="AP226" s="150"/>
      <c r="AQ226" s="150">
        <f t="shared" si="83"/>
        <v>44047</v>
      </c>
      <c r="AR226" s="150"/>
      <c r="AS226" s="150"/>
      <c r="AT226" s="150"/>
      <c r="AU226" s="150"/>
      <c r="AV226" s="150">
        <f t="shared" si="83"/>
        <v>44303</v>
      </c>
      <c r="AW226" s="150"/>
      <c r="AX226" s="150"/>
      <c r="AY226" s="150"/>
      <c r="AZ226" s="150"/>
      <c r="BA226" s="150">
        <f t="shared" si="83"/>
        <v>44559</v>
      </c>
      <c r="BB226" s="150"/>
      <c r="BC226" s="150"/>
      <c r="BD226" s="150"/>
      <c r="BE226" s="150"/>
      <c r="BF226" s="150"/>
      <c r="BG226" s="150">
        <f t="shared" si="83"/>
        <v>46095</v>
      </c>
      <c r="BH226" s="150"/>
      <c r="BI226" s="45"/>
      <c r="BJ226" s="45"/>
    </row>
    <row r="227" spans="1:63" s="69" customFormat="1" hidden="1" x14ac:dyDescent="0.25">
      <c r="A227" s="48" t="s">
        <v>103</v>
      </c>
      <c r="B227" s="25"/>
      <c r="C227" s="47"/>
      <c r="D227" s="47"/>
      <c r="E227" s="47"/>
      <c r="F227" s="47"/>
      <c r="G227" s="47"/>
      <c r="H227" s="47"/>
      <c r="I227" s="47"/>
      <c r="J227" s="47"/>
      <c r="K227" s="47"/>
      <c r="L227" s="47"/>
      <c r="M227" s="47"/>
      <c r="N227" s="47"/>
      <c r="O227" s="47"/>
      <c r="P227" s="150">
        <f t="shared" ref="P227:BG227" si="84">P209-14</f>
        <v>43868</v>
      </c>
      <c r="Q227" s="150">
        <f t="shared" si="84"/>
        <v>43876</v>
      </c>
      <c r="R227" s="150">
        <f t="shared" si="84"/>
        <v>43879</v>
      </c>
      <c r="S227" s="150">
        <f t="shared" si="84"/>
        <v>43881</v>
      </c>
      <c r="T227" s="150">
        <f t="shared" si="84"/>
        <v>43884</v>
      </c>
      <c r="U227" s="150">
        <f t="shared" si="84"/>
        <v>43887</v>
      </c>
      <c r="V227" s="150">
        <f t="shared" si="84"/>
        <v>43890</v>
      </c>
      <c r="W227" s="150">
        <f t="shared" si="84"/>
        <v>43892</v>
      </c>
      <c r="X227" s="150">
        <f t="shared" si="84"/>
        <v>43894</v>
      </c>
      <c r="Y227" s="150">
        <f t="shared" si="84"/>
        <v>43896</v>
      </c>
      <c r="Z227" s="150">
        <f t="shared" si="84"/>
        <v>43898</v>
      </c>
      <c r="AA227" s="150">
        <f t="shared" si="84"/>
        <v>43901</v>
      </c>
      <c r="AB227" s="150">
        <f t="shared" si="84"/>
        <v>43904</v>
      </c>
      <c r="AC227" s="150">
        <f t="shared" si="84"/>
        <v>43909</v>
      </c>
      <c r="AD227" s="150">
        <f t="shared" si="84"/>
        <v>43918</v>
      </c>
      <c r="AE227" s="150"/>
      <c r="AF227" s="150"/>
      <c r="AG227" s="150"/>
      <c r="AH227" s="150">
        <f t="shared" si="84"/>
        <v>43934</v>
      </c>
      <c r="AI227" s="150"/>
      <c r="AJ227" s="150"/>
      <c r="AK227" s="150"/>
      <c r="AL227" s="150">
        <f t="shared" si="84"/>
        <v>43976</v>
      </c>
      <c r="AM227" s="150"/>
      <c r="AN227" s="150"/>
      <c r="AO227" s="150"/>
      <c r="AP227" s="150"/>
      <c r="AQ227" s="150">
        <f t="shared" si="84"/>
        <v>44040</v>
      </c>
      <c r="AR227" s="150"/>
      <c r="AS227" s="150"/>
      <c r="AT227" s="150"/>
      <c r="AU227" s="150"/>
      <c r="AV227" s="150">
        <f t="shared" si="84"/>
        <v>44296</v>
      </c>
      <c r="AW227" s="150"/>
      <c r="AX227" s="150"/>
      <c r="AY227" s="150"/>
      <c r="AZ227" s="150"/>
      <c r="BA227" s="150">
        <f t="shared" si="84"/>
        <v>44552</v>
      </c>
      <c r="BB227" s="150"/>
      <c r="BC227" s="150"/>
      <c r="BD227" s="150"/>
      <c r="BE227" s="150"/>
      <c r="BF227" s="150"/>
      <c r="BG227" s="150">
        <f t="shared" si="84"/>
        <v>46088</v>
      </c>
      <c r="BH227" s="150"/>
      <c r="BI227" s="45"/>
      <c r="BJ227" s="45"/>
    </row>
    <row r="228" spans="1:63" s="69" customFormat="1" hidden="1" x14ac:dyDescent="0.25">
      <c r="A228" s="48" t="s">
        <v>106</v>
      </c>
      <c r="B228" s="25"/>
      <c r="C228" s="47"/>
      <c r="D228" s="47"/>
      <c r="E228" s="47"/>
      <c r="F228" s="47"/>
      <c r="G228" s="47"/>
      <c r="H228" s="47"/>
      <c r="I228" s="47"/>
      <c r="J228" s="47"/>
      <c r="K228" s="47"/>
      <c r="L228" s="47"/>
      <c r="M228" s="47"/>
      <c r="N228" s="47"/>
      <c r="O228" s="47"/>
      <c r="P228" s="150">
        <f t="shared" ref="P228:BG228" si="85">P209-(7*5)</f>
        <v>43847</v>
      </c>
      <c r="Q228" s="150">
        <f t="shared" si="85"/>
        <v>43855</v>
      </c>
      <c r="R228" s="150">
        <f t="shared" si="85"/>
        <v>43858</v>
      </c>
      <c r="S228" s="150">
        <f t="shared" si="85"/>
        <v>43860</v>
      </c>
      <c r="T228" s="150">
        <f t="shared" si="85"/>
        <v>43863</v>
      </c>
      <c r="U228" s="150">
        <f t="shared" si="85"/>
        <v>43866</v>
      </c>
      <c r="V228" s="150">
        <f t="shared" si="85"/>
        <v>43869</v>
      </c>
      <c r="W228" s="150">
        <f t="shared" si="85"/>
        <v>43871</v>
      </c>
      <c r="X228" s="150">
        <f t="shared" si="85"/>
        <v>43873</v>
      </c>
      <c r="Y228" s="150">
        <f t="shared" si="85"/>
        <v>43875</v>
      </c>
      <c r="Z228" s="150">
        <f t="shared" si="85"/>
        <v>43877</v>
      </c>
      <c r="AA228" s="150">
        <f t="shared" si="85"/>
        <v>43880</v>
      </c>
      <c r="AB228" s="150">
        <f t="shared" si="85"/>
        <v>43883</v>
      </c>
      <c r="AC228" s="150">
        <f t="shared" si="85"/>
        <v>43888</v>
      </c>
      <c r="AD228" s="150">
        <f t="shared" si="85"/>
        <v>43897</v>
      </c>
      <c r="AE228" s="150"/>
      <c r="AF228" s="150"/>
      <c r="AG228" s="150"/>
      <c r="AH228" s="150">
        <f t="shared" si="85"/>
        <v>43913</v>
      </c>
      <c r="AI228" s="150"/>
      <c r="AJ228" s="150"/>
      <c r="AK228" s="150"/>
      <c r="AL228" s="150">
        <f t="shared" si="85"/>
        <v>43955</v>
      </c>
      <c r="AM228" s="150"/>
      <c r="AN228" s="150"/>
      <c r="AO228" s="150"/>
      <c r="AP228" s="150"/>
      <c r="AQ228" s="150">
        <f t="shared" si="85"/>
        <v>44019</v>
      </c>
      <c r="AR228" s="150"/>
      <c r="AS228" s="150"/>
      <c r="AT228" s="150"/>
      <c r="AU228" s="150"/>
      <c r="AV228" s="150">
        <f t="shared" si="85"/>
        <v>44275</v>
      </c>
      <c r="AW228" s="150"/>
      <c r="AX228" s="150"/>
      <c r="AY228" s="150"/>
      <c r="AZ228" s="150"/>
      <c r="BA228" s="150">
        <f t="shared" si="85"/>
        <v>44531</v>
      </c>
      <c r="BB228" s="150"/>
      <c r="BC228" s="150"/>
      <c r="BD228" s="150"/>
      <c r="BE228" s="150"/>
      <c r="BF228" s="150"/>
      <c r="BG228" s="150">
        <f t="shared" si="85"/>
        <v>46067</v>
      </c>
      <c r="BH228" s="150"/>
      <c r="BI228" s="45"/>
      <c r="BJ228" s="45"/>
    </row>
    <row r="229" spans="1:63" s="69" customFormat="1" hidden="1" x14ac:dyDescent="0.25">
      <c r="A229" s="48" t="s">
        <v>104</v>
      </c>
      <c r="B229" s="25"/>
      <c r="C229" s="47"/>
      <c r="D229" s="47"/>
      <c r="E229" s="47"/>
      <c r="F229" s="47"/>
      <c r="G229" s="47"/>
      <c r="H229" s="47"/>
      <c r="I229" s="47"/>
      <c r="J229" s="47"/>
      <c r="K229" s="47"/>
      <c r="L229" s="47"/>
      <c r="M229" s="47"/>
      <c r="N229" s="47"/>
      <c r="O229" s="47"/>
      <c r="P229" s="150">
        <f t="shared" ref="P229:BG229" si="86">P209-(6*7)</f>
        <v>43840</v>
      </c>
      <c r="Q229" s="150">
        <f t="shared" si="86"/>
        <v>43848</v>
      </c>
      <c r="R229" s="150">
        <f t="shared" si="86"/>
        <v>43851</v>
      </c>
      <c r="S229" s="150">
        <f t="shared" si="86"/>
        <v>43853</v>
      </c>
      <c r="T229" s="150">
        <f t="shared" si="86"/>
        <v>43856</v>
      </c>
      <c r="U229" s="150">
        <f t="shared" si="86"/>
        <v>43859</v>
      </c>
      <c r="V229" s="150">
        <f t="shared" si="86"/>
        <v>43862</v>
      </c>
      <c r="W229" s="150">
        <f t="shared" si="86"/>
        <v>43864</v>
      </c>
      <c r="X229" s="150">
        <f t="shared" si="86"/>
        <v>43866</v>
      </c>
      <c r="Y229" s="150">
        <f t="shared" si="86"/>
        <v>43868</v>
      </c>
      <c r="Z229" s="150">
        <f t="shared" si="86"/>
        <v>43870</v>
      </c>
      <c r="AA229" s="150">
        <f t="shared" si="86"/>
        <v>43873</v>
      </c>
      <c r="AB229" s="150">
        <f t="shared" si="86"/>
        <v>43876</v>
      </c>
      <c r="AC229" s="150">
        <f t="shared" si="86"/>
        <v>43881</v>
      </c>
      <c r="AD229" s="150">
        <f t="shared" si="86"/>
        <v>43890</v>
      </c>
      <c r="AE229" s="150"/>
      <c r="AF229" s="150"/>
      <c r="AG229" s="150"/>
      <c r="AH229" s="150">
        <f t="shared" si="86"/>
        <v>43906</v>
      </c>
      <c r="AI229" s="150"/>
      <c r="AJ229" s="150"/>
      <c r="AK229" s="150"/>
      <c r="AL229" s="150">
        <f t="shared" si="86"/>
        <v>43948</v>
      </c>
      <c r="AM229" s="150"/>
      <c r="AN229" s="150"/>
      <c r="AO229" s="150"/>
      <c r="AP229" s="150"/>
      <c r="AQ229" s="150">
        <f t="shared" si="86"/>
        <v>44012</v>
      </c>
      <c r="AR229" s="150"/>
      <c r="AS229" s="150"/>
      <c r="AT229" s="150"/>
      <c r="AU229" s="150"/>
      <c r="AV229" s="150">
        <f t="shared" si="86"/>
        <v>44268</v>
      </c>
      <c r="AW229" s="150"/>
      <c r="AX229" s="150"/>
      <c r="AY229" s="150"/>
      <c r="AZ229" s="150"/>
      <c r="BA229" s="150">
        <f t="shared" si="86"/>
        <v>44524</v>
      </c>
      <c r="BB229" s="150"/>
      <c r="BC229" s="150"/>
      <c r="BD229" s="150"/>
      <c r="BE229" s="150"/>
      <c r="BF229" s="150"/>
      <c r="BG229" s="150">
        <f t="shared" si="86"/>
        <v>46060</v>
      </c>
      <c r="BH229" s="150"/>
      <c r="BI229" s="45"/>
      <c r="BJ229" s="45"/>
    </row>
    <row r="231" spans="1:63" x14ac:dyDescent="0.25">
      <c r="A231" s="53" t="s">
        <v>48</v>
      </c>
      <c r="B231" s="15"/>
      <c r="C231" s="16"/>
      <c r="D231" s="16"/>
      <c r="E231" s="16"/>
      <c r="F231" s="16"/>
      <c r="G231" s="16"/>
      <c r="H231" s="16"/>
      <c r="I231" s="16"/>
      <c r="J231" s="16"/>
      <c r="K231" s="16"/>
      <c r="L231" s="16"/>
      <c r="M231" s="16"/>
      <c r="N231" s="16"/>
      <c r="O231" s="16"/>
    </row>
    <row r="232" spans="1:63" s="69" customFormat="1" x14ac:dyDescent="0.25">
      <c r="A232" s="143" t="s">
        <v>102</v>
      </c>
      <c r="B232" s="25"/>
      <c r="C232" s="47"/>
      <c r="D232" s="47"/>
      <c r="E232" s="47"/>
      <c r="F232" s="47"/>
      <c r="G232" s="47"/>
      <c r="H232" s="47"/>
      <c r="I232" s="47"/>
      <c r="J232" s="47"/>
      <c r="K232" s="47"/>
      <c r="L232" s="47"/>
      <c r="M232" s="47"/>
      <c r="N232" s="47"/>
      <c r="O232" s="47"/>
      <c r="P232" s="141">
        <f t="shared" ref="P232:BH232" si="87">(P209-$B$206)/7</f>
        <v>4.4285714285714288</v>
      </c>
      <c r="Q232" s="141">
        <f t="shared" si="87"/>
        <v>5.5714285714285712</v>
      </c>
      <c r="R232" s="145">
        <f t="shared" si="87"/>
        <v>6</v>
      </c>
      <c r="S232" s="145">
        <f t="shared" si="87"/>
        <v>6.2857142857142856</v>
      </c>
      <c r="T232" s="141">
        <f t="shared" si="87"/>
        <v>6.7142857142857144</v>
      </c>
      <c r="U232" s="145">
        <f t="shared" si="87"/>
        <v>7.1428571428571432</v>
      </c>
      <c r="V232" s="141">
        <f t="shared" si="87"/>
        <v>7.5714285714285712</v>
      </c>
      <c r="W232" s="145">
        <f t="shared" si="87"/>
        <v>7.8571428571428568</v>
      </c>
      <c r="X232" s="145">
        <f t="shared" si="87"/>
        <v>8.1428571428571423</v>
      </c>
      <c r="Y232" s="142">
        <f t="shared" si="87"/>
        <v>8.4285714285714288</v>
      </c>
      <c r="Z232" s="145">
        <f t="shared" si="87"/>
        <v>8.7142857142857135</v>
      </c>
      <c r="AA232" s="145">
        <f t="shared" si="87"/>
        <v>9.1428571428571423</v>
      </c>
      <c r="AB232" s="141">
        <f t="shared" si="87"/>
        <v>9.5714285714285712</v>
      </c>
      <c r="AC232" s="142">
        <f t="shared" si="87"/>
        <v>10.285714285714286</v>
      </c>
      <c r="AD232" s="142">
        <f t="shared" si="87"/>
        <v>11.571428571428571</v>
      </c>
      <c r="AE232" s="144">
        <f t="shared" ref="AE232:AG232" si="88">(AE209-$B$206)/7</f>
        <v>12.142857142857142</v>
      </c>
      <c r="AF232" s="144">
        <f t="shared" si="88"/>
        <v>12.714285714285714</v>
      </c>
      <c r="AG232" s="144">
        <f t="shared" si="88"/>
        <v>13.285714285714286</v>
      </c>
      <c r="AH232" s="144">
        <f t="shared" si="87"/>
        <v>13.857142857142858</v>
      </c>
      <c r="AI232" s="144">
        <f t="shared" ref="AI232:AK232" si="89">(AI209-$B$206)/7</f>
        <v>15.357142857142858</v>
      </c>
      <c r="AJ232" s="144">
        <f t="shared" si="89"/>
        <v>16.857142857142858</v>
      </c>
      <c r="AK232" s="144">
        <f t="shared" si="89"/>
        <v>18.357142857142858</v>
      </c>
      <c r="AL232" s="144">
        <f t="shared" si="87"/>
        <v>19.857142857142858</v>
      </c>
      <c r="AM232" s="142">
        <f t="shared" ref="AM232:AP232" si="90">(AM209-$B$206)/7</f>
        <v>21.685714285714702</v>
      </c>
      <c r="AN232" s="142">
        <f t="shared" si="90"/>
        <v>23.514285714285506</v>
      </c>
      <c r="AO232" s="142">
        <f t="shared" si="90"/>
        <v>25.342857142857351</v>
      </c>
      <c r="AP232" s="142">
        <f t="shared" si="90"/>
        <v>27.171428571428155</v>
      </c>
      <c r="AQ232" s="142">
        <f t="shared" si="87"/>
        <v>29</v>
      </c>
      <c r="AR232" s="144">
        <f t="shared" ref="AR232:AU232" si="91">(AR209-$B$206)/7</f>
        <v>36.314285714285298</v>
      </c>
      <c r="AS232" s="144">
        <f t="shared" si="91"/>
        <v>43.62857142857164</v>
      </c>
      <c r="AT232" s="144">
        <f t="shared" si="91"/>
        <v>50.942857142856937</v>
      </c>
      <c r="AU232" s="144">
        <f t="shared" si="91"/>
        <v>58.257142857143272</v>
      </c>
      <c r="AV232" s="144">
        <f t="shared" si="87"/>
        <v>65.571428571428569</v>
      </c>
      <c r="AW232" s="141">
        <f t="shared" ref="AW232:AZ232" si="92">(AW209-$B$206)/7</f>
        <v>72.885714285713874</v>
      </c>
      <c r="AX232" s="141">
        <f t="shared" si="92"/>
        <v>80.200000000000202</v>
      </c>
      <c r="AY232" s="141">
        <f t="shared" si="92"/>
        <v>87.514285714285506</v>
      </c>
      <c r="AZ232" s="141">
        <f t="shared" si="92"/>
        <v>94.828571428571848</v>
      </c>
      <c r="BA232" s="141">
        <f t="shared" si="87"/>
        <v>102.14285714285714</v>
      </c>
      <c r="BB232" s="141">
        <f t="shared" ref="BB232:BF232" si="93">(BB209-$B$206)/7</f>
        <v>138.71428571428572</v>
      </c>
      <c r="BC232" s="141">
        <f t="shared" si="93"/>
        <v>175.28571428571428</v>
      </c>
      <c r="BD232" s="141">
        <f t="shared" si="93"/>
        <v>211.85714285714286</v>
      </c>
      <c r="BE232" s="141">
        <f t="shared" si="93"/>
        <v>248.42857142857142</v>
      </c>
      <c r="BF232" s="141">
        <f t="shared" si="93"/>
        <v>285</v>
      </c>
      <c r="BG232" s="144">
        <f t="shared" si="87"/>
        <v>321.57142857142856</v>
      </c>
      <c r="BH232" s="144">
        <f t="shared" si="87"/>
        <v>329.57142857142856</v>
      </c>
    </row>
    <row r="233" spans="1:63" s="69" customFormat="1" x14ac:dyDescent="0.25">
      <c r="A233" s="143" t="s">
        <v>101</v>
      </c>
      <c r="B233" s="25"/>
      <c r="C233" s="47"/>
      <c r="D233" s="47"/>
      <c r="E233" s="47"/>
      <c r="F233" s="47"/>
      <c r="G233" s="47"/>
      <c r="H233" s="47"/>
      <c r="I233" s="47"/>
      <c r="J233" s="47"/>
      <c r="K233" s="47"/>
      <c r="L233" s="47"/>
      <c r="M233" s="47"/>
      <c r="N233" s="47"/>
      <c r="O233" s="47"/>
      <c r="P233" s="269">
        <f>P209-$B$206</f>
        <v>31</v>
      </c>
      <c r="Q233" s="234">
        <f t="shared" ref="Q233:U233" si="94">Q209-$B$206</f>
        <v>39</v>
      </c>
      <c r="R233" s="234">
        <f t="shared" si="94"/>
        <v>42</v>
      </c>
      <c r="S233" s="234">
        <f t="shared" si="94"/>
        <v>44</v>
      </c>
      <c r="T233" s="234">
        <f t="shared" si="94"/>
        <v>47</v>
      </c>
      <c r="U233" s="234">
        <f t="shared" si="94"/>
        <v>50</v>
      </c>
      <c r="V233" s="234">
        <f>V209-$B$206</f>
        <v>53</v>
      </c>
      <c r="W233" s="234">
        <f t="shared" ref="W233:BH233" si="95">W209-$B$206</f>
        <v>55</v>
      </c>
      <c r="X233" s="234">
        <f t="shared" si="95"/>
        <v>57</v>
      </c>
      <c r="Y233" s="234">
        <f t="shared" si="95"/>
        <v>59</v>
      </c>
      <c r="Z233" s="234">
        <f t="shared" si="95"/>
        <v>61</v>
      </c>
      <c r="AA233" s="234">
        <f t="shared" si="95"/>
        <v>64</v>
      </c>
      <c r="AB233" s="234">
        <f t="shared" si="95"/>
        <v>67</v>
      </c>
      <c r="AC233" s="234">
        <f t="shared" si="95"/>
        <v>72</v>
      </c>
      <c r="AD233" s="234">
        <f t="shared" si="95"/>
        <v>81</v>
      </c>
      <c r="AE233" s="234">
        <f t="shared" ref="AE233:AG233" si="96">AE209-$B$206</f>
        <v>85</v>
      </c>
      <c r="AF233" s="234">
        <f t="shared" si="96"/>
        <v>89</v>
      </c>
      <c r="AG233" s="234">
        <f t="shared" si="96"/>
        <v>93</v>
      </c>
      <c r="AH233" s="234">
        <f t="shared" si="95"/>
        <v>97</v>
      </c>
      <c r="AI233" s="234">
        <f t="shared" ref="AI233:AK233" si="97">AI209-$B$206</f>
        <v>107.5</v>
      </c>
      <c r="AJ233" s="234">
        <f t="shared" si="97"/>
        <v>118</v>
      </c>
      <c r="AK233" s="234">
        <f t="shared" si="97"/>
        <v>128.5</v>
      </c>
      <c r="AL233" s="234">
        <f t="shared" si="95"/>
        <v>139</v>
      </c>
      <c r="AM233" s="234">
        <f t="shared" ref="AM233:AP233" si="98">AM209-$B$206</f>
        <v>151.80000000000291</v>
      </c>
      <c r="AN233" s="234">
        <f t="shared" si="98"/>
        <v>164.59999999999854</v>
      </c>
      <c r="AO233" s="234">
        <f t="shared" si="98"/>
        <v>177.40000000000146</v>
      </c>
      <c r="AP233" s="234">
        <f t="shared" si="98"/>
        <v>190.19999999999709</v>
      </c>
      <c r="AQ233" s="234">
        <f t="shared" si="95"/>
        <v>203</v>
      </c>
      <c r="AR233" s="234">
        <f t="shared" ref="AR233:AU233" si="99">AR209-$B$206</f>
        <v>254.19999999999709</v>
      </c>
      <c r="AS233" s="234">
        <f t="shared" si="99"/>
        <v>305.40000000000146</v>
      </c>
      <c r="AT233" s="234">
        <f t="shared" si="99"/>
        <v>356.59999999999854</v>
      </c>
      <c r="AU233" s="234">
        <f t="shared" si="99"/>
        <v>407.80000000000291</v>
      </c>
      <c r="AV233" s="234">
        <f t="shared" si="95"/>
        <v>459</v>
      </c>
      <c r="AW233" s="235">
        <f t="shared" ref="AW233:AZ233" si="100">AW209-$B$206</f>
        <v>510.19999999999709</v>
      </c>
      <c r="AX233" s="235">
        <f t="shared" si="100"/>
        <v>561.40000000000146</v>
      </c>
      <c r="AY233" s="235">
        <f t="shared" si="100"/>
        <v>612.59999999999854</v>
      </c>
      <c r="AZ233" s="235">
        <f t="shared" si="100"/>
        <v>663.80000000000291</v>
      </c>
      <c r="BA233" s="235">
        <f t="shared" si="95"/>
        <v>715</v>
      </c>
      <c r="BB233" s="262">
        <f t="shared" ref="BB233:BF233" si="101">BB209-$B$206</f>
        <v>971</v>
      </c>
      <c r="BC233" s="191">
        <f t="shared" si="101"/>
        <v>1227</v>
      </c>
      <c r="BD233" s="191">
        <f t="shared" si="101"/>
        <v>1483</v>
      </c>
      <c r="BE233" s="191">
        <f t="shared" si="101"/>
        <v>1739</v>
      </c>
      <c r="BF233" s="191">
        <f t="shared" si="101"/>
        <v>1995</v>
      </c>
      <c r="BG233" s="191">
        <f t="shared" si="95"/>
        <v>2251</v>
      </c>
      <c r="BH233" s="191">
        <f t="shared" si="95"/>
        <v>2307</v>
      </c>
    </row>
    <row r="234" spans="1:63" x14ac:dyDescent="0.25">
      <c r="A234" s="41" t="s">
        <v>42</v>
      </c>
      <c r="B234" s="16"/>
      <c r="C234" s="16"/>
      <c r="D234" s="16"/>
      <c r="E234" s="16"/>
      <c r="F234" s="16"/>
      <c r="G234" s="16"/>
      <c r="H234" s="16"/>
      <c r="I234" s="16"/>
      <c r="J234" s="16"/>
      <c r="K234" s="16"/>
      <c r="L234" s="16"/>
      <c r="M234" s="16"/>
      <c r="N234" s="16"/>
      <c r="O234" s="16"/>
      <c r="P234" s="146">
        <v>35</v>
      </c>
      <c r="Q234" s="147">
        <v>68</v>
      </c>
      <c r="R234" s="148">
        <v>124</v>
      </c>
      <c r="S234" s="148">
        <v>221</v>
      </c>
      <c r="T234" s="148">
        <v>541</v>
      </c>
      <c r="U234" s="148">
        <v>1301</v>
      </c>
      <c r="V234" s="148">
        <v>2771</v>
      </c>
      <c r="W234" s="148">
        <v>4604</v>
      </c>
      <c r="X234" s="148">
        <v>9317</v>
      </c>
      <c r="Y234" s="148">
        <v>19551</v>
      </c>
      <c r="Z234" s="148">
        <v>33840</v>
      </c>
      <c r="AA234" s="148">
        <v>68905</v>
      </c>
      <c r="AB234" s="148">
        <v>124788</v>
      </c>
      <c r="AC234" s="148">
        <v>250708</v>
      </c>
      <c r="AD234" s="148">
        <v>539942</v>
      </c>
      <c r="AE234" s="148">
        <v>652474</v>
      </c>
      <c r="AF234" s="148">
        <v>770014</v>
      </c>
      <c r="AG234" s="148">
        <v>886274</v>
      </c>
      <c r="AH234" s="148">
        <v>1010356</v>
      </c>
      <c r="AI234" s="148">
        <v>1292623</v>
      </c>
      <c r="AJ234" s="148">
        <v>1550294</v>
      </c>
      <c r="AK234" s="183">
        <f t="shared" ref="AK234" si="102">AK210</f>
        <v>1792000</v>
      </c>
      <c r="AL234" s="183">
        <f>AL210</f>
        <v>2048000</v>
      </c>
      <c r="AM234" s="183">
        <f t="shared" ref="AM234:AP234" si="103">AH234*2</f>
        <v>2020712</v>
      </c>
      <c r="AN234" s="183">
        <f t="shared" si="103"/>
        <v>2585246</v>
      </c>
      <c r="AO234" s="183">
        <f t="shared" si="103"/>
        <v>3100588</v>
      </c>
      <c r="AP234" s="183">
        <f t="shared" si="103"/>
        <v>3584000</v>
      </c>
      <c r="AQ234" s="183">
        <f>AL234*2</f>
        <v>4096000</v>
      </c>
      <c r="AR234" s="183">
        <f t="shared" ref="AR234:AU234" si="104">AM234*2</f>
        <v>4041424</v>
      </c>
      <c r="AS234" s="183">
        <f t="shared" si="104"/>
        <v>5170492</v>
      </c>
      <c r="AT234" s="183">
        <f t="shared" si="104"/>
        <v>6201176</v>
      </c>
      <c r="AU234" s="183">
        <f t="shared" si="104"/>
        <v>7168000</v>
      </c>
      <c r="AV234" s="183">
        <f>AQ234*2</f>
        <v>8192000</v>
      </c>
      <c r="AW234" s="183">
        <f t="shared" ref="AW234:AZ234" si="105">AR234*2</f>
        <v>8082848</v>
      </c>
      <c r="AX234" s="183">
        <f t="shared" si="105"/>
        <v>10340984</v>
      </c>
      <c r="AY234" s="183">
        <f t="shared" si="105"/>
        <v>12402352</v>
      </c>
      <c r="AZ234" s="183">
        <f t="shared" si="105"/>
        <v>14336000</v>
      </c>
      <c r="BA234" s="183">
        <f>AV234*2</f>
        <v>16384000</v>
      </c>
      <c r="BB234" s="187">
        <f t="shared" ref="BB234" si="106">BA234*2</f>
        <v>32768000</v>
      </c>
      <c r="BC234" s="187">
        <f t="shared" ref="BC234" si="107">BB234*2</f>
        <v>65536000</v>
      </c>
      <c r="BD234" s="187">
        <f t="shared" ref="BD234" si="108">BC234*2</f>
        <v>131072000</v>
      </c>
      <c r="BE234" s="187">
        <f t="shared" ref="BE234" si="109">BD234*2</f>
        <v>262144000</v>
      </c>
      <c r="BF234" s="187">
        <f t="shared" ref="BF234" si="110">BE234*2</f>
        <v>524288000</v>
      </c>
      <c r="BG234" s="187">
        <f>BG210</f>
        <v>330565500</v>
      </c>
      <c r="BH234" s="188">
        <f>BG210</f>
        <v>330565500</v>
      </c>
    </row>
    <row r="235" spans="1:63" x14ac:dyDescent="0.25">
      <c r="A235" s="41" t="s">
        <v>156</v>
      </c>
      <c r="B235" s="16"/>
      <c r="C235" s="16"/>
      <c r="D235" s="16"/>
      <c r="E235" s="16"/>
      <c r="F235" s="16"/>
      <c r="G235" s="16"/>
      <c r="H235" s="16"/>
      <c r="I235" s="16"/>
      <c r="J235" s="16"/>
      <c r="K235" s="16"/>
      <c r="L235" s="16"/>
      <c r="M235" s="16"/>
      <c r="N235" s="16"/>
      <c r="O235" s="16"/>
      <c r="P235" s="194">
        <f>(P209-B206)/(LOG(P234/1)/LOG(2))</f>
        <v>6.0437296787073755</v>
      </c>
      <c r="Q235" s="174">
        <f>(Q209-$P$209)/(LOG(Q234/$P$234)/LOG(2))</f>
        <v>8.3491634837954933</v>
      </c>
      <c r="R235" s="174">
        <f t="shared" ref="R235:BH235" si="111">(R209-$P$209)/(LOG(R234/$P$234)/LOG(2))</f>
        <v>6.0276836381926202</v>
      </c>
      <c r="S235" s="174">
        <f t="shared" si="111"/>
        <v>4.8897556767514709</v>
      </c>
      <c r="T235" s="174">
        <f t="shared" si="111"/>
        <v>4.0504260147273037</v>
      </c>
      <c r="U235" s="174">
        <f t="shared" si="111"/>
        <v>3.6425526786068976</v>
      </c>
      <c r="V235" s="174">
        <f t="shared" si="111"/>
        <v>3.4882386226134869</v>
      </c>
      <c r="W235" s="174">
        <f t="shared" si="111"/>
        <v>3.4093867599891814</v>
      </c>
      <c r="X235" s="174">
        <f t="shared" si="111"/>
        <v>3.2272612172752644</v>
      </c>
      <c r="Y235" s="174">
        <f t="shared" si="111"/>
        <v>3.0682672712732586</v>
      </c>
      <c r="Z235" s="174">
        <f t="shared" si="111"/>
        <v>3.0250599197351313</v>
      </c>
      <c r="AA235" s="174">
        <f t="shared" si="111"/>
        <v>3.0156159459256791</v>
      </c>
      <c r="AB235" s="174">
        <f t="shared" si="111"/>
        <v>3.0508896880563214</v>
      </c>
      <c r="AC235" s="174">
        <f t="shared" si="111"/>
        <v>3.201532865133665</v>
      </c>
      <c r="AD235" s="174">
        <f t="shared" si="111"/>
        <v>3.5937194117521298</v>
      </c>
      <c r="AE235" s="174">
        <f t="shared" si="111"/>
        <v>3.8064952970597021</v>
      </c>
      <c r="AF235" s="174">
        <f t="shared" si="111"/>
        <v>4.020729736229403</v>
      </c>
      <c r="AG235" s="174">
        <f t="shared" si="111"/>
        <v>4.2384148703141689</v>
      </c>
      <c r="AH235" s="174">
        <f t="shared" ref="AH235:AK235" si="112">(AH209-$P$209)/(LOG(AH234/$P$234)/LOG(2))</f>
        <v>4.4542981107309165</v>
      </c>
      <c r="AI235" s="174">
        <f t="shared" si="112"/>
        <v>5.041987855922657</v>
      </c>
      <c r="AJ235" s="174">
        <f t="shared" si="112"/>
        <v>5.6366033652080967</v>
      </c>
      <c r="AK235" s="184">
        <f t="shared" si="112"/>
        <v>6.2324786687651104</v>
      </c>
      <c r="AL235" s="184">
        <f t="shared" si="111"/>
        <v>6.8196881479218634</v>
      </c>
      <c r="AM235" s="184">
        <f t="shared" ref="AM235:AP235" si="113">(AM209-$P$209)/(LOG(AM234/$P$234)/LOG(2))</f>
        <v>7.637280140533437</v>
      </c>
      <c r="AN235" s="184">
        <f t="shared" si="113"/>
        <v>8.2608922748053057</v>
      </c>
      <c r="AO235" s="184">
        <f t="shared" si="113"/>
        <v>8.9079122365187757</v>
      </c>
      <c r="AP235" s="184">
        <f t="shared" si="113"/>
        <v>9.5650910573117542</v>
      </c>
      <c r="AQ235" s="184">
        <f t="shared" si="111"/>
        <v>10.215899209997904</v>
      </c>
      <c r="AR235" s="184">
        <f t="shared" ref="AR235:AU235" si="114">(AR209-$P$209)/(LOG(AR234/$P$234)/LOG(2))</f>
        <v>13.272166192727056</v>
      </c>
      <c r="AS235" s="184">
        <f t="shared" si="114"/>
        <v>15.978955185305823</v>
      </c>
      <c r="AT235" s="184">
        <f t="shared" si="114"/>
        <v>18.675263754710855</v>
      </c>
      <c r="AU235" s="184">
        <f t="shared" si="114"/>
        <v>21.35587571941176</v>
      </c>
      <c r="AV235" s="184">
        <f t="shared" si="111"/>
        <v>23.995737368889237</v>
      </c>
      <c r="AW235" s="184">
        <f t="shared" ref="AW235:AZ235" si="115">(AW209-$P$209)/(LOG(AW234/$P$234)/LOG(2))</f>
        <v>26.895436118140715</v>
      </c>
      <c r="AX235" s="184">
        <f t="shared" si="115"/>
        <v>29.186818393494466</v>
      </c>
      <c r="AY235" s="184">
        <f t="shared" si="115"/>
        <v>31.548979968187524</v>
      </c>
      <c r="AZ235" s="184">
        <f t="shared" si="115"/>
        <v>33.94147613877562</v>
      </c>
      <c r="BA235" s="184">
        <f t="shared" si="111"/>
        <v>36.312475988960394</v>
      </c>
      <c r="BB235" s="189">
        <f t="shared" ref="BB235" si="116">(BB209-$P$209)/(LOG(BB234/$P$234)/LOG(2))</f>
        <v>47.387388900571963</v>
      </c>
      <c r="BC235" s="189">
        <f t="shared" ref="BC235" si="117">(BC209-$P$209)/(LOG(BC234/$P$234)/LOG(2))</f>
        <v>57.399271817913771</v>
      </c>
      <c r="BD235" s="189">
        <f t="shared" ref="BD235" si="118">(BD209-$P$209)/(LOG(BD234/$P$234)/LOG(2))</f>
        <v>66.494168740604209</v>
      </c>
      <c r="BE235" s="189">
        <f t="shared" ref="BE235" si="119">(BE209-$P$209)/(LOG(BE234/$P$234)/LOG(2))</f>
        <v>74.792542867086155</v>
      </c>
      <c r="BF235" s="189">
        <f t="shared" ref="BF235" si="120">(BF209-$P$209)/(LOG(BF234/$P$234)/LOG(2))</f>
        <v>82.394642483036563</v>
      </c>
      <c r="BG235" s="189">
        <f t="shared" si="111"/>
        <v>95.809094814599433</v>
      </c>
      <c r="BH235" s="190">
        <f t="shared" si="111"/>
        <v>98.225900809922663</v>
      </c>
    </row>
    <row r="236" spans="1:63" x14ac:dyDescent="0.25">
      <c r="A236" s="41" t="s">
        <v>192</v>
      </c>
      <c r="B236" s="16"/>
      <c r="C236" s="16"/>
      <c r="D236" s="16"/>
      <c r="E236" s="16"/>
      <c r="F236" s="16"/>
      <c r="G236" s="16"/>
      <c r="H236" s="16"/>
      <c r="I236" s="16"/>
      <c r="J236" s="16"/>
      <c r="K236" s="16"/>
      <c r="L236" s="16"/>
      <c r="M236" s="16"/>
      <c r="N236" s="16"/>
      <c r="O236" s="16"/>
      <c r="P236" s="266">
        <v>14</v>
      </c>
      <c r="Q236" s="263">
        <v>51</v>
      </c>
      <c r="R236" s="263">
        <v>70</v>
      </c>
      <c r="S236" s="263">
        <v>102</v>
      </c>
      <c r="T236" s="263">
        <v>246</v>
      </c>
      <c r="U236" s="263">
        <v>608</v>
      </c>
      <c r="V236" s="263">
        <v>1390</v>
      </c>
      <c r="W236" s="263">
        <v>2355</v>
      </c>
      <c r="X236" s="263">
        <v>4207</v>
      </c>
      <c r="Y236" s="263">
        <v>8341</v>
      </c>
      <c r="Z236" s="263">
        <v>15608</v>
      </c>
      <c r="AA236" s="263">
        <v>36304</v>
      </c>
      <c r="AB236" s="263">
        <v>71401</v>
      </c>
      <c r="AC236" s="263">
        <v>161932</v>
      </c>
      <c r="AD236" s="263">
        <v>400623</v>
      </c>
      <c r="AE236" s="263">
        <v>505584</v>
      </c>
      <c r="AF236" s="263">
        <v>593640</v>
      </c>
      <c r="AG236" s="263">
        <v>680047</v>
      </c>
      <c r="AH236" s="263">
        <v>763531</v>
      </c>
      <c r="AI236" s="263">
        <v>998445</v>
      </c>
      <c r="AJ236" s="263">
        <v>1101930</v>
      </c>
      <c r="AK236" s="267"/>
      <c r="AL236" s="267"/>
      <c r="AM236" s="267"/>
      <c r="AN236" s="267"/>
      <c r="AO236" s="267"/>
      <c r="AP236" s="267"/>
      <c r="AQ236" s="267"/>
      <c r="AR236" s="267"/>
      <c r="AS236" s="267"/>
      <c r="AT236" s="267"/>
      <c r="AU236" s="267"/>
      <c r="AV236" s="267"/>
      <c r="AW236" s="267"/>
      <c r="AX236" s="267"/>
      <c r="AY236" s="267"/>
      <c r="AZ236" s="267"/>
      <c r="BA236" s="267"/>
      <c r="BB236" s="189"/>
      <c r="BC236" s="189"/>
      <c r="BD236" s="189"/>
      <c r="BE236" s="189"/>
      <c r="BF236" s="189"/>
      <c r="BG236" s="189"/>
      <c r="BH236" s="190"/>
    </row>
    <row r="237" spans="1:63" x14ac:dyDescent="0.25">
      <c r="A237" s="41" t="s">
        <v>63</v>
      </c>
      <c r="B237" s="16"/>
      <c r="C237" s="16"/>
      <c r="D237" s="16"/>
      <c r="E237" s="16"/>
      <c r="F237" s="16"/>
      <c r="G237" s="16"/>
      <c r="H237" s="16"/>
      <c r="I237" s="16"/>
      <c r="J237" s="16"/>
      <c r="K237" s="16"/>
      <c r="L237" s="16"/>
      <c r="M237" s="16"/>
      <c r="N237" s="16"/>
      <c r="O237" s="16"/>
      <c r="P237" s="233">
        <f>P234-P238-P236</f>
        <v>21</v>
      </c>
      <c r="Q237" s="149">
        <f t="shared" ref="Q237:AE237" si="121">Q234-Q238-Q236</f>
        <v>16</v>
      </c>
      <c r="R237" s="149">
        <f t="shared" si="121"/>
        <v>45</v>
      </c>
      <c r="S237" s="149">
        <f t="shared" si="121"/>
        <v>107</v>
      </c>
      <c r="T237" s="149">
        <f t="shared" si="121"/>
        <v>273</v>
      </c>
      <c r="U237" s="149">
        <f t="shared" si="121"/>
        <v>655</v>
      </c>
      <c r="V237" s="149">
        <f t="shared" si="121"/>
        <v>1323</v>
      </c>
      <c r="W237" s="149">
        <f t="shared" si="121"/>
        <v>2154</v>
      </c>
      <c r="X237" s="149">
        <f t="shared" si="121"/>
        <v>4939</v>
      </c>
      <c r="Y237" s="149">
        <f t="shared" si="121"/>
        <v>10901</v>
      </c>
      <c r="Z237" s="149">
        <f t="shared" si="121"/>
        <v>17723</v>
      </c>
      <c r="AA237" s="149">
        <f t="shared" si="121"/>
        <v>31341</v>
      </c>
      <c r="AB237" s="149">
        <f t="shared" si="121"/>
        <v>50633</v>
      </c>
      <c r="AC237" s="149">
        <f t="shared" si="121"/>
        <v>81200</v>
      </c>
      <c r="AD237" s="149">
        <f t="shared" si="121"/>
        <v>115257</v>
      </c>
      <c r="AE237" s="149">
        <f t="shared" si="121"/>
        <v>114178</v>
      </c>
      <c r="AF237" s="149">
        <f t="shared" ref="AF237:AH237" si="122">AF234-AF238-AF236</f>
        <v>135473</v>
      </c>
      <c r="AG237" s="149">
        <f t="shared" si="122"/>
        <v>155993</v>
      </c>
      <c r="AH237" s="149">
        <f t="shared" si="122"/>
        <v>190030</v>
      </c>
      <c r="AI237" s="149">
        <f t="shared" ref="AI237:AJ237" si="123">AI234-AI238-AI236</f>
        <v>217250</v>
      </c>
      <c r="AJ237" s="149">
        <f t="shared" si="123"/>
        <v>356383</v>
      </c>
      <c r="AK237" s="253">
        <v>361227</v>
      </c>
      <c r="AL237" s="253"/>
      <c r="AM237" s="185"/>
      <c r="AN237" s="185"/>
      <c r="AO237" s="185"/>
      <c r="AP237" s="185"/>
      <c r="AQ237" s="185"/>
      <c r="AR237" s="185"/>
      <c r="AS237" s="185"/>
      <c r="AT237" s="185"/>
      <c r="AU237" s="185"/>
      <c r="AV237" s="185"/>
      <c r="AW237" s="185"/>
      <c r="AX237" s="185"/>
      <c r="AY237" s="185"/>
      <c r="AZ237" s="185"/>
      <c r="BA237" s="185"/>
      <c r="BB237" s="187"/>
      <c r="BC237" s="107"/>
      <c r="BD237" s="107"/>
      <c r="BE237" s="107"/>
      <c r="BF237" s="107"/>
      <c r="BG237" s="107"/>
      <c r="BH237" s="108"/>
    </row>
    <row r="238" spans="1:63" x14ac:dyDescent="0.25">
      <c r="A238" s="49" t="s">
        <v>43</v>
      </c>
      <c r="B238" s="38"/>
      <c r="C238" s="39"/>
      <c r="D238" s="39"/>
      <c r="E238" s="39"/>
      <c r="F238" s="39"/>
      <c r="G238" s="39"/>
      <c r="H238" s="39"/>
      <c r="I238" s="39"/>
      <c r="J238" s="39"/>
      <c r="K238" s="39"/>
      <c r="L238" s="39"/>
      <c r="M238" s="39"/>
      <c r="N238" s="39"/>
      <c r="O238" s="39"/>
      <c r="P238" s="67">
        <v>0</v>
      </c>
      <c r="Q238" s="68">
        <v>1</v>
      </c>
      <c r="R238" s="52">
        <v>9</v>
      </c>
      <c r="S238" s="52">
        <v>12</v>
      </c>
      <c r="T238" s="52">
        <v>22</v>
      </c>
      <c r="U238" s="52">
        <v>38</v>
      </c>
      <c r="V238" s="52">
        <v>58</v>
      </c>
      <c r="W238" s="52">
        <v>95</v>
      </c>
      <c r="X238" s="52">
        <v>171</v>
      </c>
      <c r="Y238" s="52">
        <v>309</v>
      </c>
      <c r="Z238" s="52">
        <v>509</v>
      </c>
      <c r="AA238" s="52">
        <v>1260</v>
      </c>
      <c r="AB238" s="52">
        <v>2754</v>
      </c>
      <c r="AC238" s="52">
        <v>7576</v>
      </c>
      <c r="AD238" s="52">
        <v>24062</v>
      </c>
      <c r="AE238" s="52">
        <v>32712</v>
      </c>
      <c r="AF238" s="52">
        <v>40901</v>
      </c>
      <c r="AG238" s="52">
        <v>50234</v>
      </c>
      <c r="AH238" s="52">
        <v>56795</v>
      </c>
      <c r="AI238" s="52">
        <v>76928</v>
      </c>
      <c r="AJ238" s="52">
        <v>91981</v>
      </c>
      <c r="AK238" s="254">
        <v>93558</v>
      </c>
      <c r="AL238" s="254"/>
      <c r="AM238" s="186"/>
      <c r="AN238" s="186"/>
      <c r="AO238" s="186"/>
      <c r="AP238" s="186"/>
      <c r="AQ238" s="186"/>
      <c r="AR238" s="186"/>
      <c r="AS238" s="186"/>
      <c r="AT238" s="186"/>
      <c r="AU238" s="186"/>
      <c r="AV238" s="186"/>
      <c r="AW238" s="186"/>
      <c r="AX238" s="186"/>
      <c r="AY238" s="186"/>
      <c r="AZ238" s="186"/>
      <c r="BA238" s="186"/>
      <c r="BB238" s="187"/>
      <c r="BC238" s="107"/>
      <c r="BD238" s="107"/>
      <c r="BE238" s="107"/>
      <c r="BF238" s="107"/>
      <c r="BG238" s="107"/>
      <c r="BH238" s="108"/>
    </row>
    <row r="239" spans="1:63" x14ac:dyDescent="0.25">
      <c r="B239" s="3"/>
      <c r="P239" s="35"/>
      <c r="Q239" s="35"/>
      <c r="R239" s="35"/>
      <c r="S239" s="35"/>
      <c r="T239" s="35"/>
      <c r="U239" s="35"/>
      <c r="V239" s="35"/>
      <c r="W239" s="35"/>
      <c r="X239" s="35"/>
      <c r="Y239" s="35"/>
      <c r="Z239" s="35"/>
      <c r="AA239" s="35"/>
      <c r="AB239" s="35"/>
      <c r="AC239" s="35"/>
      <c r="AD239" s="35"/>
      <c r="AE239" s="35"/>
      <c r="AF239" s="35"/>
      <c r="AG239" s="35"/>
      <c r="AH239" s="35"/>
      <c r="AI239" s="35"/>
      <c r="AJ239" s="35"/>
      <c r="AK239" s="35"/>
      <c r="AL239" s="35"/>
      <c r="AM239" s="35"/>
      <c r="AN239" s="35"/>
      <c r="AO239" s="35"/>
      <c r="AP239" s="35"/>
      <c r="AQ239" s="35"/>
      <c r="AR239" s="35"/>
      <c r="AS239" s="35"/>
      <c r="AT239" s="35"/>
      <c r="AU239" s="35"/>
    </row>
    <row r="240" spans="1:63" x14ac:dyDescent="0.25">
      <c r="A240" s="74" t="s">
        <v>49</v>
      </c>
      <c r="AQ240" s="16"/>
      <c r="AR240" s="16"/>
      <c r="AS240" s="16"/>
      <c r="AT240" s="16"/>
      <c r="AU240" s="16"/>
    </row>
    <row r="241" spans="1:60" x14ac:dyDescent="0.25">
      <c r="A241" s="4" t="s">
        <v>0</v>
      </c>
      <c r="B241" s="193" t="s">
        <v>117</v>
      </c>
      <c r="C241" s="5" t="s">
        <v>3</v>
      </c>
      <c r="D241" s="193" t="s">
        <v>51</v>
      </c>
      <c r="E241" s="58" t="s">
        <v>2</v>
      </c>
      <c r="F241" s="9" t="s">
        <v>3</v>
      </c>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5"/>
      <c r="BH241" s="47"/>
    </row>
    <row r="242" spans="1:60" x14ac:dyDescent="0.25">
      <c r="A242" s="41" t="s">
        <v>12</v>
      </c>
      <c r="B242" s="13">
        <f>'Population by Age - Wikipedia'!D41</f>
        <v>3.6394890344941602E-2</v>
      </c>
      <c r="C242" s="12">
        <f>$B$194*B242</f>
        <v>12030895.124320794</v>
      </c>
      <c r="D242" s="22">
        <f>'AU Infection Rate by Age'!C4</f>
        <v>2.8847876724601325E-2</v>
      </c>
      <c r="E242" s="5"/>
      <c r="F242" s="16"/>
      <c r="G242" s="16"/>
      <c r="H242" s="16"/>
      <c r="I242" s="16"/>
      <c r="J242" s="16"/>
      <c r="K242" s="16"/>
      <c r="L242" s="16"/>
      <c r="M242" s="16"/>
      <c r="N242" s="16"/>
      <c r="O242" s="16"/>
      <c r="P242" s="18">
        <f t="shared" ref="P242:BG242" si="124">P$210*$D$242</f>
        <v>0.90149614764379138</v>
      </c>
      <c r="Q242" s="19">
        <f t="shared" si="124"/>
        <v>1.8029922952875828</v>
      </c>
      <c r="R242" s="19">
        <f t="shared" si="124"/>
        <v>3.6059845905751655</v>
      </c>
      <c r="S242" s="19">
        <f t="shared" si="124"/>
        <v>7.211969181150331</v>
      </c>
      <c r="T242" s="19">
        <f t="shared" si="124"/>
        <v>14.423938362300662</v>
      </c>
      <c r="U242" s="19">
        <f t="shared" si="124"/>
        <v>28.847876724601324</v>
      </c>
      <c r="V242" s="19">
        <f t="shared" si="124"/>
        <v>57.695753449202648</v>
      </c>
      <c r="W242" s="19">
        <f t="shared" si="124"/>
        <v>115.3915068984053</v>
      </c>
      <c r="X242" s="19">
        <f t="shared" si="124"/>
        <v>230.78301379681059</v>
      </c>
      <c r="Y242" s="19">
        <f t="shared" si="124"/>
        <v>461.56602759362119</v>
      </c>
      <c r="Z242" s="19">
        <f t="shared" si="124"/>
        <v>923.13205518724237</v>
      </c>
      <c r="AA242" s="19">
        <f t="shared" si="124"/>
        <v>1846.2641103744847</v>
      </c>
      <c r="AB242" s="19">
        <f t="shared" si="124"/>
        <v>3692.5282207489695</v>
      </c>
      <c r="AC242" s="19">
        <f t="shared" si="124"/>
        <v>7385.056441497939</v>
      </c>
      <c r="AD242" s="19">
        <f t="shared" si="124"/>
        <v>14770.112882995878</v>
      </c>
      <c r="AE242" s="19">
        <f t="shared" si="124"/>
        <v>18462.641103744849</v>
      </c>
      <c r="AF242" s="19">
        <f t="shared" si="124"/>
        <v>22155.169324493818</v>
      </c>
      <c r="AG242" s="19">
        <f t="shared" si="124"/>
        <v>25847.697545242787</v>
      </c>
      <c r="AH242" s="19">
        <f t="shared" si="124"/>
        <v>29540.225765991756</v>
      </c>
      <c r="AI242" s="19">
        <f t="shared" si="124"/>
        <v>37811.488980469447</v>
      </c>
      <c r="AJ242" s="19">
        <f t="shared" si="124"/>
        <v>44310.338648987636</v>
      </c>
      <c r="AK242" s="19">
        <f t="shared" si="124"/>
        <v>51695.395090485574</v>
      </c>
      <c r="AL242" s="19">
        <f t="shared" si="124"/>
        <v>59080.451531983512</v>
      </c>
      <c r="AM242" s="19">
        <f t="shared" si="124"/>
        <v>70896.541838380217</v>
      </c>
      <c r="AN242" s="19">
        <f t="shared" si="124"/>
        <v>82712.632144776915</v>
      </c>
      <c r="AO242" s="19">
        <f t="shared" si="124"/>
        <v>94528.722451173628</v>
      </c>
      <c r="AP242" s="19">
        <f t="shared" si="124"/>
        <v>106344.81275757033</v>
      </c>
      <c r="AQ242" s="19">
        <f t="shared" si="124"/>
        <v>118160.90306396702</v>
      </c>
      <c r="AR242" s="19">
        <f t="shared" si="124"/>
        <v>141793.08367676043</v>
      </c>
      <c r="AS242" s="19">
        <f t="shared" si="124"/>
        <v>165425.26428955383</v>
      </c>
      <c r="AT242" s="19">
        <f t="shared" si="124"/>
        <v>189057.44490234726</v>
      </c>
      <c r="AU242" s="19">
        <f t="shared" si="124"/>
        <v>212689.62551514065</v>
      </c>
      <c r="AV242" s="19">
        <f t="shared" si="124"/>
        <v>236321.80612793405</v>
      </c>
      <c r="AW242" s="19">
        <f t="shared" si="124"/>
        <v>283586.16735352087</v>
      </c>
      <c r="AX242" s="19">
        <f t="shared" si="124"/>
        <v>330850.52857910766</v>
      </c>
      <c r="AY242" s="19">
        <f t="shared" si="124"/>
        <v>378114.88980469451</v>
      </c>
      <c r="AZ242" s="19">
        <f t="shared" si="124"/>
        <v>425379.2510302813</v>
      </c>
      <c r="BA242" s="19">
        <f t="shared" si="124"/>
        <v>472643.61225586809</v>
      </c>
      <c r="BB242" s="18">
        <f t="shared" si="124"/>
        <v>945287.22451173619</v>
      </c>
      <c r="BC242" s="19">
        <f t="shared" si="124"/>
        <v>1890574.4490234724</v>
      </c>
      <c r="BD242" s="19">
        <f t="shared" si="124"/>
        <v>3781148.8980469448</v>
      </c>
      <c r="BE242" s="19">
        <f t="shared" si="124"/>
        <v>7562297.7960938895</v>
      </c>
      <c r="BF242" s="19">
        <f t="shared" si="124"/>
        <v>9536112.7934061997</v>
      </c>
      <c r="BG242" s="60">
        <f t="shared" si="124"/>
        <v>9536112.7934061997</v>
      </c>
      <c r="BH242" s="45"/>
    </row>
    <row r="243" spans="1:60" x14ac:dyDescent="0.25">
      <c r="A243" s="41"/>
      <c r="B243" s="6"/>
      <c r="C243" s="10"/>
      <c r="D243" s="8"/>
      <c r="E243" s="27">
        <v>0.14799999999999999</v>
      </c>
      <c r="F243" s="10"/>
      <c r="G243" s="10"/>
      <c r="H243" s="10"/>
      <c r="I243" s="10"/>
      <c r="J243" s="10"/>
      <c r="K243" s="10"/>
      <c r="L243" s="10"/>
      <c r="M243" s="10"/>
      <c r="N243" s="10"/>
      <c r="O243" s="10"/>
      <c r="P243" s="29">
        <f t="shared" ref="P243:BG243" si="125">P$210*$D$242*$E$243</f>
        <v>0.13342142985128111</v>
      </c>
      <c r="Q243" s="30">
        <f t="shared" si="125"/>
        <v>0.26684285970256222</v>
      </c>
      <c r="R243" s="30">
        <f t="shared" si="125"/>
        <v>0.53368571940512444</v>
      </c>
      <c r="S243" s="30">
        <f t="shared" si="125"/>
        <v>1.0673714388102489</v>
      </c>
      <c r="T243" s="30">
        <f t="shared" si="125"/>
        <v>2.1347428776204977</v>
      </c>
      <c r="U243" s="30">
        <f t="shared" si="125"/>
        <v>4.2694857552409955</v>
      </c>
      <c r="V243" s="30">
        <f t="shared" si="125"/>
        <v>8.538971510481991</v>
      </c>
      <c r="W243" s="30">
        <f t="shared" si="125"/>
        <v>17.077943020963982</v>
      </c>
      <c r="X243" s="30">
        <f t="shared" si="125"/>
        <v>34.155886041927964</v>
      </c>
      <c r="Y243" s="30">
        <f t="shared" si="125"/>
        <v>68.311772083855928</v>
      </c>
      <c r="Z243" s="30">
        <f t="shared" si="125"/>
        <v>136.62354416771186</v>
      </c>
      <c r="AA243" s="30">
        <f t="shared" si="125"/>
        <v>273.24708833542371</v>
      </c>
      <c r="AB243" s="30">
        <f t="shared" si="125"/>
        <v>546.49417667084742</v>
      </c>
      <c r="AC243" s="30">
        <f t="shared" si="125"/>
        <v>1092.9883533416948</v>
      </c>
      <c r="AD243" s="30">
        <f t="shared" si="125"/>
        <v>2185.9767066833897</v>
      </c>
      <c r="AE243" s="30">
        <f t="shared" si="125"/>
        <v>2732.4708833542377</v>
      </c>
      <c r="AF243" s="30">
        <f t="shared" si="125"/>
        <v>3278.9650600250848</v>
      </c>
      <c r="AG243" s="30">
        <f t="shared" si="125"/>
        <v>3825.4592366959323</v>
      </c>
      <c r="AH243" s="30">
        <f t="shared" si="125"/>
        <v>4371.9534133667794</v>
      </c>
      <c r="AI243" s="30">
        <f t="shared" si="125"/>
        <v>5596.1003691094775</v>
      </c>
      <c r="AJ243" s="30">
        <f t="shared" si="125"/>
        <v>6557.9301200501695</v>
      </c>
      <c r="AK243" s="30">
        <f t="shared" si="125"/>
        <v>7650.9184733918646</v>
      </c>
      <c r="AL243" s="30">
        <f t="shared" si="125"/>
        <v>8743.9068267335588</v>
      </c>
      <c r="AM243" s="30">
        <f t="shared" si="125"/>
        <v>10492.688192080272</v>
      </c>
      <c r="AN243" s="30">
        <f t="shared" si="125"/>
        <v>12241.469557426983</v>
      </c>
      <c r="AO243" s="30">
        <f t="shared" si="125"/>
        <v>13990.250922773695</v>
      </c>
      <c r="AP243" s="30">
        <f t="shared" si="125"/>
        <v>15739.032288120407</v>
      </c>
      <c r="AQ243" s="30">
        <f t="shared" si="125"/>
        <v>17487.813653467118</v>
      </c>
      <c r="AR243" s="30">
        <f t="shared" si="125"/>
        <v>20985.376384160543</v>
      </c>
      <c r="AS243" s="30">
        <f t="shared" si="125"/>
        <v>24482.939114853965</v>
      </c>
      <c r="AT243" s="30">
        <f t="shared" si="125"/>
        <v>27980.501845547391</v>
      </c>
      <c r="AU243" s="30">
        <f t="shared" si="125"/>
        <v>31478.064576240813</v>
      </c>
      <c r="AV243" s="30">
        <f t="shared" si="125"/>
        <v>34975.627306934235</v>
      </c>
      <c r="AW243" s="30">
        <f t="shared" si="125"/>
        <v>41970.752768321086</v>
      </c>
      <c r="AX243" s="30">
        <f t="shared" si="125"/>
        <v>48965.878229707931</v>
      </c>
      <c r="AY243" s="30">
        <f t="shared" si="125"/>
        <v>55961.003691094782</v>
      </c>
      <c r="AZ243" s="30">
        <f t="shared" si="125"/>
        <v>62956.129152481626</v>
      </c>
      <c r="BA243" s="30">
        <f t="shared" si="125"/>
        <v>69951.25461386847</v>
      </c>
      <c r="BB243" s="29">
        <f t="shared" si="125"/>
        <v>139902.50922773694</v>
      </c>
      <c r="BC243" s="30">
        <f t="shared" si="125"/>
        <v>279805.01845547388</v>
      </c>
      <c r="BD243" s="30">
        <f t="shared" si="125"/>
        <v>559610.03691094776</v>
      </c>
      <c r="BE243" s="30">
        <f t="shared" si="125"/>
        <v>1119220.0738218955</v>
      </c>
      <c r="BF243" s="30">
        <f t="shared" si="125"/>
        <v>1411344.6934241175</v>
      </c>
      <c r="BG243" s="71">
        <f t="shared" si="125"/>
        <v>1411344.6934241175</v>
      </c>
      <c r="BH243" s="45"/>
    </row>
    <row r="244" spans="1:60" x14ac:dyDescent="0.25">
      <c r="A244" s="41" t="s">
        <v>13</v>
      </c>
      <c r="B244" s="6">
        <f>'Population by Age - Wikipedia'!D37</f>
        <v>5.3752877231864643E-2</v>
      </c>
      <c r="C244" s="10">
        <f t="shared" ref="C244:C258" si="126">$B$194*B244</f>
        <v>17768846.73858995</v>
      </c>
      <c r="D244" s="23">
        <f>'AU Infection Rate by Age'!C5</f>
        <v>0.10661171833004837</v>
      </c>
      <c r="E244" s="17"/>
      <c r="F244" s="16"/>
      <c r="G244" s="16"/>
      <c r="H244" s="16"/>
      <c r="I244" s="16"/>
      <c r="J244" s="16"/>
      <c r="K244" s="16"/>
      <c r="L244" s="16"/>
      <c r="M244" s="16"/>
      <c r="N244" s="16"/>
      <c r="O244" s="16"/>
      <c r="P244" s="20">
        <f t="shared" ref="P244:BG244" si="127">P$210*$D$244</f>
        <v>3.3316161978140117</v>
      </c>
      <c r="Q244" s="21">
        <f t="shared" si="127"/>
        <v>6.6632323956280235</v>
      </c>
      <c r="R244" s="21">
        <f t="shared" si="127"/>
        <v>13.326464791256047</v>
      </c>
      <c r="S244" s="21">
        <f t="shared" si="127"/>
        <v>26.652929582512094</v>
      </c>
      <c r="T244" s="21">
        <f t="shared" si="127"/>
        <v>53.305859165024188</v>
      </c>
      <c r="U244" s="21">
        <f t="shared" si="127"/>
        <v>106.61171833004838</v>
      </c>
      <c r="V244" s="21">
        <f t="shared" si="127"/>
        <v>213.22343666009675</v>
      </c>
      <c r="W244" s="21">
        <f t="shared" si="127"/>
        <v>426.4468733201935</v>
      </c>
      <c r="X244" s="21">
        <f t="shared" si="127"/>
        <v>852.89374664038701</v>
      </c>
      <c r="Y244" s="21">
        <f t="shared" si="127"/>
        <v>1705.787493280774</v>
      </c>
      <c r="Z244" s="21">
        <f t="shared" si="127"/>
        <v>3411.574986561548</v>
      </c>
      <c r="AA244" s="21">
        <f t="shared" si="127"/>
        <v>6823.1499731230961</v>
      </c>
      <c r="AB244" s="21">
        <f t="shared" si="127"/>
        <v>13646.299946246192</v>
      </c>
      <c r="AC244" s="21">
        <f t="shared" si="127"/>
        <v>27292.599892492384</v>
      </c>
      <c r="AD244" s="21">
        <f t="shared" si="127"/>
        <v>54585.199784984768</v>
      </c>
      <c r="AE244" s="21">
        <f t="shared" si="127"/>
        <v>68231.499731230957</v>
      </c>
      <c r="AF244" s="21">
        <f t="shared" si="127"/>
        <v>81877.799677477145</v>
      </c>
      <c r="AG244" s="21">
        <f t="shared" si="127"/>
        <v>95524.099623723334</v>
      </c>
      <c r="AH244" s="21">
        <f t="shared" si="127"/>
        <v>109170.39956996954</v>
      </c>
      <c r="AI244" s="21">
        <f t="shared" si="127"/>
        <v>139738.11144956099</v>
      </c>
      <c r="AJ244" s="21">
        <f t="shared" si="127"/>
        <v>163755.59935495429</v>
      </c>
      <c r="AK244" s="21">
        <f t="shared" si="127"/>
        <v>191048.19924744667</v>
      </c>
      <c r="AL244" s="21">
        <f t="shared" si="127"/>
        <v>218340.79913993907</v>
      </c>
      <c r="AM244" s="21">
        <f t="shared" si="127"/>
        <v>262008.95896792688</v>
      </c>
      <c r="AN244" s="21">
        <f t="shared" si="127"/>
        <v>305677.11879591469</v>
      </c>
      <c r="AO244" s="21">
        <f t="shared" si="127"/>
        <v>349345.27862390253</v>
      </c>
      <c r="AP244" s="21">
        <f t="shared" si="127"/>
        <v>393013.43845189031</v>
      </c>
      <c r="AQ244" s="21">
        <f t="shared" si="127"/>
        <v>436681.59827987815</v>
      </c>
      <c r="AR244" s="21">
        <f t="shared" si="127"/>
        <v>524017.91793585377</v>
      </c>
      <c r="AS244" s="21">
        <f t="shared" si="127"/>
        <v>611354.23759182938</v>
      </c>
      <c r="AT244" s="21">
        <f t="shared" si="127"/>
        <v>698690.55724780506</v>
      </c>
      <c r="AU244" s="21">
        <f t="shared" si="127"/>
        <v>786026.87690378062</v>
      </c>
      <c r="AV244" s="21">
        <f t="shared" si="127"/>
        <v>873363.1965597563</v>
      </c>
      <c r="AW244" s="21">
        <f t="shared" si="127"/>
        <v>1048035.8358717075</v>
      </c>
      <c r="AX244" s="21">
        <f t="shared" si="127"/>
        <v>1222708.4751836588</v>
      </c>
      <c r="AY244" s="21">
        <f t="shared" si="127"/>
        <v>1397381.1144956101</v>
      </c>
      <c r="AZ244" s="21">
        <f t="shared" si="127"/>
        <v>1572053.7538075612</v>
      </c>
      <c r="BA244" s="21">
        <f t="shared" si="127"/>
        <v>1746726.3931195126</v>
      </c>
      <c r="BB244" s="20">
        <f t="shared" si="127"/>
        <v>3493452.7862390252</v>
      </c>
      <c r="BC244" s="21">
        <f t="shared" si="127"/>
        <v>6986905.5724780504</v>
      </c>
      <c r="BD244" s="21">
        <f t="shared" si="127"/>
        <v>13973811.144956101</v>
      </c>
      <c r="BE244" s="21">
        <f t="shared" si="127"/>
        <v>27947622.289912201</v>
      </c>
      <c r="BF244" s="21">
        <f t="shared" si="127"/>
        <v>35242155.975631602</v>
      </c>
      <c r="BG244" s="72">
        <f t="shared" si="127"/>
        <v>35242155.975631602</v>
      </c>
      <c r="BH244" s="45"/>
    </row>
    <row r="245" spans="1:60" x14ac:dyDescent="0.25">
      <c r="A245" s="41"/>
      <c r="B245" s="6"/>
      <c r="C245" s="10"/>
      <c r="D245" s="8"/>
      <c r="E245" s="27">
        <v>0.08</v>
      </c>
      <c r="F245" s="10"/>
      <c r="G245" s="10"/>
      <c r="H245" s="10"/>
      <c r="I245" s="10"/>
      <c r="J245" s="10"/>
      <c r="K245" s="10"/>
      <c r="L245" s="10"/>
      <c r="M245" s="10"/>
      <c r="N245" s="10"/>
      <c r="O245" s="10"/>
      <c r="P245" s="29">
        <f t="shared" ref="P245:BG245" si="128">P$210*$D$244*$E$245</f>
        <v>0.26652929582512097</v>
      </c>
      <c r="Q245" s="30">
        <f t="shared" si="128"/>
        <v>0.53305859165024194</v>
      </c>
      <c r="R245" s="30">
        <f t="shared" si="128"/>
        <v>1.0661171833004839</v>
      </c>
      <c r="S245" s="30">
        <f t="shared" si="128"/>
        <v>2.1322343666009678</v>
      </c>
      <c r="T245" s="30">
        <f t="shared" si="128"/>
        <v>4.2644687332019355</v>
      </c>
      <c r="U245" s="30">
        <f t="shared" si="128"/>
        <v>8.5289374664038711</v>
      </c>
      <c r="V245" s="30">
        <f t="shared" si="128"/>
        <v>17.057874932807742</v>
      </c>
      <c r="W245" s="30">
        <f t="shared" si="128"/>
        <v>34.115749865615484</v>
      </c>
      <c r="X245" s="30">
        <f t="shared" si="128"/>
        <v>68.231499731230969</v>
      </c>
      <c r="Y245" s="30">
        <f t="shared" si="128"/>
        <v>136.46299946246194</v>
      </c>
      <c r="Z245" s="30">
        <f t="shared" si="128"/>
        <v>272.92599892492387</v>
      </c>
      <c r="AA245" s="30">
        <f t="shared" si="128"/>
        <v>545.85199784984775</v>
      </c>
      <c r="AB245" s="30">
        <f t="shared" si="128"/>
        <v>1091.7039956996955</v>
      </c>
      <c r="AC245" s="30">
        <f t="shared" si="128"/>
        <v>2183.407991399391</v>
      </c>
      <c r="AD245" s="30">
        <f t="shared" si="128"/>
        <v>4366.815982798782</v>
      </c>
      <c r="AE245" s="30">
        <f t="shared" si="128"/>
        <v>5458.519978498477</v>
      </c>
      <c r="AF245" s="30">
        <f t="shared" si="128"/>
        <v>6550.2239741981721</v>
      </c>
      <c r="AG245" s="30">
        <f t="shared" si="128"/>
        <v>7641.9279698978671</v>
      </c>
      <c r="AH245" s="30">
        <f t="shared" si="128"/>
        <v>8733.631965597564</v>
      </c>
      <c r="AI245" s="30">
        <f t="shared" si="128"/>
        <v>11179.048915964881</v>
      </c>
      <c r="AJ245" s="30">
        <f t="shared" si="128"/>
        <v>13100.447948396344</v>
      </c>
      <c r="AK245" s="30">
        <f t="shared" si="128"/>
        <v>15283.855939795734</v>
      </c>
      <c r="AL245" s="30">
        <f t="shared" si="128"/>
        <v>17467.263931195128</v>
      </c>
      <c r="AM245" s="30">
        <f t="shared" si="128"/>
        <v>20960.716717434152</v>
      </c>
      <c r="AN245" s="30">
        <f t="shared" si="128"/>
        <v>24454.169503673176</v>
      </c>
      <c r="AO245" s="30">
        <f t="shared" si="128"/>
        <v>27947.622289912204</v>
      </c>
      <c r="AP245" s="30">
        <f t="shared" si="128"/>
        <v>31441.075076151224</v>
      </c>
      <c r="AQ245" s="30">
        <f t="shared" si="128"/>
        <v>34934.527862390256</v>
      </c>
      <c r="AR245" s="30">
        <f t="shared" si="128"/>
        <v>41921.433434868304</v>
      </c>
      <c r="AS245" s="30">
        <f t="shared" si="128"/>
        <v>48908.339007346352</v>
      </c>
      <c r="AT245" s="30">
        <f t="shared" si="128"/>
        <v>55895.244579824408</v>
      </c>
      <c r="AU245" s="30">
        <f t="shared" si="128"/>
        <v>62882.150152302449</v>
      </c>
      <c r="AV245" s="30">
        <f t="shared" si="128"/>
        <v>69869.055724780512</v>
      </c>
      <c r="AW245" s="30">
        <f t="shared" si="128"/>
        <v>83842.866869736608</v>
      </c>
      <c r="AX245" s="30">
        <f t="shared" si="128"/>
        <v>97816.678014692705</v>
      </c>
      <c r="AY245" s="30">
        <f t="shared" si="128"/>
        <v>111790.48915964882</v>
      </c>
      <c r="AZ245" s="30">
        <f t="shared" si="128"/>
        <v>125764.3003046049</v>
      </c>
      <c r="BA245" s="30">
        <f t="shared" si="128"/>
        <v>139738.11144956102</v>
      </c>
      <c r="BB245" s="29">
        <f t="shared" si="128"/>
        <v>279476.22289912205</v>
      </c>
      <c r="BC245" s="30">
        <f t="shared" si="128"/>
        <v>558952.44579824409</v>
      </c>
      <c r="BD245" s="30">
        <f t="shared" si="128"/>
        <v>1117904.8915964882</v>
      </c>
      <c r="BE245" s="30">
        <f t="shared" si="128"/>
        <v>2235809.7831929764</v>
      </c>
      <c r="BF245" s="30">
        <f t="shared" si="128"/>
        <v>2819372.4780505281</v>
      </c>
      <c r="BG245" s="71">
        <f t="shared" si="128"/>
        <v>2819372.4780505281</v>
      </c>
      <c r="BH245" s="45"/>
    </row>
    <row r="246" spans="1:60" x14ac:dyDescent="0.25">
      <c r="A246" s="41" t="s">
        <v>14</v>
      </c>
      <c r="B246" s="6">
        <f>'Population by Age - Wikipedia'!D33</f>
        <v>9.4748533661399834E-2</v>
      </c>
      <c r="C246" s="10">
        <f t="shared" si="126"/>
        <v>31320596.404047467</v>
      </c>
      <c r="D246" s="23">
        <f>'AU Infection Rate by Age'!C6</f>
        <v>0.16735352087439526</v>
      </c>
      <c r="E246" s="17"/>
      <c r="F246" s="10"/>
      <c r="G246" s="10"/>
      <c r="H246" s="10"/>
      <c r="I246" s="10"/>
      <c r="J246" s="10"/>
      <c r="K246" s="10"/>
      <c r="L246" s="10"/>
      <c r="M246" s="10"/>
      <c r="N246" s="10"/>
      <c r="O246" s="10"/>
      <c r="P246" s="20">
        <f t="shared" ref="P246:BG246" si="129">P$210*$D$246</f>
        <v>5.2297975273248518</v>
      </c>
      <c r="Q246" s="21">
        <f t="shared" si="129"/>
        <v>10.459595054649704</v>
      </c>
      <c r="R246" s="21">
        <f t="shared" si="129"/>
        <v>20.919190109299407</v>
      </c>
      <c r="S246" s="21">
        <f t="shared" si="129"/>
        <v>41.838380218598815</v>
      </c>
      <c r="T246" s="21">
        <f t="shared" si="129"/>
        <v>83.676760437197629</v>
      </c>
      <c r="U246" s="21">
        <f t="shared" si="129"/>
        <v>167.35352087439526</v>
      </c>
      <c r="V246" s="21">
        <f t="shared" si="129"/>
        <v>334.70704174879052</v>
      </c>
      <c r="W246" s="21">
        <f t="shared" si="129"/>
        <v>669.41408349758103</v>
      </c>
      <c r="X246" s="21">
        <f t="shared" si="129"/>
        <v>1338.8281669951621</v>
      </c>
      <c r="Y246" s="21">
        <f t="shared" si="129"/>
        <v>2677.6563339903241</v>
      </c>
      <c r="Z246" s="21">
        <f t="shared" si="129"/>
        <v>5355.3126679806483</v>
      </c>
      <c r="AA246" s="21">
        <f t="shared" si="129"/>
        <v>10710.625335961297</v>
      </c>
      <c r="AB246" s="21">
        <f t="shared" si="129"/>
        <v>21421.250671922593</v>
      </c>
      <c r="AC246" s="21">
        <f t="shared" si="129"/>
        <v>42842.501343845186</v>
      </c>
      <c r="AD246" s="21">
        <f t="shared" si="129"/>
        <v>85685.002687690372</v>
      </c>
      <c r="AE246" s="21">
        <f t="shared" si="129"/>
        <v>107106.25335961297</v>
      </c>
      <c r="AF246" s="21">
        <f t="shared" si="129"/>
        <v>128527.50403153556</v>
      </c>
      <c r="AG246" s="21">
        <f t="shared" si="129"/>
        <v>149948.75470345814</v>
      </c>
      <c r="AH246" s="21">
        <f t="shared" si="129"/>
        <v>171370.00537538074</v>
      </c>
      <c r="AI246" s="21">
        <f t="shared" si="129"/>
        <v>219353.60688048735</v>
      </c>
      <c r="AJ246" s="21">
        <f t="shared" si="129"/>
        <v>257055.00806307112</v>
      </c>
      <c r="AK246" s="21">
        <f t="shared" si="129"/>
        <v>299897.50940691627</v>
      </c>
      <c r="AL246" s="21">
        <f t="shared" si="129"/>
        <v>342740.01075076149</v>
      </c>
      <c r="AM246" s="21">
        <f t="shared" si="129"/>
        <v>411288.01290091377</v>
      </c>
      <c r="AN246" s="21">
        <f t="shared" si="129"/>
        <v>479836.01505106606</v>
      </c>
      <c r="AO246" s="21">
        <f t="shared" si="129"/>
        <v>548384.0172012184</v>
      </c>
      <c r="AP246" s="21">
        <f t="shared" si="129"/>
        <v>616932.01935137063</v>
      </c>
      <c r="AQ246" s="21">
        <f t="shared" si="129"/>
        <v>685480.02150152298</v>
      </c>
      <c r="AR246" s="21">
        <f t="shared" si="129"/>
        <v>822576.02580182755</v>
      </c>
      <c r="AS246" s="21">
        <f t="shared" si="129"/>
        <v>959672.03010213212</v>
      </c>
      <c r="AT246" s="21">
        <f t="shared" si="129"/>
        <v>1096768.0344024368</v>
      </c>
      <c r="AU246" s="21">
        <f t="shared" si="129"/>
        <v>1233864.0387027413</v>
      </c>
      <c r="AV246" s="21">
        <f t="shared" si="129"/>
        <v>1370960.043003046</v>
      </c>
      <c r="AW246" s="21">
        <f t="shared" si="129"/>
        <v>1645152.0516036551</v>
      </c>
      <c r="AX246" s="21">
        <f t="shared" si="129"/>
        <v>1919344.0602042642</v>
      </c>
      <c r="AY246" s="21">
        <f t="shared" si="129"/>
        <v>2193536.0688048736</v>
      </c>
      <c r="AZ246" s="21">
        <f t="shared" si="129"/>
        <v>2467728.0774054825</v>
      </c>
      <c r="BA246" s="21">
        <f t="shared" si="129"/>
        <v>2741920.0860060919</v>
      </c>
      <c r="BB246" s="20">
        <f t="shared" si="129"/>
        <v>5483840.1720121838</v>
      </c>
      <c r="BC246" s="21">
        <f t="shared" si="129"/>
        <v>10967680.344024368</v>
      </c>
      <c r="BD246" s="21">
        <f t="shared" si="129"/>
        <v>21935360.688048735</v>
      </c>
      <c r="BE246" s="21">
        <f t="shared" si="129"/>
        <v>43870721.376097471</v>
      </c>
      <c r="BF246" s="21">
        <f t="shared" si="129"/>
        <v>55321300.304604903</v>
      </c>
      <c r="BG246" s="72">
        <f t="shared" si="129"/>
        <v>55321300.304604903</v>
      </c>
      <c r="BH246" s="45"/>
    </row>
    <row r="247" spans="1:60" x14ac:dyDescent="0.25">
      <c r="A247" s="41"/>
      <c r="B247" s="6"/>
      <c r="C247" s="10"/>
      <c r="D247" s="8"/>
      <c r="E247" s="27">
        <v>3.5999999999999997E-2</v>
      </c>
      <c r="F247" s="10"/>
      <c r="G247" s="10"/>
      <c r="H247" s="10"/>
      <c r="I247" s="10"/>
      <c r="J247" s="10"/>
      <c r="K247" s="10"/>
      <c r="L247" s="10"/>
      <c r="M247" s="10"/>
      <c r="N247" s="10"/>
      <c r="O247" s="10"/>
      <c r="P247" s="29">
        <f t="shared" ref="P247:BG247" si="130">P$210*$D$246*$E$247</f>
        <v>0.18827271098369466</v>
      </c>
      <c r="Q247" s="30">
        <f t="shared" si="130"/>
        <v>0.37654542196738933</v>
      </c>
      <c r="R247" s="30">
        <f t="shared" si="130"/>
        <v>0.75309084393477865</v>
      </c>
      <c r="S247" s="30">
        <f t="shared" si="130"/>
        <v>1.5061816878695573</v>
      </c>
      <c r="T247" s="30">
        <f t="shared" si="130"/>
        <v>3.0123633757391146</v>
      </c>
      <c r="U247" s="30">
        <f t="shared" si="130"/>
        <v>6.0247267514782292</v>
      </c>
      <c r="V247" s="30">
        <f t="shared" si="130"/>
        <v>12.049453502956458</v>
      </c>
      <c r="W247" s="30">
        <f t="shared" si="130"/>
        <v>24.098907005912917</v>
      </c>
      <c r="X247" s="30">
        <f t="shared" si="130"/>
        <v>48.197814011825834</v>
      </c>
      <c r="Y247" s="30">
        <f t="shared" si="130"/>
        <v>96.395628023651668</v>
      </c>
      <c r="Z247" s="30">
        <f t="shared" si="130"/>
        <v>192.79125604730334</v>
      </c>
      <c r="AA247" s="30">
        <f t="shared" si="130"/>
        <v>385.58251209460667</v>
      </c>
      <c r="AB247" s="30">
        <f t="shared" si="130"/>
        <v>771.16502418921334</v>
      </c>
      <c r="AC247" s="30">
        <f t="shared" si="130"/>
        <v>1542.3300483784267</v>
      </c>
      <c r="AD247" s="30">
        <f t="shared" si="130"/>
        <v>3084.6600967568534</v>
      </c>
      <c r="AE247" s="30">
        <f t="shared" si="130"/>
        <v>3855.8251209460664</v>
      </c>
      <c r="AF247" s="30">
        <f t="shared" si="130"/>
        <v>4626.9901451352798</v>
      </c>
      <c r="AG247" s="30">
        <f t="shared" si="130"/>
        <v>5398.1551693244928</v>
      </c>
      <c r="AH247" s="30">
        <f t="shared" si="130"/>
        <v>6169.3201935137067</v>
      </c>
      <c r="AI247" s="30">
        <f t="shared" si="130"/>
        <v>7896.7298476975438</v>
      </c>
      <c r="AJ247" s="30">
        <f t="shared" si="130"/>
        <v>9253.9802902705596</v>
      </c>
      <c r="AK247" s="30">
        <f t="shared" si="130"/>
        <v>10796.310338648986</v>
      </c>
      <c r="AL247" s="30">
        <f t="shared" si="130"/>
        <v>12338.640387027413</v>
      </c>
      <c r="AM247" s="30">
        <f t="shared" si="130"/>
        <v>14806.368464432895</v>
      </c>
      <c r="AN247" s="30">
        <f t="shared" si="130"/>
        <v>17274.096541838378</v>
      </c>
      <c r="AO247" s="30">
        <f t="shared" si="130"/>
        <v>19741.82461924386</v>
      </c>
      <c r="AP247" s="30">
        <f t="shared" si="130"/>
        <v>22209.552696649342</v>
      </c>
      <c r="AQ247" s="30">
        <f t="shared" si="130"/>
        <v>24677.280774054827</v>
      </c>
      <c r="AR247" s="30">
        <f t="shared" si="130"/>
        <v>29612.73692886579</v>
      </c>
      <c r="AS247" s="30">
        <f t="shared" si="130"/>
        <v>34548.193083676757</v>
      </c>
      <c r="AT247" s="30">
        <f t="shared" si="130"/>
        <v>39483.64923848772</v>
      </c>
      <c r="AU247" s="30">
        <f t="shared" si="130"/>
        <v>44419.105393298683</v>
      </c>
      <c r="AV247" s="30">
        <f t="shared" si="130"/>
        <v>49354.561548109654</v>
      </c>
      <c r="AW247" s="30">
        <f t="shared" si="130"/>
        <v>59225.47385773158</v>
      </c>
      <c r="AX247" s="30">
        <f t="shared" si="130"/>
        <v>69096.386167353514</v>
      </c>
      <c r="AY247" s="30">
        <f t="shared" si="130"/>
        <v>78967.29847697544</v>
      </c>
      <c r="AZ247" s="30">
        <f t="shared" si="130"/>
        <v>88838.210786597367</v>
      </c>
      <c r="BA247" s="30">
        <f t="shared" si="130"/>
        <v>98709.123096219308</v>
      </c>
      <c r="BB247" s="29">
        <f t="shared" si="130"/>
        <v>197418.24619243862</v>
      </c>
      <c r="BC247" s="30">
        <f t="shared" si="130"/>
        <v>394836.49238487723</v>
      </c>
      <c r="BD247" s="30">
        <f t="shared" si="130"/>
        <v>789672.98476975446</v>
      </c>
      <c r="BE247" s="30">
        <f t="shared" si="130"/>
        <v>1579345.9695395089</v>
      </c>
      <c r="BF247" s="30">
        <f t="shared" si="130"/>
        <v>1991566.8109657764</v>
      </c>
      <c r="BG247" s="71">
        <f t="shared" si="130"/>
        <v>1991566.8109657764</v>
      </c>
      <c r="BH247" s="45"/>
    </row>
    <row r="248" spans="1:60" x14ac:dyDescent="0.25">
      <c r="A248" s="41" t="s">
        <v>15</v>
      </c>
      <c r="B248" s="6">
        <f>'Population by Age - Wikipedia'!D29</f>
        <v>0.13591428809571979</v>
      </c>
      <c r="C248" s="10">
        <f t="shared" si="126"/>
        <v>44928574.60150566</v>
      </c>
      <c r="D248" s="23">
        <f>'AU Infection Rate by Age'!C7</f>
        <v>0.15534850385235621</v>
      </c>
      <c r="E248" s="17"/>
      <c r="F248" s="10"/>
      <c r="G248" s="10"/>
      <c r="H248" s="10"/>
      <c r="I248" s="10"/>
      <c r="J248" s="10"/>
      <c r="K248" s="10"/>
      <c r="L248" s="10"/>
      <c r="M248" s="10"/>
      <c r="N248" s="10"/>
      <c r="O248" s="10"/>
      <c r="P248" s="20">
        <f t="shared" ref="P248:BG248" si="131">P$210*$D$248</f>
        <v>4.8546407453861313</v>
      </c>
      <c r="Q248" s="21">
        <f t="shared" si="131"/>
        <v>9.7092814907722627</v>
      </c>
      <c r="R248" s="21">
        <f t="shared" si="131"/>
        <v>19.418562981544525</v>
      </c>
      <c r="S248" s="21">
        <f t="shared" si="131"/>
        <v>38.837125963089051</v>
      </c>
      <c r="T248" s="21">
        <f t="shared" si="131"/>
        <v>77.674251926178101</v>
      </c>
      <c r="U248" s="21">
        <f t="shared" si="131"/>
        <v>155.3485038523562</v>
      </c>
      <c r="V248" s="21">
        <f t="shared" si="131"/>
        <v>310.69700770471241</v>
      </c>
      <c r="W248" s="21">
        <f t="shared" si="131"/>
        <v>621.39401540942481</v>
      </c>
      <c r="X248" s="21">
        <f t="shared" si="131"/>
        <v>1242.7880308188496</v>
      </c>
      <c r="Y248" s="21">
        <f t="shared" si="131"/>
        <v>2485.5760616376992</v>
      </c>
      <c r="Z248" s="21">
        <f t="shared" si="131"/>
        <v>4971.1521232753985</v>
      </c>
      <c r="AA248" s="21">
        <f t="shared" si="131"/>
        <v>9942.304246550797</v>
      </c>
      <c r="AB248" s="21">
        <f t="shared" si="131"/>
        <v>19884.608493101594</v>
      </c>
      <c r="AC248" s="21">
        <f t="shared" si="131"/>
        <v>39769.216986203188</v>
      </c>
      <c r="AD248" s="21">
        <f t="shared" si="131"/>
        <v>79538.433972406376</v>
      </c>
      <c r="AE248" s="21">
        <f t="shared" si="131"/>
        <v>99423.04246550797</v>
      </c>
      <c r="AF248" s="21">
        <f t="shared" si="131"/>
        <v>119307.65095860958</v>
      </c>
      <c r="AG248" s="21">
        <f t="shared" si="131"/>
        <v>139192.25945171117</v>
      </c>
      <c r="AH248" s="21">
        <f t="shared" si="131"/>
        <v>159076.86794481275</v>
      </c>
      <c r="AI248" s="21">
        <f t="shared" si="131"/>
        <v>203618.39096936033</v>
      </c>
      <c r="AJ248" s="21">
        <f t="shared" si="131"/>
        <v>238615.30191721916</v>
      </c>
      <c r="AK248" s="21">
        <f t="shared" si="131"/>
        <v>278384.51890342234</v>
      </c>
      <c r="AL248" s="21">
        <f t="shared" si="131"/>
        <v>318153.7358896255</v>
      </c>
      <c r="AM248" s="21">
        <f t="shared" si="131"/>
        <v>381784.48306755064</v>
      </c>
      <c r="AN248" s="21">
        <f t="shared" si="131"/>
        <v>445415.23024547572</v>
      </c>
      <c r="AO248" s="21">
        <f t="shared" si="131"/>
        <v>509045.97742340085</v>
      </c>
      <c r="AP248" s="21">
        <f t="shared" si="131"/>
        <v>572676.72460132593</v>
      </c>
      <c r="AQ248" s="21">
        <f t="shared" si="131"/>
        <v>636307.47177925101</v>
      </c>
      <c r="AR248" s="21">
        <f t="shared" si="131"/>
        <v>763568.96613510128</v>
      </c>
      <c r="AS248" s="21">
        <f t="shared" si="131"/>
        <v>890830.46049095143</v>
      </c>
      <c r="AT248" s="21">
        <f t="shared" si="131"/>
        <v>1018091.9548468017</v>
      </c>
      <c r="AU248" s="21">
        <f t="shared" si="131"/>
        <v>1145353.4492026519</v>
      </c>
      <c r="AV248" s="21">
        <f t="shared" si="131"/>
        <v>1272614.943558502</v>
      </c>
      <c r="AW248" s="21">
        <f t="shared" si="131"/>
        <v>1527137.9322702026</v>
      </c>
      <c r="AX248" s="21">
        <f t="shared" si="131"/>
        <v>1781660.9209819029</v>
      </c>
      <c r="AY248" s="21">
        <f t="shared" si="131"/>
        <v>2036183.9096936034</v>
      </c>
      <c r="AZ248" s="21">
        <f t="shared" si="131"/>
        <v>2290706.8984053037</v>
      </c>
      <c r="BA248" s="21">
        <f t="shared" si="131"/>
        <v>2545229.887117004</v>
      </c>
      <c r="BB248" s="20">
        <f t="shared" si="131"/>
        <v>5090459.774234008</v>
      </c>
      <c r="BC248" s="21">
        <f t="shared" si="131"/>
        <v>10180919.548468016</v>
      </c>
      <c r="BD248" s="21">
        <f t="shared" si="131"/>
        <v>20361839.096936032</v>
      </c>
      <c r="BE248" s="21">
        <f t="shared" si="131"/>
        <v>40723678.193872064</v>
      </c>
      <c r="BF248" s="21">
        <f t="shared" si="131"/>
        <v>51352855.850206055</v>
      </c>
      <c r="BG248" s="72">
        <f t="shared" si="131"/>
        <v>51352855.850206055</v>
      </c>
      <c r="BH248" s="45"/>
    </row>
    <row r="249" spans="1:60" x14ac:dyDescent="0.25">
      <c r="A249" s="41"/>
      <c r="B249" s="6"/>
      <c r="C249" s="10"/>
      <c r="D249" s="8"/>
      <c r="E249" s="27">
        <v>1.2999999999999999E-2</v>
      </c>
      <c r="F249" s="10"/>
      <c r="G249" s="10"/>
      <c r="H249" s="10"/>
      <c r="I249" s="10"/>
      <c r="J249" s="10"/>
      <c r="K249" s="10"/>
      <c r="L249" s="10"/>
      <c r="M249" s="10"/>
      <c r="N249" s="10"/>
      <c r="O249" s="10"/>
      <c r="P249" s="29">
        <f t="shared" ref="P249:BG249" si="132">P$210*$D$248*$E$249</f>
        <v>6.3110329690019701E-2</v>
      </c>
      <c r="Q249" s="30">
        <f t="shared" si="132"/>
        <v>0.1262206593800394</v>
      </c>
      <c r="R249" s="30">
        <f t="shared" si="132"/>
        <v>0.2524413187600788</v>
      </c>
      <c r="S249" s="30">
        <f t="shared" si="132"/>
        <v>0.50488263752015761</v>
      </c>
      <c r="T249" s="30">
        <f t="shared" si="132"/>
        <v>1.0097652750403152</v>
      </c>
      <c r="U249" s="30">
        <f t="shared" si="132"/>
        <v>2.0195305500806304</v>
      </c>
      <c r="V249" s="30">
        <f t="shared" si="132"/>
        <v>4.0390611001612609</v>
      </c>
      <c r="W249" s="30">
        <f t="shared" si="132"/>
        <v>8.0781222003225217</v>
      </c>
      <c r="X249" s="30">
        <f t="shared" si="132"/>
        <v>16.156244400645043</v>
      </c>
      <c r="Y249" s="30">
        <f t="shared" si="132"/>
        <v>32.312488801290087</v>
      </c>
      <c r="Z249" s="30">
        <f t="shared" si="132"/>
        <v>64.624977602580174</v>
      </c>
      <c r="AA249" s="30">
        <f t="shared" si="132"/>
        <v>129.24995520516035</v>
      </c>
      <c r="AB249" s="30">
        <f t="shared" si="132"/>
        <v>258.49991041032069</v>
      </c>
      <c r="AC249" s="30">
        <f t="shared" si="132"/>
        <v>516.99982082064139</v>
      </c>
      <c r="AD249" s="30">
        <f t="shared" si="132"/>
        <v>1033.9996416412828</v>
      </c>
      <c r="AE249" s="30">
        <f t="shared" si="132"/>
        <v>1292.4995520516036</v>
      </c>
      <c r="AF249" s="30">
        <f t="shared" si="132"/>
        <v>1550.9994624619244</v>
      </c>
      <c r="AG249" s="30">
        <f t="shared" si="132"/>
        <v>1809.4993728722452</v>
      </c>
      <c r="AH249" s="30">
        <f t="shared" si="132"/>
        <v>2067.9992832825656</v>
      </c>
      <c r="AI249" s="30">
        <f t="shared" si="132"/>
        <v>2647.0390826016842</v>
      </c>
      <c r="AJ249" s="30">
        <f t="shared" si="132"/>
        <v>3101.9989249238488</v>
      </c>
      <c r="AK249" s="30">
        <f t="shared" si="132"/>
        <v>3618.9987457444904</v>
      </c>
      <c r="AL249" s="30">
        <f t="shared" si="132"/>
        <v>4135.9985665651311</v>
      </c>
      <c r="AM249" s="30">
        <f t="shared" si="132"/>
        <v>4963.1982798781582</v>
      </c>
      <c r="AN249" s="30">
        <f t="shared" si="132"/>
        <v>5790.3979931911845</v>
      </c>
      <c r="AO249" s="30">
        <f t="shared" si="132"/>
        <v>6617.5977065042107</v>
      </c>
      <c r="AP249" s="30">
        <f t="shared" si="132"/>
        <v>7444.7974198172369</v>
      </c>
      <c r="AQ249" s="30">
        <f t="shared" si="132"/>
        <v>8271.9971331302622</v>
      </c>
      <c r="AR249" s="30">
        <f t="shared" si="132"/>
        <v>9926.3965597563165</v>
      </c>
      <c r="AS249" s="30">
        <f t="shared" si="132"/>
        <v>11580.795986382369</v>
      </c>
      <c r="AT249" s="30">
        <f t="shared" si="132"/>
        <v>13235.195413008421</v>
      </c>
      <c r="AU249" s="30">
        <f t="shared" si="132"/>
        <v>14889.594839634474</v>
      </c>
      <c r="AV249" s="30">
        <f t="shared" si="132"/>
        <v>16543.994266260524</v>
      </c>
      <c r="AW249" s="30">
        <f t="shared" si="132"/>
        <v>19852.793119512633</v>
      </c>
      <c r="AX249" s="30">
        <f t="shared" si="132"/>
        <v>23161.591972764738</v>
      </c>
      <c r="AY249" s="30">
        <f t="shared" si="132"/>
        <v>26470.390826016843</v>
      </c>
      <c r="AZ249" s="30">
        <f t="shared" si="132"/>
        <v>29779.189679268948</v>
      </c>
      <c r="BA249" s="30">
        <f t="shared" si="132"/>
        <v>33087.988532521049</v>
      </c>
      <c r="BB249" s="29">
        <f t="shared" si="132"/>
        <v>66175.977065042098</v>
      </c>
      <c r="BC249" s="30">
        <f t="shared" si="132"/>
        <v>132351.9541300842</v>
      </c>
      <c r="BD249" s="30">
        <f t="shared" si="132"/>
        <v>264703.90826016839</v>
      </c>
      <c r="BE249" s="30">
        <f t="shared" si="132"/>
        <v>529407.81652033678</v>
      </c>
      <c r="BF249" s="30">
        <f t="shared" si="132"/>
        <v>667587.12605267868</v>
      </c>
      <c r="BG249" s="71">
        <f t="shared" si="132"/>
        <v>667587.12605267868</v>
      </c>
      <c r="BH249" s="45"/>
    </row>
    <row r="250" spans="1:60" x14ac:dyDescent="0.25">
      <c r="A250" s="41" t="s">
        <v>16</v>
      </c>
      <c r="B250" s="6">
        <f>'Population by Age - Wikipedia'!D25</f>
        <v>0.14121517441978385</v>
      </c>
      <c r="C250" s="10">
        <f t="shared" si="126"/>
        <v>46680864.739663057</v>
      </c>
      <c r="D250" s="23">
        <f>'AU Infection Rate by Age'!C8</f>
        <v>0.12972585558143701</v>
      </c>
      <c r="E250" s="17"/>
      <c r="F250" s="10"/>
      <c r="G250" s="10"/>
      <c r="H250" s="10"/>
      <c r="I250" s="10"/>
      <c r="J250" s="10"/>
      <c r="K250" s="10"/>
      <c r="L250" s="10"/>
      <c r="M250" s="10"/>
      <c r="N250" s="10"/>
      <c r="O250" s="10"/>
      <c r="P250" s="20">
        <f t="shared" ref="P250:BG250" si="133">P$210*$D$250</f>
        <v>4.0539329869199063</v>
      </c>
      <c r="Q250" s="21">
        <f t="shared" si="133"/>
        <v>8.1078659738398127</v>
      </c>
      <c r="R250" s="21">
        <f t="shared" si="133"/>
        <v>16.215731947679625</v>
      </c>
      <c r="S250" s="21">
        <f t="shared" si="133"/>
        <v>32.431463895359251</v>
      </c>
      <c r="T250" s="21">
        <f t="shared" si="133"/>
        <v>64.862927790718501</v>
      </c>
      <c r="U250" s="21">
        <f t="shared" si="133"/>
        <v>129.725855581437</v>
      </c>
      <c r="V250" s="21">
        <f t="shared" si="133"/>
        <v>259.45171116287401</v>
      </c>
      <c r="W250" s="21">
        <f t="shared" si="133"/>
        <v>518.90342232574801</v>
      </c>
      <c r="X250" s="21">
        <f t="shared" si="133"/>
        <v>1037.806844651496</v>
      </c>
      <c r="Y250" s="21">
        <f t="shared" si="133"/>
        <v>2075.613689302992</v>
      </c>
      <c r="Z250" s="21">
        <f t="shared" si="133"/>
        <v>4151.2273786059841</v>
      </c>
      <c r="AA250" s="21">
        <f t="shared" si="133"/>
        <v>8302.4547572119682</v>
      </c>
      <c r="AB250" s="21">
        <f t="shared" si="133"/>
        <v>16604.909514423936</v>
      </c>
      <c r="AC250" s="21">
        <f t="shared" si="133"/>
        <v>33209.819028847873</v>
      </c>
      <c r="AD250" s="21">
        <f t="shared" si="133"/>
        <v>66419.638057695745</v>
      </c>
      <c r="AE250" s="21">
        <f t="shared" si="133"/>
        <v>83024.547572119685</v>
      </c>
      <c r="AF250" s="21">
        <f t="shared" si="133"/>
        <v>99629.457086543625</v>
      </c>
      <c r="AG250" s="21">
        <f t="shared" si="133"/>
        <v>116234.36660096757</v>
      </c>
      <c r="AH250" s="21">
        <f t="shared" si="133"/>
        <v>132839.27611539149</v>
      </c>
      <c r="AI250" s="21">
        <f t="shared" si="133"/>
        <v>170034.27342770112</v>
      </c>
      <c r="AJ250" s="21">
        <f t="shared" si="133"/>
        <v>199258.91417308725</v>
      </c>
      <c r="AK250" s="21">
        <f t="shared" si="133"/>
        <v>232468.73320193513</v>
      </c>
      <c r="AL250" s="21">
        <f t="shared" si="133"/>
        <v>265678.55223078298</v>
      </c>
      <c r="AM250" s="21">
        <f t="shared" si="133"/>
        <v>318814.2626769396</v>
      </c>
      <c r="AN250" s="21">
        <f t="shared" si="133"/>
        <v>371949.97312309622</v>
      </c>
      <c r="AO250" s="21">
        <f t="shared" si="133"/>
        <v>425085.68356925278</v>
      </c>
      <c r="AP250" s="21">
        <f t="shared" si="133"/>
        <v>478221.3940154094</v>
      </c>
      <c r="AQ250" s="21">
        <f t="shared" si="133"/>
        <v>531357.10446156596</v>
      </c>
      <c r="AR250" s="21">
        <f t="shared" si="133"/>
        <v>637628.5253538792</v>
      </c>
      <c r="AS250" s="21">
        <f t="shared" si="133"/>
        <v>743899.94624619244</v>
      </c>
      <c r="AT250" s="21">
        <f t="shared" si="133"/>
        <v>850171.36713850556</v>
      </c>
      <c r="AU250" s="21">
        <f t="shared" si="133"/>
        <v>956442.7880308188</v>
      </c>
      <c r="AV250" s="21">
        <f t="shared" si="133"/>
        <v>1062714.2089231319</v>
      </c>
      <c r="AW250" s="21">
        <f t="shared" si="133"/>
        <v>1275257.0507077584</v>
      </c>
      <c r="AX250" s="21">
        <f t="shared" si="133"/>
        <v>1487799.8924923849</v>
      </c>
      <c r="AY250" s="21">
        <f t="shared" si="133"/>
        <v>1700342.7342770111</v>
      </c>
      <c r="AZ250" s="21">
        <f t="shared" si="133"/>
        <v>1912885.5760616376</v>
      </c>
      <c r="BA250" s="21">
        <f t="shared" si="133"/>
        <v>2125428.4178462639</v>
      </c>
      <c r="BB250" s="20">
        <f t="shared" si="133"/>
        <v>4250856.8356925277</v>
      </c>
      <c r="BC250" s="21">
        <f t="shared" si="133"/>
        <v>8501713.6713850554</v>
      </c>
      <c r="BD250" s="21">
        <f t="shared" si="133"/>
        <v>17003427.342770111</v>
      </c>
      <c r="BE250" s="21">
        <f t="shared" si="133"/>
        <v>34006854.685540222</v>
      </c>
      <c r="BF250" s="21">
        <f t="shared" si="133"/>
        <v>42882892.313205518</v>
      </c>
      <c r="BG250" s="72">
        <f t="shared" si="133"/>
        <v>42882892.313205518</v>
      </c>
      <c r="BH250" s="45"/>
    </row>
    <row r="251" spans="1:60" x14ac:dyDescent="0.25">
      <c r="A251" s="41"/>
      <c r="B251" s="6"/>
      <c r="C251" s="10"/>
      <c r="D251" s="8"/>
      <c r="E251" s="27">
        <v>4.0000000000000001E-3</v>
      </c>
      <c r="F251" s="10"/>
      <c r="G251" s="10"/>
      <c r="H251" s="10"/>
      <c r="I251" s="10"/>
      <c r="J251" s="10"/>
      <c r="K251" s="10"/>
      <c r="L251" s="10"/>
      <c r="M251" s="10"/>
      <c r="N251" s="10"/>
      <c r="O251" s="10"/>
      <c r="P251" s="29">
        <f t="shared" ref="P251:BG251" si="134">P$210*$D$250*$E$251</f>
        <v>1.6215731947679626E-2</v>
      </c>
      <c r="Q251" s="30">
        <f t="shared" si="134"/>
        <v>3.2431463895359253E-2</v>
      </c>
      <c r="R251" s="30">
        <f t="shared" si="134"/>
        <v>6.4862927790718505E-2</v>
      </c>
      <c r="S251" s="30">
        <f t="shared" si="134"/>
        <v>0.12972585558143701</v>
      </c>
      <c r="T251" s="30">
        <f t="shared" si="134"/>
        <v>0.25945171116287402</v>
      </c>
      <c r="U251" s="30">
        <f t="shared" si="134"/>
        <v>0.51890342232574804</v>
      </c>
      <c r="V251" s="30">
        <f t="shared" si="134"/>
        <v>1.0378068446514961</v>
      </c>
      <c r="W251" s="30">
        <f t="shared" si="134"/>
        <v>2.0756136893029922</v>
      </c>
      <c r="X251" s="30">
        <f t="shared" si="134"/>
        <v>4.1512273786059843</v>
      </c>
      <c r="Y251" s="30">
        <f t="shared" si="134"/>
        <v>8.3024547572119687</v>
      </c>
      <c r="Z251" s="30">
        <f t="shared" si="134"/>
        <v>16.604909514423937</v>
      </c>
      <c r="AA251" s="30">
        <f t="shared" si="134"/>
        <v>33.209819028847875</v>
      </c>
      <c r="AB251" s="30">
        <f t="shared" si="134"/>
        <v>66.419638057695749</v>
      </c>
      <c r="AC251" s="30">
        <f t="shared" si="134"/>
        <v>132.8392761153915</v>
      </c>
      <c r="AD251" s="30">
        <f t="shared" si="134"/>
        <v>265.678552230783</v>
      </c>
      <c r="AE251" s="30">
        <f t="shared" si="134"/>
        <v>332.09819028847875</v>
      </c>
      <c r="AF251" s="30">
        <f t="shared" si="134"/>
        <v>398.5178283461745</v>
      </c>
      <c r="AG251" s="30">
        <f t="shared" si="134"/>
        <v>464.93746640387025</v>
      </c>
      <c r="AH251" s="30">
        <f t="shared" si="134"/>
        <v>531.357104461566</v>
      </c>
      <c r="AI251" s="30">
        <f t="shared" si="134"/>
        <v>680.13709371080449</v>
      </c>
      <c r="AJ251" s="30">
        <f t="shared" si="134"/>
        <v>797.03565669234899</v>
      </c>
      <c r="AK251" s="30">
        <f t="shared" si="134"/>
        <v>929.87493280774049</v>
      </c>
      <c r="AL251" s="30">
        <f t="shared" si="134"/>
        <v>1062.714208923132</v>
      </c>
      <c r="AM251" s="30">
        <f t="shared" si="134"/>
        <v>1275.2570507077585</v>
      </c>
      <c r="AN251" s="30">
        <f t="shared" si="134"/>
        <v>1487.799892492385</v>
      </c>
      <c r="AO251" s="30">
        <f t="shared" si="134"/>
        <v>1700.3427342770112</v>
      </c>
      <c r="AP251" s="30">
        <f t="shared" si="134"/>
        <v>1912.8855760616377</v>
      </c>
      <c r="AQ251" s="30">
        <f t="shared" si="134"/>
        <v>2125.428417846264</v>
      </c>
      <c r="AR251" s="30">
        <f t="shared" si="134"/>
        <v>2550.514101415517</v>
      </c>
      <c r="AS251" s="30">
        <f t="shared" si="134"/>
        <v>2975.5997849847699</v>
      </c>
      <c r="AT251" s="30">
        <f t="shared" si="134"/>
        <v>3400.6854685540225</v>
      </c>
      <c r="AU251" s="30">
        <f t="shared" si="134"/>
        <v>3825.7711521232754</v>
      </c>
      <c r="AV251" s="30">
        <f t="shared" si="134"/>
        <v>4250.856835692528</v>
      </c>
      <c r="AW251" s="30">
        <f t="shared" si="134"/>
        <v>5101.0282028310339</v>
      </c>
      <c r="AX251" s="30">
        <f t="shared" si="134"/>
        <v>5951.1995699695399</v>
      </c>
      <c r="AY251" s="30">
        <f t="shared" si="134"/>
        <v>6801.3709371080449</v>
      </c>
      <c r="AZ251" s="30">
        <f t="shared" si="134"/>
        <v>7651.5423042465509</v>
      </c>
      <c r="BA251" s="30">
        <f t="shared" si="134"/>
        <v>8501.7136713850559</v>
      </c>
      <c r="BB251" s="29">
        <f t="shared" si="134"/>
        <v>17003.427342770112</v>
      </c>
      <c r="BC251" s="30">
        <f t="shared" si="134"/>
        <v>34006.854685540224</v>
      </c>
      <c r="BD251" s="30">
        <f t="shared" si="134"/>
        <v>68013.709371080447</v>
      </c>
      <c r="BE251" s="30">
        <f t="shared" si="134"/>
        <v>136027.41874216089</v>
      </c>
      <c r="BF251" s="30">
        <f t="shared" si="134"/>
        <v>171531.56925282208</v>
      </c>
      <c r="BG251" s="71">
        <f t="shared" si="134"/>
        <v>171531.56925282208</v>
      </c>
      <c r="BH251" s="45"/>
    </row>
    <row r="252" spans="1:60" x14ac:dyDescent="0.25">
      <c r="A252" s="41" t="s">
        <v>17</v>
      </c>
      <c r="B252" s="6">
        <f>'Population by Age - Wikipedia'!D21</f>
        <v>0.13001561499489589</v>
      </c>
      <c r="C252" s="10">
        <f t="shared" si="126"/>
        <v>42978676.778595254</v>
      </c>
      <c r="D252" s="23">
        <f>'AU Infection Rate by Age'!C9</f>
        <v>0.15731947679627306</v>
      </c>
      <c r="E252" s="17"/>
      <c r="F252" s="10"/>
      <c r="G252" s="14"/>
      <c r="H252" s="14"/>
      <c r="I252" s="14"/>
      <c r="J252" s="14"/>
      <c r="K252" s="14"/>
      <c r="L252" s="14"/>
      <c r="M252" s="14"/>
      <c r="N252" s="10"/>
      <c r="O252" s="10"/>
      <c r="P252" s="20">
        <f t="shared" ref="P252:BG252" si="135">P$210*$D$252</f>
        <v>4.9162336498835328</v>
      </c>
      <c r="Q252" s="21">
        <f t="shared" si="135"/>
        <v>9.8324672997670657</v>
      </c>
      <c r="R252" s="21">
        <f t="shared" si="135"/>
        <v>19.664934599534131</v>
      </c>
      <c r="S252" s="21">
        <f t="shared" si="135"/>
        <v>39.329869199068263</v>
      </c>
      <c r="T252" s="21">
        <f t="shared" si="135"/>
        <v>78.659738398136525</v>
      </c>
      <c r="U252" s="21">
        <f t="shared" si="135"/>
        <v>157.31947679627305</v>
      </c>
      <c r="V252" s="21">
        <f t="shared" si="135"/>
        <v>314.6389535925461</v>
      </c>
      <c r="W252" s="21">
        <f t="shared" si="135"/>
        <v>629.2779071850922</v>
      </c>
      <c r="X252" s="21">
        <f t="shared" si="135"/>
        <v>1258.5558143701844</v>
      </c>
      <c r="Y252" s="21">
        <f t="shared" si="135"/>
        <v>2517.1116287403688</v>
      </c>
      <c r="Z252" s="21">
        <f t="shared" si="135"/>
        <v>5034.2232574807376</v>
      </c>
      <c r="AA252" s="21">
        <f t="shared" si="135"/>
        <v>10068.446514961475</v>
      </c>
      <c r="AB252" s="21">
        <f t="shared" si="135"/>
        <v>20136.893029922951</v>
      </c>
      <c r="AC252" s="21">
        <f t="shared" si="135"/>
        <v>40273.786059845901</v>
      </c>
      <c r="AD252" s="21">
        <f t="shared" si="135"/>
        <v>80547.572119691802</v>
      </c>
      <c r="AE252" s="21">
        <f t="shared" si="135"/>
        <v>100684.46514961476</v>
      </c>
      <c r="AF252" s="21">
        <f t="shared" si="135"/>
        <v>120821.35817953771</v>
      </c>
      <c r="AG252" s="21">
        <f t="shared" si="135"/>
        <v>140958.25120946066</v>
      </c>
      <c r="AH252" s="21">
        <f t="shared" si="135"/>
        <v>161095.1442393836</v>
      </c>
      <c r="AI252" s="21">
        <f t="shared" si="135"/>
        <v>206201.78462641104</v>
      </c>
      <c r="AJ252" s="21">
        <f t="shared" si="135"/>
        <v>241642.71635907542</v>
      </c>
      <c r="AK252" s="21">
        <f t="shared" si="135"/>
        <v>281916.50241892133</v>
      </c>
      <c r="AL252" s="21">
        <f t="shared" si="135"/>
        <v>322190.28847876721</v>
      </c>
      <c r="AM252" s="21">
        <f t="shared" si="135"/>
        <v>386628.34617452067</v>
      </c>
      <c r="AN252" s="21">
        <f t="shared" si="135"/>
        <v>451066.40387027414</v>
      </c>
      <c r="AO252" s="21">
        <f t="shared" si="135"/>
        <v>515504.46156602754</v>
      </c>
      <c r="AP252" s="21">
        <f t="shared" si="135"/>
        <v>579942.51926178101</v>
      </c>
      <c r="AQ252" s="21">
        <f t="shared" si="135"/>
        <v>644380.57695753442</v>
      </c>
      <c r="AR252" s="21">
        <f t="shared" si="135"/>
        <v>773256.69234904135</v>
      </c>
      <c r="AS252" s="21">
        <f t="shared" si="135"/>
        <v>902132.80774054828</v>
      </c>
      <c r="AT252" s="21">
        <f t="shared" si="135"/>
        <v>1031008.9231320551</v>
      </c>
      <c r="AU252" s="21">
        <f t="shared" si="135"/>
        <v>1159885.038523562</v>
      </c>
      <c r="AV252" s="21">
        <f t="shared" si="135"/>
        <v>1288761.1539150688</v>
      </c>
      <c r="AW252" s="21">
        <f t="shared" si="135"/>
        <v>1546513.3846980827</v>
      </c>
      <c r="AX252" s="21">
        <f t="shared" si="135"/>
        <v>1804265.6154810966</v>
      </c>
      <c r="AY252" s="21">
        <f t="shared" si="135"/>
        <v>2062017.8462641102</v>
      </c>
      <c r="AZ252" s="21">
        <f t="shared" si="135"/>
        <v>2319770.077047124</v>
      </c>
      <c r="BA252" s="21">
        <f t="shared" si="135"/>
        <v>2577522.3078301377</v>
      </c>
      <c r="BB252" s="20">
        <f t="shared" si="135"/>
        <v>5155044.6156602753</v>
      </c>
      <c r="BC252" s="21">
        <f t="shared" si="135"/>
        <v>10310089.231320551</v>
      </c>
      <c r="BD252" s="21">
        <f t="shared" si="135"/>
        <v>20620178.462641101</v>
      </c>
      <c r="BE252" s="21">
        <f t="shared" si="135"/>
        <v>41240356.925282203</v>
      </c>
      <c r="BF252" s="21">
        <f t="shared" si="135"/>
        <v>52004391.506898403</v>
      </c>
      <c r="BG252" s="72">
        <f t="shared" si="135"/>
        <v>52004391.506898403</v>
      </c>
      <c r="BH252" s="45"/>
    </row>
    <row r="253" spans="1:60" x14ac:dyDescent="0.25">
      <c r="A253" s="41"/>
      <c r="B253" s="6"/>
      <c r="C253" s="10"/>
      <c r="D253" s="8"/>
      <c r="E253" s="27">
        <v>2E-3</v>
      </c>
      <c r="F253" s="10"/>
      <c r="G253" s="10"/>
      <c r="H253" s="10"/>
      <c r="I253" s="10"/>
      <c r="J253" s="10"/>
      <c r="K253" s="10"/>
      <c r="L253" s="10"/>
      <c r="M253" s="10"/>
      <c r="N253" s="10"/>
      <c r="O253" s="10"/>
      <c r="P253" s="29">
        <f t="shared" ref="P253:BG253" si="136">P$210*$D$252*$E$253</f>
        <v>9.8324672997670663E-3</v>
      </c>
      <c r="Q253" s="30">
        <f t="shared" si="136"/>
        <v>1.9664934599534133E-2</v>
      </c>
      <c r="R253" s="30">
        <f t="shared" si="136"/>
        <v>3.9329869199068265E-2</v>
      </c>
      <c r="S253" s="30">
        <f t="shared" si="136"/>
        <v>7.8659738398136531E-2</v>
      </c>
      <c r="T253" s="30">
        <f t="shared" si="136"/>
        <v>0.15731947679627306</v>
      </c>
      <c r="U253" s="30">
        <f t="shared" si="136"/>
        <v>0.31463895359254612</v>
      </c>
      <c r="V253" s="30">
        <f t="shared" si="136"/>
        <v>0.62927790718509224</v>
      </c>
      <c r="W253" s="30">
        <f t="shared" si="136"/>
        <v>1.2585558143701845</v>
      </c>
      <c r="X253" s="30">
        <f t="shared" si="136"/>
        <v>2.517111628740369</v>
      </c>
      <c r="Y253" s="30">
        <f t="shared" si="136"/>
        <v>5.034223257480738</v>
      </c>
      <c r="Z253" s="30">
        <f t="shared" si="136"/>
        <v>10.068446514961476</v>
      </c>
      <c r="AA253" s="30">
        <f t="shared" si="136"/>
        <v>20.136893029922952</v>
      </c>
      <c r="AB253" s="30">
        <f t="shared" si="136"/>
        <v>40.273786059845904</v>
      </c>
      <c r="AC253" s="30">
        <f t="shared" si="136"/>
        <v>80.547572119691807</v>
      </c>
      <c r="AD253" s="30">
        <f t="shared" si="136"/>
        <v>161.09514423938361</v>
      </c>
      <c r="AE253" s="30">
        <f t="shared" si="136"/>
        <v>201.3689302992295</v>
      </c>
      <c r="AF253" s="30">
        <f t="shared" si="136"/>
        <v>241.64271635907542</v>
      </c>
      <c r="AG253" s="30">
        <f t="shared" si="136"/>
        <v>281.91650241892131</v>
      </c>
      <c r="AH253" s="30">
        <f t="shared" si="136"/>
        <v>322.19028847876723</v>
      </c>
      <c r="AI253" s="30">
        <f t="shared" si="136"/>
        <v>412.40356925282208</v>
      </c>
      <c r="AJ253" s="30">
        <f t="shared" si="136"/>
        <v>483.28543271815084</v>
      </c>
      <c r="AK253" s="30">
        <f t="shared" si="136"/>
        <v>563.83300483784262</v>
      </c>
      <c r="AL253" s="30">
        <f t="shared" si="136"/>
        <v>644.38057695753446</v>
      </c>
      <c r="AM253" s="30">
        <f t="shared" si="136"/>
        <v>773.25669234904137</v>
      </c>
      <c r="AN253" s="30">
        <f t="shared" si="136"/>
        <v>902.13280774054829</v>
      </c>
      <c r="AO253" s="30">
        <f t="shared" si="136"/>
        <v>1031.0089231320551</v>
      </c>
      <c r="AP253" s="30">
        <f t="shared" si="136"/>
        <v>1159.8850385235621</v>
      </c>
      <c r="AQ253" s="30">
        <f t="shared" si="136"/>
        <v>1288.7611539150689</v>
      </c>
      <c r="AR253" s="30">
        <f t="shared" si="136"/>
        <v>1546.5133846980827</v>
      </c>
      <c r="AS253" s="30">
        <f t="shared" si="136"/>
        <v>1804.2656154810966</v>
      </c>
      <c r="AT253" s="30">
        <f t="shared" si="136"/>
        <v>2062.0178462641102</v>
      </c>
      <c r="AU253" s="30">
        <f t="shared" si="136"/>
        <v>2319.7700770471242</v>
      </c>
      <c r="AV253" s="30">
        <f t="shared" si="136"/>
        <v>2577.5223078301378</v>
      </c>
      <c r="AW253" s="30">
        <f t="shared" si="136"/>
        <v>3093.0267693961655</v>
      </c>
      <c r="AX253" s="30">
        <f t="shared" si="136"/>
        <v>3608.5312309621931</v>
      </c>
      <c r="AY253" s="30">
        <f t="shared" si="136"/>
        <v>4124.0356925282204</v>
      </c>
      <c r="AZ253" s="30">
        <f t="shared" si="136"/>
        <v>4639.5401540942485</v>
      </c>
      <c r="BA253" s="30">
        <f t="shared" si="136"/>
        <v>5155.0446156602757</v>
      </c>
      <c r="BB253" s="29">
        <f t="shared" si="136"/>
        <v>10310.089231320551</v>
      </c>
      <c r="BC253" s="30">
        <f t="shared" si="136"/>
        <v>20620.178462641103</v>
      </c>
      <c r="BD253" s="30">
        <f t="shared" si="136"/>
        <v>41240.356925282205</v>
      </c>
      <c r="BE253" s="30">
        <f t="shared" si="136"/>
        <v>82480.713850564411</v>
      </c>
      <c r="BF253" s="30">
        <f t="shared" si="136"/>
        <v>104008.78301379681</v>
      </c>
      <c r="BG253" s="71">
        <f t="shared" si="136"/>
        <v>104008.78301379681</v>
      </c>
      <c r="BH253" s="45"/>
    </row>
    <row r="254" spans="1:60" x14ac:dyDescent="0.25">
      <c r="A254" s="41" t="s">
        <v>18</v>
      </c>
      <c r="B254" s="6">
        <f>'Population by Age - Wikipedia'!D17</f>
        <v>0.13826223457843137</v>
      </c>
      <c r="C254" s="10">
        <f t="shared" si="126"/>
        <v>45704724.704536453</v>
      </c>
      <c r="D254" s="23">
        <f>'AU Infection Rate by Age'!C10</f>
        <v>0.2160903063967031</v>
      </c>
      <c r="E254" s="17"/>
      <c r="F254" s="10"/>
      <c r="G254" s="10"/>
      <c r="H254" s="10"/>
      <c r="I254" s="10"/>
      <c r="J254" s="10"/>
      <c r="K254" s="10"/>
      <c r="L254" s="10"/>
      <c r="M254" s="10"/>
      <c r="N254" s="10"/>
      <c r="O254" s="10"/>
      <c r="P254" s="20">
        <f t="shared" ref="P254:BG254" si="137">P$210*$D$254</f>
        <v>6.7528220748969714</v>
      </c>
      <c r="Q254" s="21">
        <f t="shared" si="137"/>
        <v>13.505644149793943</v>
      </c>
      <c r="R254" s="21">
        <f t="shared" si="137"/>
        <v>27.011288299587886</v>
      </c>
      <c r="S254" s="21">
        <f t="shared" si="137"/>
        <v>54.022576599175771</v>
      </c>
      <c r="T254" s="21">
        <f t="shared" si="137"/>
        <v>108.04515319835154</v>
      </c>
      <c r="U254" s="21">
        <f t="shared" si="137"/>
        <v>216.09030639670308</v>
      </c>
      <c r="V254" s="21">
        <f t="shared" si="137"/>
        <v>432.18061279340617</v>
      </c>
      <c r="W254" s="21">
        <f t="shared" si="137"/>
        <v>864.36122558681234</v>
      </c>
      <c r="X254" s="21">
        <f t="shared" si="137"/>
        <v>1728.7224511736247</v>
      </c>
      <c r="Y254" s="21">
        <f t="shared" si="137"/>
        <v>3457.4449023472494</v>
      </c>
      <c r="Z254" s="21">
        <f t="shared" si="137"/>
        <v>6914.8898046944987</v>
      </c>
      <c r="AA254" s="21">
        <f t="shared" si="137"/>
        <v>13829.779609388997</v>
      </c>
      <c r="AB254" s="21">
        <f t="shared" si="137"/>
        <v>27659.559218777995</v>
      </c>
      <c r="AC254" s="21">
        <f t="shared" si="137"/>
        <v>55319.11843755599</v>
      </c>
      <c r="AD254" s="21">
        <f t="shared" si="137"/>
        <v>110638.23687511198</v>
      </c>
      <c r="AE254" s="21">
        <f t="shared" si="137"/>
        <v>138297.79609388998</v>
      </c>
      <c r="AF254" s="21">
        <f t="shared" si="137"/>
        <v>165957.35531266799</v>
      </c>
      <c r="AG254" s="21">
        <f t="shared" si="137"/>
        <v>193616.91453144597</v>
      </c>
      <c r="AH254" s="21">
        <f t="shared" si="137"/>
        <v>221276.47375022396</v>
      </c>
      <c r="AI254" s="21">
        <f t="shared" si="137"/>
        <v>283233.88640028669</v>
      </c>
      <c r="AJ254" s="21">
        <f t="shared" si="137"/>
        <v>331914.71062533598</v>
      </c>
      <c r="AK254" s="21">
        <f t="shared" si="137"/>
        <v>387233.82906289195</v>
      </c>
      <c r="AL254" s="21">
        <f t="shared" si="137"/>
        <v>442552.94750044792</v>
      </c>
      <c r="AM254" s="21">
        <f t="shared" si="137"/>
        <v>531063.5370005375</v>
      </c>
      <c r="AN254" s="21">
        <f t="shared" si="137"/>
        <v>619574.12650062714</v>
      </c>
      <c r="AO254" s="21">
        <f t="shared" si="137"/>
        <v>708084.71600071667</v>
      </c>
      <c r="AP254" s="21">
        <f t="shared" si="137"/>
        <v>796595.30550080631</v>
      </c>
      <c r="AQ254" s="21">
        <f t="shared" si="137"/>
        <v>885105.89500089583</v>
      </c>
      <c r="AR254" s="21">
        <f t="shared" si="137"/>
        <v>1062127.074001075</v>
      </c>
      <c r="AS254" s="21">
        <f t="shared" si="137"/>
        <v>1239148.2530012543</v>
      </c>
      <c r="AT254" s="21">
        <f t="shared" si="137"/>
        <v>1416169.4320014333</v>
      </c>
      <c r="AU254" s="21">
        <f t="shared" si="137"/>
        <v>1593190.6110016126</v>
      </c>
      <c r="AV254" s="21">
        <f t="shared" si="137"/>
        <v>1770211.7900017917</v>
      </c>
      <c r="AW254" s="21">
        <f t="shared" si="137"/>
        <v>2124254.14800215</v>
      </c>
      <c r="AX254" s="21">
        <f t="shared" si="137"/>
        <v>2478296.5060025086</v>
      </c>
      <c r="AY254" s="21">
        <f t="shared" si="137"/>
        <v>2832338.8640028667</v>
      </c>
      <c r="AZ254" s="21">
        <f t="shared" si="137"/>
        <v>3186381.2220032252</v>
      </c>
      <c r="BA254" s="21">
        <f t="shared" si="137"/>
        <v>3540423.5800035833</v>
      </c>
      <c r="BB254" s="20">
        <f t="shared" si="137"/>
        <v>7080847.1600071667</v>
      </c>
      <c r="BC254" s="21">
        <f t="shared" si="137"/>
        <v>14161694.320014333</v>
      </c>
      <c r="BD254" s="21">
        <f t="shared" si="137"/>
        <v>28323388.640028667</v>
      </c>
      <c r="BE254" s="21">
        <f t="shared" si="137"/>
        <v>56646777.280057333</v>
      </c>
      <c r="BF254" s="21">
        <f t="shared" si="137"/>
        <v>71432000.179179356</v>
      </c>
      <c r="BG254" s="72">
        <f t="shared" si="137"/>
        <v>71432000.179179356</v>
      </c>
      <c r="BH254" s="45"/>
    </row>
    <row r="255" spans="1:60" x14ac:dyDescent="0.25">
      <c r="A255" s="41"/>
      <c r="B255" s="6"/>
      <c r="C255" s="10"/>
      <c r="D255" s="8"/>
      <c r="E255" s="27">
        <v>2E-3</v>
      </c>
      <c r="F255" s="10"/>
      <c r="G255" s="10"/>
      <c r="H255" s="10"/>
      <c r="I255" s="10"/>
      <c r="J255" s="10"/>
      <c r="K255" s="10"/>
      <c r="L255" s="10"/>
      <c r="M255" s="10"/>
      <c r="N255" s="10"/>
      <c r="O255" s="10"/>
      <c r="P255" s="29">
        <f t="shared" ref="P255:BG255" si="138">P$210*$D$254*$E$255</f>
        <v>1.3505644149793944E-2</v>
      </c>
      <c r="Q255" s="30">
        <f t="shared" si="138"/>
        <v>2.7011288299587887E-2</v>
      </c>
      <c r="R255" s="30">
        <f t="shared" si="138"/>
        <v>5.4022576599175774E-2</v>
      </c>
      <c r="S255" s="30">
        <f t="shared" si="138"/>
        <v>0.10804515319835155</v>
      </c>
      <c r="T255" s="30">
        <f t="shared" si="138"/>
        <v>0.2160903063967031</v>
      </c>
      <c r="U255" s="30">
        <f t="shared" si="138"/>
        <v>0.43218061279340619</v>
      </c>
      <c r="V255" s="30">
        <f t="shared" si="138"/>
        <v>0.86436122558681239</v>
      </c>
      <c r="W255" s="30">
        <f t="shared" si="138"/>
        <v>1.7287224511736248</v>
      </c>
      <c r="X255" s="30">
        <f t="shared" si="138"/>
        <v>3.4574449023472495</v>
      </c>
      <c r="Y255" s="30">
        <f t="shared" si="138"/>
        <v>6.9148898046944991</v>
      </c>
      <c r="Z255" s="30">
        <f t="shared" si="138"/>
        <v>13.829779609388998</v>
      </c>
      <c r="AA255" s="30">
        <f t="shared" si="138"/>
        <v>27.659559218777996</v>
      </c>
      <c r="AB255" s="30">
        <f t="shared" si="138"/>
        <v>55.319118437555993</v>
      </c>
      <c r="AC255" s="30">
        <f t="shared" si="138"/>
        <v>110.63823687511199</v>
      </c>
      <c r="AD255" s="30">
        <f t="shared" si="138"/>
        <v>221.27647375022397</v>
      </c>
      <c r="AE255" s="30">
        <f t="shared" si="138"/>
        <v>276.59559218777997</v>
      </c>
      <c r="AF255" s="30">
        <f t="shared" si="138"/>
        <v>331.914710625336</v>
      </c>
      <c r="AG255" s="30">
        <f t="shared" si="138"/>
        <v>387.23382906289197</v>
      </c>
      <c r="AH255" s="30">
        <f t="shared" si="138"/>
        <v>442.55294750044794</v>
      </c>
      <c r="AI255" s="30">
        <f t="shared" si="138"/>
        <v>566.46777280057336</v>
      </c>
      <c r="AJ255" s="30">
        <f t="shared" si="138"/>
        <v>663.829421250672</v>
      </c>
      <c r="AK255" s="30">
        <f t="shared" si="138"/>
        <v>774.46765812578394</v>
      </c>
      <c r="AL255" s="30">
        <f t="shared" si="138"/>
        <v>885.10589500089588</v>
      </c>
      <c r="AM255" s="30">
        <f t="shared" si="138"/>
        <v>1062.127074001075</v>
      </c>
      <c r="AN255" s="30">
        <f t="shared" si="138"/>
        <v>1239.1482530012543</v>
      </c>
      <c r="AO255" s="30">
        <f t="shared" si="138"/>
        <v>1416.1694320014333</v>
      </c>
      <c r="AP255" s="30">
        <f t="shared" si="138"/>
        <v>1593.1906110016128</v>
      </c>
      <c r="AQ255" s="30">
        <f t="shared" si="138"/>
        <v>1770.2117900017918</v>
      </c>
      <c r="AR255" s="30">
        <f t="shared" si="138"/>
        <v>2124.25414800215</v>
      </c>
      <c r="AS255" s="30">
        <f t="shared" si="138"/>
        <v>2478.2965060025085</v>
      </c>
      <c r="AT255" s="30">
        <f t="shared" si="138"/>
        <v>2832.3388640028666</v>
      </c>
      <c r="AU255" s="30">
        <f t="shared" si="138"/>
        <v>3186.3812220032255</v>
      </c>
      <c r="AV255" s="30">
        <f t="shared" si="138"/>
        <v>3540.4235800035835</v>
      </c>
      <c r="AW255" s="30">
        <f t="shared" si="138"/>
        <v>4248.5082960043001</v>
      </c>
      <c r="AX255" s="30">
        <f t="shared" si="138"/>
        <v>4956.593012005017</v>
      </c>
      <c r="AY255" s="30">
        <f t="shared" si="138"/>
        <v>5664.6777280057331</v>
      </c>
      <c r="AZ255" s="30">
        <f t="shared" si="138"/>
        <v>6372.762444006451</v>
      </c>
      <c r="BA255" s="30">
        <f t="shared" si="138"/>
        <v>7080.8471600071671</v>
      </c>
      <c r="BB255" s="29">
        <f t="shared" si="138"/>
        <v>14161.694320014334</v>
      </c>
      <c r="BC255" s="30">
        <f t="shared" si="138"/>
        <v>28323.388640028668</v>
      </c>
      <c r="BD255" s="30">
        <f t="shared" si="138"/>
        <v>56646.777280057337</v>
      </c>
      <c r="BE255" s="30">
        <f t="shared" si="138"/>
        <v>113293.55456011467</v>
      </c>
      <c r="BF255" s="30">
        <f t="shared" si="138"/>
        <v>142864.00035835872</v>
      </c>
      <c r="BG255" s="71">
        <f t="shared" si="138"/>
        <v>142864.00035835872</v>
      </c>
      <c r="BH255" s="45"/>
    </row>
    <row r="256" spans="1:60" x14ac:dyDescent="0.25">
      <c r="A256" s="42" t="s">
        <v>19</v>
      </c>
      <c r="B256" s="6">
        <f>'Population by Age - Wikipedia'!D13</f>
        <v>0.13835839467257338</v>
      </c>
      <c r="C256" s="10">
        <f t="shared" si="126"/>
        <v>45736511.914136559</v>
      </c>
      <c r="D256" s="23">
        <f>'AU Infection Rate by Age'!C11</f>
        <v>2.8847876724601325E-2</v>
      </c>
      <c r="E256" s="17"/>
      <c r="F256" s="10"/>
      <c r="G256" s="10"/>
      <c r="H256" s="10"/>
      <c r="I256" s="10"/>
      <c r="J256" s="10"/>
      <c r="K256" s="10"/>
      <c r="L256" s="10"/>
      <c r="M256" s="10"/>
      <c r="N256" s="10"/>
      <c r="O256" s="10"/>
      <c r="P256" s="20">
        <f t="shared" ref="P256:BG256" si="139">P$210*$D$256</f>
        <v>0.90149614764379138</v>
      </c>
      <c r="Q256" s="21">
        <f t="shared" si="139"/>
        <v>1.8029922952875828</v>
      </c>
      <c r="R256" s="21">
        <f t="shared" si="139"/>
        <v>3.6059845905751655</v>
      </c>
      <c r="S256" s="21">
        <f t="shared" si="139"/>
        <v>7.211969181150331</v>
      </c>
      <c r="T256" s="21">
        <f t="shared" si="139"/>
        <v>14.423938362300662</v>
      </c>
      <c r="U256" s="21">
        <f t="shared" si="139"/>
        <v>28.847876724601324</v>
      </c>
      <c r="V256" s="21">
        <f t="shared" si="139"/>
        <v>57.695753449202648</v>
      </c>
      <c r="W256" s="21">
        <f t="shared" si="139"/>
        <v>115.3915068984053</v>
      </c>
      <c r="X256" s="21">
        <f t="shared" si="139"/>
        <v>230.78301379681059</v>
      </c>
      <c r="Y256" s="21">
        <f t="shared" si="139"/>
        <v>461.56602759362119</v>
      </c>
      <c r="Z256" s="21">
        <f t="shared" si="139"/>
        <v>923.13205518724237</v>
      </c>
      <c r="AA256" s="21">
        <f t="shared" si="139"/>
        <v>1846.2641103744847</v>
      </c>
      <c r="AB256" s="21">
        <f t="shared" si="139"/>
        <v>3692.5282207489695</v>
      </c>
      <c r="AC256" s="21">
        <f t="shared" si="139"/>
        <v>7385.056441497939</v>
      </c>
      <c r="AD256" s="21">
        <f t="shared" si="139"/>
        <v>14770.112882995878</v>
      </c>
      <c r="AE256" s="21">
        <f t="shared" si="139"/>
        <v>18462.641103744849</v>
      </c>
      <c r="AF256" s="21">
        <f t="shared" si="139"/>
        <v>22155.169324493818</v>
      </c>
      <c r="AG256" s="21">
        <f t="shared" si="139"/>
        <v>25847.697545242787</v>
      </c>
      <c r="AH256" s="21">
        <f t="shared" si="139"/>
        <v>29540.225765991756</v>
      </c>
      <c r="AI256" s="21">
        <f t="shared" si="139"/>
        <v>37811.488980469447</v>
      </c>
      <c r="AJ256" s="21">
        <f t="shared" si="139"/>
        <v>44310.338648987636</v>
      </c>
      <c r="AK256" s="21">
        <f t="shared" si="139"/>
        <v>51695.395090485574</v>
      </c>
      <c r="AL256" s="21">
        <f t="shared" si="139"/>
        <v>59080.451531983512</v>
      </c>
      <c r="AM256" s="21">
        <f t="shared" si="139"/>
        <v>70896.541838380217</v>
      </c>
      <c r="AN256" s="21">
        <f t="shared" si="139"/>
        <v>82712.632144776915</v>
      </c>
      <c r="AO256" s="21">
        <f t="shared" si="139"/>
        <v>94528.722451173628</v>
      </c>
      <c r="AP256" s="21">
        <f t="shared" si="139"/>
        <v>106344.81275757033</v>
      </c>
      <c r="AQ256" s="21">
        <f t="shared" si="139"/>
        <v>118160.90306396702</v>
      </c>
      <c r="AR256" s="21">
        <f t="shared" si="139"/>
        <v>141793.08367676043</v>
      </c>
      <c r="AS256" s="21">
        <f t="shared" si="139"/>
        <v>165425.26428955383</v>
      </c>
      <c r="AT256" s="21">
        <f t="shared" si="139"/>
        <v>189057.44490234726</v>
      </c>
      <c r="AU256" s="21">
        <f t="shared" si="139"/>
        <v>212689.62551514065</v>
      </c>
      <c r="AV256" s="21">
        <f t="shared" si="139"/>
        <v>236321.80612793405</v>
      </c>
      <c r="AW256" s="21">
        <f t="shared" si="139"/>
        <v>283586.16735352087</v>
      </c>
      <c r="AX256" s="21">
        <f t="shared" si="139"/>
        <v>330850.52857910766</v>
      </c>
      <c r="AY256" s="21">
        <f t="shared" si="139"/>
        <v>378114.88980469451</v>
      </c>
      <c r="AZ256" s="21">
        <f t="shared" si="139"/>
        <v>425379.2510302813</v>
      </c>
      <c r="BA256" s="21">
        <f t="shared" si="139"/>
        <v>472643.61225586809</v>
      </c>
      <c r="BB256" s="20">
        <f t="shared" si="139"/>
        <v>945287.22451173619</v>
      </c>
      <c r="BC256" s="21">
        <f t="shared" si="139"/>
        <v>1890574.4490234724</v>
      </c>
      <c r="BD256" s="21">
        <f t="shared" si="139"/>
        <v>3781148.8980469448</v>
      </c>
      <c r="BE256" s="21">
        <f t="shared" si="139"/>
        <v>7562297.7960938895</v>
      </c>
      <c r="BF256" s="21">
        <f t="shared" si="139"/>
        <v>9536112.7934061997</v>
      </c>
      <c r="BG256" s="72">
        <f t="shared" si="139"/>
        <v>9536112.7934061997</v>
      </c>
      <c r="BH256" s="45"/>
    </row>
    <row r="257" spans="1:60" x14ac:dyDescent="0.25">
      <c r="A257" s="42"/>
      <c r="B257" s="6"/>
      <c r="C257" s="10"/>
      <c r="D257" s="8"/>
      <c r="E257" s="27">
        <v>2E-3</v>
      </c>
      <c r="F257" s="10"/>
      <c r="G257" s="10"/>
      <c r="H257" s="10"/>
      <c r="I257" s="10"/>
      <c r="J257" s="10"/>
      <c r="K257" s="10"/>
      <c r="L257" s="10"/>
      <c r="M257" s="10"/>
      <c r="N257" s="10"/>
      <c r="O257" s="10"/>
      <c r="P257" s="29">
        <f t="shared" ref="P257:BG257" si="140">P$210*$D$256*$E$257</f>
        <v>1.8029922952875828E-3</v>
      </c>
      <c r="Q257" s="30">
        <f t="shared" si="140"/>
        <v>3.6059845905751656E-3</v>
      </c>
      <c r="R257" s="30">
        <f t="shared" si="140"/>
        <v>7.2119691811503312E-3</v>
      </c>
      <c r="S257" s="30">
        <f t="shared" si="140"/>
        <v>1.4423938362300662E-2</v>
      </c>
      <c r="T257" s="30">
        <f t="shared" si="140"/>
        <v>2.8847876724601325E-2</v>
      </c>
      <c r="U257" s="30">
        <f t="shared" si="140"/>
        <v>5.769575344920265E-2</v>
      </c>
      <c r="V257" s="30">
        <f t="shared" si="140"/>
        <v>0.1153915068984053</v>
      </c>
      <c r="W257" s="30">
        <f t="shared" si="140"/>
        <v>0.2307830137968106</v>
      </c>
      <c r="X257" s="30">
        <f t="shared" si="140"/>
        <v>0.4615660275936212</v>
      </c>
      <c r="Y257" s="30">
        <f t="shared" si="140"/>
        <v>0.9231320551872424</v>
      </c>
      <c r="Z257" s="30">
        <f t="shared" si="140"/>
        <v>1.8462641103744848</v>
      </c>
      <c r="AA257" s="30">
        <f t="shared" si="140"/>
        <v>3.6925282207489696</v>
      </c>
      <c r="AB257" s="30">
        <f t="shared" si="140"/>
        <v>7.3850564414979392</v>
      </c>
      <c r="AC257" s="30">
        <f t="shared" si="140"/>
        <v>14.770112882995878</v>
      </c>
      <c r="AD257" s="30">
        <f t="shared" si="140"/>
        <v>29.540225765991757</v>
      </c>
      <c r="AE257" s="30">
        <f t="shared" si="140"/>
        <v>36.925282207489701</v>
      </c>
      <c r="AF257" s="30">
        <f t="shared" si="140"/>
        <v>44.310338648987639</v>
      </c>
      <c r="AG257" s="30">
        <f t="shared" si="140"/>
        <v>51.695395090485576</v>
      </c>
      <c r="AH257" s="30">
        <f t="shared" si="140"/>
        <v>59.080451531983513</v>
      </c>
      <c r="AI257" s="30">
        <f t="shared" si="140"/>
        <v>75.622977960938897</v>
      </c>
      <c r="AJ257" s="30">
        <f t="shared" si="140"/>
        <v>88.620677297975277</v>
      </c>
      <c r="AK257" s="30">
        <f t="shared" si="140"/>
        <v>103.39079018097115</v>
      </c>
      <c r="AL257" s="30">
        <f t="shared" si="140"/>
        <v>118.16090306396703</v>
      </c>
      <c r="AM257" s="30">
        <f t="shared" si="140"/>
        <v>141.79308367676043</v>
      </c>
      <c r="AN257" s="30">
        <f t="shared" si="140"/>
        <v>165.42526428955384</v>
      </c>
      <c r="AO257" s="30">
        <f t="shared" si="140"/>
        <v>189.05744490234727</v>
      </c>
      <c r="AP257" s="30">
        <f t="shared" si="140"/>
        <v>212.68962551514065</v>
      </c>
      <c r="AQ257" s="30">
        <f t="shared" si="140"/>
        <v>236.32180612793405</v>
      </c>
      <c r="AR257" s="30">
        <f t="shared" si="140"/>
        <v>283.58616735352086</v>
      </c>
      <c r="AS257" s="30">
        <f t="shared" si="140"/>
        <v>330.85052857910767</v>
      </c>
      <c r="AT257" s="30">
        <f t="shared" si="140"/>
        <v>378.11488980469454</v>
      </c>
      <c r="AU257" s="30">
        <f t="shared" si="140"/>
        <v>425.3792510302813</v>
      </c>
      <c r="AV257" s="30">
        <f t="shared" si="140"/>
        <v>472.64361225586811</v>
      </c>
      <c r="AW257" s="30">
        <f t="shared" si="140"/>
        <v>567.17233470704173</v>
      </c>
      <c r="AX257" s="30">
        <f t="shared" si="140"/>
        <v>661.70105715821535</v>
      </c>
      <c r="AY257" s="30">
        <f t="shared" si="140"/>
        <v>756.22977960938908</v>
      </c>
      <c r="AZ257" s="30">
        <f t="shared" si="140"/>
        <v>850.75850206056259</v>
      </c>
      <c r="BA257" s="30">
        <f t="shared" si="140"/>
        <v>945.28722451173621</v>
      </c>
      <c r="BB257" s="29">
        <f t="shared" si="140"/>
        <v>1890.5744490234724</v>
      </c>
      <c r="BC257" s="30">
        <f t="shared" si="140"/>
        <v>3781.1488980469449</v>
      </c>
      <c r="BD257" s="30">
        <f t="shared" si="140"/>
        <v>7562.2977960938897</v>
      </c>
      <c r="BE257" s="30">
        <f t="shared" si="140"/>
        <v>15124.595592187779</v>
      </c>
      <c r="BF257" s="30">
        <f t="shared" si="140"/>
        <v>19072.225586812401</v>
      </c>
      <c r="BG257" s="71">
        <f t="shared" si="140"/>
        <v>19072.225586812401</v>
      </c>
      <c r="BH257" s="45"/>
    </row>
    <row r="258" spans="1:60" x14ac:dyDescent="0.25">
      <c r="A258" s="42" t="s">
        <v>20</v>
      </c>
      <c r="B258" s="6">
        <f>'Population by Age - Wikipedia'!D9</f>
        <v>0.13133799200038965</v>
      </c>
      <c r="C258" s="10">
        <f t="shared" si="126"/>
        <v>43415808.994604804</v>
      </c>
      <c r="D258" s="23">
        <f>'AU Infection Rate by Age'!C12</f>
        <v>9.8548647195843032E-3</v>
      </c>
      <c r="E258" s="17"/>
      <c r="F258" s="10"/>
      <c r="G258" s="10"/>
      <c r="H258" s="10"/>
      <c r="I258" s="10"/>
      <c r="J258" s="10"/>
      <c r="K258" s="10"/>
      <c r="L258" s="10"/>
      <c r="M258" s="10"/>
      <c r="N258" s="10"/>
      <c r="O258" s="10"/>
      <c r="P258" s="20">
        <f t="shared" ref="P258:BG258" si="141">P$210*$D$258</f>
        <v>0.30796452248700945</v>
      </c>
      <c r="Q258" s="21">
        <f t="shared" si="141"/>
        <v>0.6159290449740189</v>
      </c>
      <c r="R258" s="21">
        <f t="shared" si="141"/>
        <v>1.2318580899480378</v>
      </c>
      <c r="S258" s="21">
        <f t="shared" si="141"/>
        <v>2.4637161798960756</v>
      </c>
      <c r="T258" s="21">
        <f t="shared" si="141"/>
        <v>4.9274323597921512</v>
      </c>
      <c r="U258" s="21">
        <f t="shared" si="141"/>
        <v>9.8548647195843024</v>
      </c>
      <c r="V258" s="21">
        <f t="shared" si="141"/>
        <v>19.709729439168605</v>
      </c>
      <c r="W258" s="21">
        <f t="shared" si="141"/>
        <v>39.41945887833721</v>
      </c>
      <c r="X258" s="21">
        <f t="shared" si="141"/>
        <v>78.838917756674419</v>
      </c>
      <c r="Y258" s="21">
        <f t="shared" si="141"/>
        <v>157.67783551334884</v>
      </c>
      <c r="Z258" s="21">
        <f t="shared" si="141"/>
        <v>315.35567102669768</v>
      </c>
      <c r="AA258" s="21">
        <f t="shared" si="141"/>
        <v>630.71134205339536</v>
      </c>
      <c r="AB258" s="21">
        <f t="shared" si="141"/>
        <v>1261.4226841067907</v>
      </c>
      <c r="AC258" s="21">
        <f t="shared" si="141"/>
        <v>2522.8453682135814</v>
      </c>
      <c r="AD258" s="21">
        <f t="shared" si="141"/>
        <v>5045.6907364271628</v>
      </c>
      <c r="AE258" s="21">
        <f t="shared" si="141"/>
        <v>6307.113420533954</v>
      </c>
      <c r="AF258" s="21">
        <f t="shared" si="141"/>
        <v>7568.5361046407452</v>
      </c>
      <c r="AG258" s="21">
        <f t="shared" si="141"/>
        <v>8829.9587887475354</v>
      </c>
      <c r="AH258" s="21">
        <f t="shared" si="141"/>
        <v>10091.381472854326</v>
      </c>
      <c r="AI258" s="21">
        <f t="shared" si="141"/>
        <v>12916.968285253537</v>
      </c>
      <c r="AJ258" s="21">
        <f t="shared" si="141"/>
        <v>15137.07220928149</v>
      </c>
      <c r="AK258" s="21">
        <f t="shared" si="141"/>
        <v>17659.917577495071</v>
      </c>
      <c r="AL258" s="21">
        <f t="shared" si="141"/>
        <v>20182.762945708651</v>
      </c>
      <c r="AM258" s="21">
        <f t="shared" si="141"/>
        <v>24219.315534850382</v>
      </c>
      <c r="AN258" s="21">
        <f t="shared" si="141"/>
        <v>28255.868123992113</v>
      </c>
      <c r="AO258" s="21">
        <f t="shared" si="141"/>
        <v>32292.420713133844</v>
      </c>
      <c r="AP258" s="21">
        <f t="shared" si="141"/>
        <v>36328.973302275575</v>
      </c>
      <c r="AQ258" s="21">
        <f t="shared" si="141"/>
        <v>40365.525891417303</v>
      </c>
      <c r="AR258" s="21">
        <f t="shared" si="141"/>
        <v>48438.631069700765</v>
      </c>
      <c r="AS258" s="21">
        <f t="shared" si="141"/>
        <v>56511.736247984227</v>
      </c>
      <c r="AT258" s="21">
        <f t="shared" si="141"/>
        <v>64584.841426267689</v>
      </c>
      <c r="AU258" s="21">
        <f t="shared" si="141"/>
        <v>72657.946604551151</v>
      </c>
      <c r="AV258" s="21">
        <f t="shared" si="141"/>
        <v>80731.051782834606</v>
      </c>
      <c r="AW258" s="21">
        <f t="shared" si="141"/>
        <v>96877.26213940153</v>
      </c>
      <c r="AX258" s="21">
        <f t="shared" si="141"/>
        <v>113023.47249596845</v>
      </c>
      <c r="AY258" s="21">
        <f t="shared" si="141"/>
        <v>129169.68285253538</v>
      </c>
      <c r="AZ258" s="21">
        <f t="shared" si="141"/>
        <v>145315.8932091023</v>
      </c>
      <c r="BA258" s="21">
        <f t="shared" si="141"/>
        <v>161462.10356566921</v>
      </c>
      <c r="BB258" s="20">
        <f t="shared" si="141"/>
        <v>322924.20713133842</v>
      </c>
      <c r="BC258" s="21">
        <f t="shared" si="141"/>
        <v>645848.41426267684</v>
      </c>
      <c r="BD258" s="21">
        <f t="shared" si="141"/>
        <v>1291696.8285253537</v>
      </c>
      <c r="BE258" s="21">
        <f t="shared" si="141"/>
        <v>2583393.6570507074</v>
      </c>
      <c r="BF258" s="21">
        <f t="shared" si="141"/>
        <v>3257678.2834617449</v>
      </c>
      <c r="BG258" s="72">
        <f t="shared" si="141"/>
        <v>3257678.2834617449</v>
      </c>
      <c r="BH258" s="45"/>
    </row>
    <row r="259" spans="1:60" x14ac:dyDescent="0.25">
      <c r="A259" s="42"/>
      <c r="B259" s="7"/>
      <c r="C259" s="11"/>
      <c r="D259" s="26"/>
      <c r="E259" s="28">
        <v>0</v>
      </c>
      <c r="F259" s="10"/>
      <c r="G259" s="10"/>
      <c r="H259" s="10"/>
      <c r="I259" s="10"/>
      <c r="J259" s="10"/>
      <c r="K259" s="10"/>
      <c r="L259" s="10"/>
      <c r="M259" s="10"/>
      <c r="N259" s="10"/>
      <c r="O259" s="10"/>
      <c r="P259" s="31">
        <f t="shared" ref="P259:BG259" si="142">P$210*$D$258*$E$259</f>
        <v>0</v>
      </c>
      <c r="Q259" s="32">
        <f t="shared" si="142"/>
        <v>0</v>
      </c>
      <c r="R259" s="32">
        <f t="shared" si="142"/>
        <v>0</v>
      </c>
      <c r="S259" s="32">
        <f t="shared" si="142"/>
        <v>0</v>
      </c>
      <c r="T259" s="32">
        <f t="shared" si="142"/>
        <v>0</v>
      </c>
      <c r="U259" s="32">
        <f t="shared" si="142"/>
        <v>0</v>
      </c>
      <c r="V259" s="32">
        <f t="shared" si="142"/>
        <v>0</v>
      </c>
      <c r="W259" s="32">
        <f t="shared" si="142"/>
        <v>0</v>
      </c>
      <c r="X259" s="32">
        <f t="shared" si="142"/>
        <v>0</v>
      </c>
      <c r="Y259" s="32">
        <f t="shared" si="142"/>
        <v>0</v>
      </c>
      <c r="Z259" s="32">
        <f t="shared" si="142"/>
        <v>0</v>
      </c>
      <c r="AA259" s="32">
        <f t="shared" si="142"/>
        <v>0</v>
      </c>
      <c r="AB259" s="32">
        <f t="shared" si="142"/>
        <v>0</v>
      </c>
      <c r="AC259" s="32">
        <f t="shared" si="142"/>
        <v>0</v>
      </c>
      <c r="AD259" s="32">
        <f t="shared" si="142"/>
        <v>0</v>
      </c>
      <c r="AE259" s="32">
        <f t="shared" si="142"/>
        <v>0</v>
      </c>
      <c r="AF259" s="32">
        <f t="shared" si="142"/>
        <v>0</v>
      </c>
      <c r="AG259" s="32">
        <f t="shared" si="142"/>
        <v>0</v>
      </c>
      <c r="AH259" s="32">
        <f t="shared" si="142"/>
        <v>0</v>
      </c>
      <c r="AI259" s="32">
        <f t="shared" si="142"/>
        <v>0</v>
      </c>
      <c r="AJ259" s="32">
        <f t="shared" si="142"/>
        <v>0</v>
      </c>
      <c r="AK259" s="32">
        <f t="shared" si="142"/>
        <v>0</v>
      </c>
      <c r="AL259" s="32">
        <f t="shared" si="142"/>
        <v>0</v>
      </c>
      <c r="AM259" s="32">
        <f t="shared" si="142"/>
        <v>0</v>
      </c>
      <c r="AN259" s="32">
        <f t="shared" si="142"/>
        <v>0</v>
      </c>
      <c r="AO259" s="32">
        <f t="shared" si="142"/>
        <v>0</v>
      </c>
      <c r="AP259" s="32">
        <f t="shared" si="142"/>
        <v>0</v>
      </c>
      <c r="AQ259" s="32">
        <f t="shared" si="142"/>
        <v>0</v>
      </c>
      <c r="AR259" s="32">
        <f t="shared" si="142"/>
        <v>0</v>
      </c>
      <c r="AS259" s="32">
        <f t="shared" si="142"/>
        <v>0</v>
      </c>
      <c r="AT259" s="32">
        <f t="shared" si="142"/>
        <v>0</v>
      </c>
      <c r="AU259" s="32">
        <f t="shared" si="142"/>
        <v>0</v>
      </c>
      <c r="AV259" s="32">
        <f t="shared" si="142"/>
        <v>0</v>
      </c>
      <c r="AW259" s="32">
        <f t="shared" si="142"/>
        <v>0</v>
      </c>
      <c r="AX259" s="32">
        <f t="shared" si="142"/>
        <v>0</v>
      </c>
      <c r="AY259" s="32">
        <f t="shared" si="142"/>
        <v>0</v>
      </c>
      <c r="AZ259" s="32">
        <f t="shared" si="142"/>
        <v>0</v>
      </c>
      <c r="BA259" s="32">
        <f t="shared" si="142"/>
        <v>0</v>
      </c>
      <c r="BB259" s="29">
        <f t="shared" si="142"/>
        <v>0</v>
      </c>
      <c r="BC259" s="30">
        <f t="shared" si="142"/>
        <v>0</v>
      </c>
      <c r="BD259" s="30">
        <f t="shared" si="142"/>
        <v>0</v>
      </c>
      <c r="BE259" s="30">
        <f t="shared" si="142"/>
        <v>0</v>
      </c>
      <c r="BF259" s="30">
        <f t="shared" si="142"/>
        <v>0</v>
      </c>
      <c r="BG259" s="71">
        <f t="shared" si="142"/>
        <v>0</v>
      </c>
      <c r="BH259" s="45"/>
    </row>
    <row r="260" spans="1:60" x14ac:dyDescent="0.25">
      <c r="A260" s="41" t="s">
        <v>39</v>
      </c>
      <c r="B260" s="14"/>
      <c r="C260" s="10"/>
      <c r="D260" s="10"/>
      <c r="E260" s="15"/>
      <c r="F260" s="10"/>
      <c r="G260" s="10"/>
      <c r="H260" s="10"/>
      <c r="I260" s="10"/>
      <c r="J260" s="10"/>
      <c r="K260" s="10"/>
      <c r="L260" s="10"/>
      <c r="M260" s="10"/>
      <c r="N260" s="10"/>
      <c r="O260" s="10"/>
      <c r="P260" s="18">
        <f t="shared" ref="P260:AP260" si="143">SUM(P242,P244,P246,P248,P250,P252,P254,P256,P258)</f>
        <v>31.249999999999996</v>
      </c>
      <c r="Q260" s="19">
        <f t="shared" si="143"/>
        <v>62.499999999999993</v>
      </c>
      <c r="R260" s="19">
        <f t="shared" si="143"/>
        <v>124.99999999999999</v>
      </c>
      <c r="S260" s="19">
        <f t="shared" si="143"/>
        <v>249.99999999999997</v>
      </c>
      <c r="T260" s="19">
        <f t="shared" si="143"/>
        <v>499.99999999999994</v>
      </c>
      <c r="U260" s="19">
        <f>SUM(U242,U244,U246,U248,U250,U252,U254,U256,U258)</f>
        <v>999.99999999999989</v>
      </c>
      <c r="V260" s="19">
        <f t="shared" si="143"/>
        <v>1999.9999999999998</v>
      </c>
      <c r="W260" s="19">
        <f t="shared" si="143"/>
        <v>3999.9999999999995</v>
      </c>
      <c r="X260" s="19">
        <f t="shared" si="143"/>
        <v>7999.9999999999991</v>
      </c>
      <c r="Y260" s="19">
        <f t="shared" si="143"/>
        <v>15999.999999999998</v>
      </c>
      <c r="Z260" s="19">
        <f t="shared" si="143"/>
        <v>31999.999999999996</v>
      </c>
      <c r="AA260" s="19">
        <f t="shared" si="143"/>
        <v>63999.999999999993</v>
      </c>
      <c r="AB260" s="19">
        <f t="shared" si="143"/>
        <v>127999.99999999999</v>
      </c>
      <c r="AC260" s="19">
        <f t="shared" si="143"/>
        <v>255999.99999999997</v>
      </c>
      <c r="AD260" s="19">
        <f t="shared" si="143"/>
        <v>511999.99999999994</v>
      </c>
      <c r="AE260" s="19">
        <f t="shared" ref="AE260:AG260" si="144">SUM(AE242,AE244,AE246,AE248,AE250,AE252,AE254,AE256,AE258)</f>
        <v>640000</v>
      </c>
      <c r="AF260" s="19">
        <f t="shared" si="144"/>
        <v>768000</v>
      </c>
      <c r="AG260" s="19">
        <f t="shared" si="144"/>
        <v>895999.99999999988</v>
      </c>
      <c r="AH260" s="19">
        <f t="shared" si="143"/>
        <v>1023999.9999999999</v>
      </c>
      <c r="AI260" s="19">
        <f t="shared" ref="AI260:AK260" si="145">SUM(AI242,AI244,AI246,AI248,AI250,AI252,AI254,AI256,AI258)</f>
        <v>1310720</v>
      </c>
      <c r="AJ260" s="19">
        <f t="shared" si="145"/>
        <v>1536000</v>
      </c>
      <c r="AK260" s="19">
        <f t="shared" si="145"/>
        <v>1791999.9999999998</v>
      </c>
      <c r="AL260" s="19">
        <f t="shared" si="143"/>
        <v>2047999.9999999998</v>
      </c>
      <c r="AM260" s="19">
        <f t="shared" si="143"/>
        <v>2457600</v>
      </c>
      <c r="AN260" s="19">
        <f t="shared" si="143"/>
        <v>2867200</v>
      </c>
      <c r="AO260" s="19">
        <f t="shared" si="143"/>
        <v>3276799.9999999995</v>
      </c>
      <c r="AP260" s="19">
        <f t="shared" si="143"/>
        <v>3686400</v>
      </c>
      <c r="AQ260" s="19">
        <f t="shared" ref="AQ260:BA261" si="146">SUM(AQ242,AQ244,AQ246,AQ248,AQ250,AQ252,AQ254,AQ256,AQ258)</f>
        <v>4095999.9999999995</v>
      </c>
      <c r="AR260" s="19">
        <f t="shared" ref="AR260:AU260" si="147">SUM(AR242,AR244,AR246,AR248,AR250,AR252,AR254,AR256,AR258)</f>
        <v>4915200</v>
      </c>
      <c r="AS260" s="19">
        <f t="shared" si="147"/>
        <v>5734400</v>
      </c>
      <c r="AT260" s="19">
        <f t="shared" si="147"/>
        <v>6553599.9999999991</v>
      </c>
      <c r="AU260" s="19">
        <f t="shared" si="147"/>
        <v>7372800</v>
      </c>
      <c r="AV260" s="19">
        <f t="shared" si="146"/>
        <v>8191999.9999999991</v>
      </c>
      <c r="AW260" s="19">
        <f t="shared" ref="AW260:AZ260" si="148">SUM(AW242,AW244,AW246,AW248,AW250,AW252,AW254,AW256,AW258)</f>
        <v>9830400</v>
      </c>
      <c r="AX260" s="19">
        <f t="shared" si="148"/>
        <v>11468800</v>
      </c>
      <c r="AY260" s="19">
        <f t="shared" si="148"/>
        <v>13107199.999999998</v>
      </c>
      <c r="AZ260" s="19">
        <f t="shared" si="148"/>
        <v>14745600</v>
      </c>
      <c r="BA260" s="19">
        <f t="shared" si="146"/>
        <v>16383999.999999998</v>
      </c>
      <c r="BB260" s="18">
        <f t="shared" ref="BB260:BG260" si="149">SUM(BB242,BB244,BB246,BB248,BB250,BB252,BB254,BB256,BB258)</f>
        <v>32767999.999999996</v>
      </c>
      <c r="BC260" s="19">
        <f t="shared" si="149"/>
        <v>65535999.999999993</v>
      </c>
      <c r="BD260" s="19">
        <f t="shared" si="149"/>
        <v>131071999.99999999</v>
      </c>
      <c r="BE260" s="19">
        <f t="shared" si="149"/>
        <v>262143999.99999997</v>
      </c>
      <c r="BF260" s="19">
        <f t="shared" si="149"/>
        <v>330565499.99999994</v>
      </c>
      <c r="BG260" s="60">
        <f t="shared" si="149"/>
        <v>330565499.99999994</v>
      </c>
      <c r="BH260" s="45"/>
    </row>
    <row r="261" spans="1:60" x14ac:dyDescent="0.25">
      <c r="A261" s="43" t="s">
        <v>38</v>
      </c>
      <c r="B261" s="44"/>
      <c r="C261" s="11"/>
      <c r="D261" s="11"/>
      <c r="E261" s="38"/>
      <c r="F261" s="11"/>
      <c r="G261" s="11"/>
      <c r="H261" s="11"/>
      <c r="I261" s="11"/>
      <c r="J261" s="11"/>
      <c r="K261" s="11"/>
      <c r="L261" s="11"/>
      <c r="M261" s="11"/>
      <c r="N261" s="11"/>
      <c r="O261" s="11"/>
      <c r="P261" s="31">
        <f>SUM(P243,P245,P247,P249,P251,P253,P255,P257,P259)</f>
        <v>0.69269060204264477</v>
      </c>
      <c r="Q261" s="32">
        <f>SUM(Q243,Q245,Q247,Q249,Q251,Q253,Q255,Q257,Q259)</f>
        <v>1.3853812040852895</v>
      </c>
      <c r="R261" s="32">
        <f t="shared" ref="R261:AP261" si="150">SUM(R243,R245,R247,R249,R251,R253,R255,R257,R259)</f>
        <v>2.7707624081705791</v>
      </c>
      <c r="S261" s="32">
        <f t="shared" si="150"/>
        <v>5.5415248163411581</v>
      </c>
      <c r="T261" s="32">
        <f t="shared" si="150"/>
        <v>11.083049632682316</v>
      </c>
      <c r="U261" s="32">
        <f t="shared" si="150"/>
        <v>22.166099265364632</v>
      </c>
      <c r="V261" s="32">
        <f t="shared" si="150"/>
        <v>44.332198530729265</v>
      </c>
      <c r="W261" s="32">
        <f t="shared" si="150"/>
        <v>88.66439706145853</v>
      </c>
      <c r="X261" s="32">
        <f t="shared" si="150"/>
        <v>177.32879412291706</v>
      </c>
      <c r="Y261" s="32">
        <f t="shared" si="150"/>
        <v>354.65758824583412</v>
      </c>
      <c r="Z261" s="32">
        <f t="shared" si="150"/>
        <v>709.31517649166824</v>
      </c>
      <c r="AA261" s="32">
        <f t="shared" si="150"/>
        <v>1418.6303529833365</v>
      </c>
      <c r="AB261" s="32">
        <f t="shared" si="150"/>
        <v>2837.260705966673</v>
      </c>
      <c r="AC261" s="32">
        <f t="shared" si="150"/>
        <v>5674.5214119333459</v>
      </c>
      <c r="AD261" s="32">
        <f t="shared" si="150"/>
        <v>11349.042823866692</v>
      </c>
      <c r="AE261" s="32">
        <f t="shared" ref="AE261:AG261" si="151">SUM(AE243,AE245,AE247,AE249,AE251,AE253,AE255,AE257,AE259)</f>
        <v>14186.303529833365</v>
      </c>
      <c r="AF261" s="32">
        <f t="shared" si="151"/>
        <v>17023.564235800037</v>
      </c>
      <c r="AG261" s="32">
        <f t="shared" si="151"/>
        <v>19860.824941766703</v>
      </c>
      <c r="AH261" s="32">
        <f t="shared" si="150"/>
        <v>22698.085647733384</v>
      </c>
      <c r="AI261" s="32">
        <f t="shared" ref="AI261:AK261" si="152">SUM(AI243,AI245,AI247,AI249,AI251,AI253,AI255,AI257,AI259)</f>
        <v>29053.549629098728</v>
      </c>
      <c r="AJ261" s="32">
        <f t="shared" si="152"/>
        <v>34047.128471600074</v>
      </c>
      <c r="AK261" s="32">
        <f t="shared" si="152"/>
        <v>39721.649883533406</v>
      </c>
      <c r="AL261" s="32">
        <f t="shared" si="150"/>
        <v>45396.171295466767</v>
      </c>
      <c r="AM261" s="32">
        <f t="shared" si="150"/>
        <v>54475.405554560122</v>
      </c>
      <c r="AN261" s="32">
        <f t="shared" si="150"/>
        <v>63554.639813653455</v>
      </c>
      <c r="AO261" s="32">
        <f t="shared" si="150"/>
        <v>72633.874072746825</v>
      </c>
      <c r="AP261" s="32">
        <f t="shared" si="150"/>
        <v>81713.108331840151</v>
      </c>
      <c r="AQ261" s="32">
        <f t="shared" si="146"/>
        <v>90792.342590933535</v>
      </c>
      <c r="AR261" s="32">
        <f t="shared" ref="AR261:AU261" si="153">SUM(AR243,AR245,AR247,AR249,AR251,AR253,AR255,AR257,AR259)</f>
        <v>108950.81110912024</v>
      </c>
      <c r="AS261" s="32">
        <f t="shared" si="153"/>
        <v>127109.27962730691</v>
      </c>
      <c r="AT261" s="32">
        <f t="shared" si="153"/>
        <v>145267.74814549365</v>
      </c>
      <c r="AU261" s="32">
        <f t="shared" si="153"/>
        <v>163426.2166636803</v>
      </c>
      <c r="AV261" s="32">
        <f t="shared" si="146"/>
        <v>181584.68518186707</v>
      </c>
      <c r="AW261" s="32">
        <f t="shared" ref="AW261:AZ261" si="154">SUM(AW243,AW245,AW247,AW249,AW251,AW253,AW255,AW257,AW259)</f>
        <v>217901.62221824049</v>
      </c>
      <c r="AX261" s="32">
        <f t="shared" si="154"/>
        <v>254218.55925461382</v>
      </c>
      <c r="AY261" s="32">
        <f t="shared" si="154"/>
        <v>290535.4962909873</v>
      </c>
      <c r="AZ261" s="32">
        <f t="shared" si="154"/>
        <v>326852.4333273606</v>
      </c>
      <c r="BA261" s="32">
        <f t="shared" si="146"/>
        <v>363169.37036373414</v>
      </c>
      <c r="BB261" s="31">
        <f t="shared" ref="BB261:BG261" si="155">SUM(BB243,BB245,BB247,BB249,BB251,BB253,BB255,BB257,BB259)</f>
        <v>726338.74072746828</v>
      </c>
      <c r="BC261" s="32">
        <f t="shared" si="155"/>
        <v>1452677.4814549366</v>
      </c>
      <c r="BD261" s="32">
        <f t="shared" si="155"/>
        <v>2905354.9629098731</v>
      </c>
      <c r="BE261" s="32">
        <f t="shared" si="155"/>
        <v>5810709.9258197462</v>
      </c>
      <c r="BF261" s="32">
        <f t="shared" si="155"/>
        <v>7327347.6867048908</v>
      </c>
      <c r="BG261" s="73">
        <f t="shared" si="155"/>
        <v>7327347.6867048908</v>
      </c>
      <c r="BH261" s="45"/>
    </row>
    <row r="262" spans="1:60" x14ac:dyDescent="0.25">
      <c r="A262" s="42"/>
      <c r="B262" s="14"/>
      <c r="C262" s="10"/>
      <c r="D262" s="10"/>
      <c r="E262" s="15"/>
      <c r="F262" s="10"/>
      <c r="G262" s="10"/>
      <c r="H262" s="10"/>
      <c r="I262" s="10"/>
      <c r="J262" s="10"/>
      <c r="K262" s="10"/>
      <c r="L262" s="10"/>
      <c r="M262" s="10"/>
      <c r="N262" s="10"/>
      <c r="O262" s="10"/>
      <c r="P262" s="45"/>
      <c r="Q262" s="45"/>
      <c r="R262" s="45"/>
      <c r="S262" s="45"/>
      <c r="T262" s="45"/>
      <c r="U262" s="45"/>
      <c r="V262" s="45"/>
      <c r="W262" s="45"/>
      <c r="X262" s="45"/>
      <c r="Y262" s="45"/>
      <c r="Z262" s="45"/>
      <c r="AA262" s="45"/>
      <c r="AB262" s="45"/>
      <c r="AC262" s="45"/>
      <c r="AD262" s="45"/>
      <c r="AE262" s="45"/>
      <c r="AF262" s="45"/>
      <c r="AG262" s="45"/>
      <c r="AH262" s="45"/>
      <c r="AI262" s="45"/>
      <c r="AJ262" s="45"/>
      <c r="AK262" s="45"/>
      <c r="AL262" s="45"/>
      <c r="AM262" s="45"/>
      <c r="AN262" s="45"/>
      <c r="AO262" s="45"/>
      <c r="AP262" s="45"/>
      <c r="AQ262" s="45"/>
      <c r="AR262" s="45"/>
      <c r="AS262" s="45"/>
      <c r="AT262" s="45"/>
      <c r="AU262" s="45"/>
    </row>
    <row r="263" spans="1:60" x14ac:dyDescent="0.25">
      <c r="A263" s="54" t="s">
        <v>50</v>
      </c>
      <c r="B263" s="14"/>
      <c r="C263" s="10"/>
      <c r="D263" s="10"/>
      <c r="E263" s="15"/>
      <c r="F263" s="10"/>
      <c r="G263" s="10"/>
      <c r="H263" s="10"/>
      <c r="I263" s="10"/>
      <c r="J263" s="10"/>
      <c r="K263" s="10"/>
      <c r="L263" s="10"/>
      <c r="M263" s="10"/>
      <c r="N263" s="10"/>
      <c r="O263" s="10"/>
      <c r="P263" s="45"/>
      <c r="Q263" s="45"/>
      <c r="R263" s="45"/>
      <c r="S263" s="45"/>
      <c r="T263" s="45"/>
      <c r="U263" s="45"/>
      <c r="V263" s="45"/>
      <c r="W263" s="45"/>
      <c r="X263" s="45"/>
      <c r="Y263" s="45"/>
      <c r="Z263" s="45"/>
      <c r="AA263" s="45"/>
      <c r="AB263" s="45"/>
      <c r="AC263" s="45"/>
      <c r="AD263" s="45"/>
      <c r="AE263" s="45"/>
      <c r="AF263" s="45"/>
      <c r="AG263" s="45"/>
      <c r="AH263" s="45"/>
      <c r="AI263" s="45"/>
      <c r="AJ263" s="45"/>
      <c r="AK263" s="45"/>
      <c r="AL263" s="45"/>
      <c r="AM263" s="45"/>
      <c r="AN263" s="45"/>
      <c r="AO263" s="45"/>
      <c r="AP263" s="45"/>
      <c r="AQ263" s="45"/>
      <c r="AR263" s="45"/>
      <c r="AS263" s="45"/>
      <c r="AT263" s="45"/>
      <c r="AU263" s="45"/>
    </row>
    <row r="264" spans="1:60" x14ac:dyDescent="0.25">
      <c r="A264" s="4"/>
      <c r="B264" s="9" t="s">
        <v>5</v>
      </c>
      <c r="C264" s="9" t="s">
        <v>3</v>
      </c>
      <c r="D264" s="9"/>
      <c r="E264" s="59" t="s">
        <v>2</v>
      </c>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5"/>
      <c r="BH264" s="47"/>
    </row>
    <row r="265" spans="1:60" x14ac:dyDescent="0.25">
      <c r="A265" s="48" t="s">
        <v>1</v>
      </c>
      <c r="B265" s="24">
        <v>0.36799999999999999</v>
      </c>
      <c r="C265" s="10">
        <f>$B$194 * B265</f>
        <v>121648104</v>
      </c>
      <c r="D265" s="16"/>
      <c r="E265" s="16"/>
      <c r="F265" s="16"/>
      <c r="G265" s="16"/>
      <c r="H265" s="16"/>
      <c r="I265" s="16"/>
      <c r="J265" s="16"/>
      <c r="K265" s="16"/>
      <c r="L265" s="16"/>
      <c r="M265" s="16"/>
      <c r="N265" s="16"/>
      <c r="O265" s="16"/>
      <c r="P265" s="18">
        <f t="shared" ref="P265:BG265" si="156">P$210*$B$265</f>
        <v>11.5</v>
      </c>
      <c r="Q265" s="19">
        <f t="shared" si="156"/>
        <v>23</v>
      </c>
      <c r="R265" s="19">
        <f t="shared" si="156"/>
        <v>46</v>
      </c>
      <c r="S265" s="19">
        <f t="shared" si="156"/>
        <v>92</v>
      </c>
      <c r="T265" s="19">
        <f t="shared" si="156"/>
        <v>184</v>
      </c>
      <c r="U265" s="19">
        <f t="shared" si="156"/>
        <v>368</v>
      </c>
      <c r="V265" s="19">
        <f t="shared" si="156"/>
        <v>736</v>
      </c>
      <c r="W265" s="19">
        <f t="shared" si="156"/>
        <v>1472</v>
      </c>
      <c r="X265" s="19">
        <f t="shared" si="156"/>
        <v>2944</v>
      </c>
      <c r="Y265" s="19">
        <f t="shared" si="156"/>
        <v>5888</v>
      </c>
      <c r="Z265" s="19">
        <f t="shared" si="156"/>
        <v>11776</v>
      </c>
      <c r="AA265" s="19">
        <f t="shared" si="156"/>
        <v>23552</v>
      </c>
      <c r="AB265" s="19">
        <f t="shared" si="156"/>
        <v>47104</v>
      </c>
      <c r="AC265" s="19">
        <f t="shared" si="156"/>
        <v>94208</v>
      </c>
      <c r="AD265" s="19">
        <f t="shared" si="156"/>
        <v>188416</v>
      </c>
      <c r="AE265" s="19">
        <f t="shared" si="156"/>
        <v>235520</v>
      </c>
      <c r="AF265" s="19">
        <f t="shared" si="156"/>
        <v>282624</v>
      </c>
      <c r="AG265" s="19">
        <f t="shared" si="156"/>
        <v>329728</v>
      </c>
      <c r="AH265" s="19">
        <f t="shared" si="156"/>
        <v>376832</v>
      </c>
      <c r="AI265" s="19">
        <f t="shared" si="156"/>
        <v>482344.95999999996</v>
      </c>
      <c r="AJ265" s="19">
        <f t="shared" si="156"/>
        <v>565248</v>
      </c>
      <c r="AK265" s="19">
        <f t="shared" si="156"/>
        <v>659456</v>
      </c>
      <c r="AL265" s="19">
        <f t="shared" si="156"/>
        <v>753664</v>
      </c>
      <c r="AM265" s="19">
        <f t="shared" si="156"/>
        <v>904396.79999999993</v>
      </c>
      <c r="AN265" s="19">
        <f t="shared" si="156"/>
        <v>1055129.6000000001</v>
      </c>
      <c r="AO265" s="19">
        <f t="shared" si="156"/>
        <v>1205862.3999999999</v>
      </c>
      <c r="AP265" s="19">
        <f t="shared" si="156"/>
        <v>1356595.2</v>
      </c>
      <c r="AQ265" s="19">
        <f t="shared" si="156"/>
        <v>1507328</v>
      </c>
      <c r="AR265" s="19">
        <f t="shared" si="156"/>
        <v>1808793.5999999999</v>
      </c>
      <c r="AS265" s="19">
        <f t="shared" si="156"/>
        <v>2110259.2000000002</v>
      </c>
      <c r="AT265" s="19">
        <f t="shared" si="156"/>
        <v>2411724.7999999998</v>
      </c>
      <c r="AU265" s="19">
        <f t="shared" si="156"/>
        <v>2713190.3999999999</v>
      </c>
      <c r="AV265" s="19">
        <f t="shared" si="156"/>
        <v>3014656</v>
      </c>
      <c r="AW265" s="19">
        <f t="shared" si="156"/>
        <v>3617587.1999999997</v>
      </c>
      <c r="AX265" s="19">
        <f t="shared" si="156"/>
        <v>4220518.4000000004</v>
      </c>
      <c r="AY265" s="19">
        <f t="shared" si="156"/>
        <v>4823449.5999999996</v>
      </c>
      <c r="AZ265" s="19">
        <f t="shared" si="156"/>
        <v>5426380.7999999998</v>
      </c>
      <c r="BA265" s="19">
        <f t="shared" si="156"/>
        <v>6029312</v>
      </c>
      <c r="BB265" s="18">
        <f t="shared" si="156"/>
        <v>12058624</v>
      </c>
      <c r="BC265" s="19">
        <f t="shared" si="156"/>
        <v>24117248</v>
      </c>
      <c r="BD265" s="19">
        <f t="shared" si="156"/>
        <v>48234496</v>
      </c>
      <c r="BE265" s="19">
        <f t="shared" si="156"/>
        <v>96468992</v>
      </c>
      <c r="BF265" s="19">
        <f t="shared" si="156"/>
        <v>121648104</v>
      </c>
      <c r="BG265" s="60">
        <f t="shared" si="156"/>
        <v>121648104</v>
      </c>
      <c r="BH265" s="45"/>
    </row>
    <row r="266" spans="1:60" x14ac:dyDescent="0.25">
      <c r="A266" s="48"/>
      <c r="B266" s="16"/>
      <c r="C266" s="16"/>
      <c r="D266" s="25"/>
      <c r="E266" s="46">
        <v>0.105</v>
      </c>
      <c r="F266" s="16"/>
      <c r="G266" s="16"/>
      <c r="H266" s="16"/>
      <c r="I266" s="16"/>
      <c r="J266" s="16"/>
      <c r="K266" s="16"/>
      <c r="L266" s="16"/>
      <c r="M266" s="16"/>
      <c r="N266" s="16"/>
      <c r="O266" s="16"/>
      <c r="P266" s="29">
        <f>P265*$E$266</f>
        <v>1.2075</v>
      </c>
      <c r="Q266" s="30">
        <f t="shared" ref="Q266:AP266" si="157">Q265*$E$266</f>
        <v>2.415</v>
      </c>
      <c r="R266" s="30">
        <f t="shared" si="157"/>
        <v>4.83</v>
      </c>
      <c r="S266" s="30">
        <f t="shared" si="157"/>
        <v>9.66</v>
      </c>
      <c r="T266" s="30">
        <f t="shared" si="157"/>
        <v>19.32</v>
      </c>
      <c r="U266" s="30">
        <f t="shared" si="157"/>
        <v>38.64</v>
      </c>
      <c r="V266" s="30">
        <f t="shared" si="157"/>
        <v>77.28</v>
      </c>
      <c r="W266" s="30">
        <f t="shared" si="157"/>
        <v>154.56</v>
      </c>
      <c r="X266" s="30">
        <f t="shared" si="157"/>
        <v>309.12</v>
      </c>
      <c r="Y266" s="30">
        <f t="shared" si="157"/>
        <v>618.24</v>
      </c>
      <c r="Z266" s="30">
        <f t="shared" si="157"/>
        <v>1236.48</v>
      </c>
      <c r="AA266" s="30">
        <f t="shared" si="157"/>
        <v>2472.96</v>
      </c>
      <c r="AB266" s="30">
        <f t="shared" si="157"/>
        <v>4945.92</v>
      </c>
      <c r="AC266" s="30">
        <f t="shared" si="157"/>
        <v>9891.84</v>
      </c>
      <c r="AD266" s="30">
        <f t="shared" si="157"/>
        <v>19783.68</v>
      </c>
      <c r="AE266" s="30">
        <f t="shared" ref="AE266:AG266" si="158">AE265*$E$266</f>
        <v>24729.599999999999</v>
      </c>
      <c r="AF266" s="30">
        <f t="shared" si="158"/>
        <v>29675.52</v>
      </c>
      <c r="AG266" s="30">
        <f t="shared" si="158"/>
        <v>34621.440000000002</v>
      </c>
      <c r="AH266" s="30">
        <f t="shared" si="157"/>
        <v>39567.360000000001</v>
      </c>
      <c r="AI266" s="30">
        <f t="shared" ref="AI266:AK266" si="159">AI265*$E$266</f>
        <v>50646.220799999996</v>
      </c>
      <c r="AJ266" s="30">
        <f t="shared" si="159"/>
        <v>59351.040000000001</v>
      </c>
      <c r="AK266" s="30">
        <f t="shared" si="159"/>
        <v>69242.880000000005</v>
      </c>
      <c r="AL266" s="30">
        <f t="shared" si="157"/>
        <v>79134.720000000001</v>
      </c>
      <c r="AM266" s="30">
        <f t="shared" si="157"/>
        <v>94961.66399999999</v>
      </c>
      <c r="AN266" s="30">
        <f t="shared" si="157"/>
        <v>110788.60800000001</v>
      </c>
      <c r="AO266" s="30">
        <f t="shared" si="157"/>
        <v>126615.55199999998</v>
      </c>
      <c r="AP266" s="30">
        <f t="shared" si="157"/>
        <v>142442.49599999998</v>
      </c>
      <c r="AQ266" s="30">
        <f>AQ265*$E$266</f>
        <v>158269.44</v>
      </c>
      <c r="AR266" s="30">
        <f t="shared" ref="AR266:AU266" si="160">AR265*$E$266</f>
        <v>189923.32799999998</v>
      </c>
      <c r="AS266" s="30">
        <f t="shared" si="160"/>
        <v>221577.21600000001</v>
      </c>
      <c r="AT266" s="30">
        <f t="shared" si="160"/>
        <v>253231.10399999996</v>
      </c>
      <c r="AU266" s="30">
        <f t="shared" si="160"/>
        <v>284884.99199999997</v>
      </c>
      <c r="AV266" s="30">
        <f>AV265*$E$266</f>
        <v>316538.88</v>
      </c>
      <c r="AW266" s="30">
        <f t="shared" ref="AW266:AZ266" si="161">AW265*$E$266</f>
        <v>379846.65599999996</v>
      </c>
      <c r="AX266" s="30">
        <f t="shared" si="161"/>
        <v>443154.43200000003</v>
      </c>
      <c r="AY266" s="30">
        <f t="shared" si="161"/>
        <v>506462.20799999993</v>
      </c>
      <c r="AZ266" s="30">
        <f t="shared" si="161"/>
        <v>569769.98399999994</v>
      </c>
      <c r="BA266" s="30">
        <f>BA265*$E$266</f>
        <v>633077.76000000001</v>
      </c>
      <c r="BB266" s="29">
        <f t="shared" ref="BB266:BG266" si="162">BB265*$E$266</f>
        <v>1266155.52</v>
      </c>
      <c r="BC266" s="30">
        <f t="shared" si="162"/>
        <v>2532311.04</v>
      </c>
      <c r="BD266" s="30">
        <f t="shared" si="162"/>
        <v>5064622.0800000001</v>
      </c>
      <c r="BE266" s="30">
        <f t="shared" si="162"/>
        <v>10129244.16</v>
      </c>
      <c r="BF266" s="30">
        <f t="shared" si="162"/>
        <v>12773050.92</v>
      </c>
      <c r="BG266" s="71">
        <f t="shared" si="162"/>
        <v>12773050.92</v>
      </c>
      <c r="BH266" s="45"/>
    </row>
    <row r="267" spans="1:60" x14ac:dyDescent="0.25">
      <c r="A267" s="48" t="s">
        <v>4</v>
      </c>
      <c r="B267" s="24">
        <v>9.8000000000000004E-2</v>
      </c>
      <c r="C267" s="10">
        <f>$B$194 * B267</f>
        <v>32395419</v>
      </c>
      <c r="D267" s="47"/>
      <c r="E267" s="16"/>
      <c r="F267" s="16"/>
      <c r="G267" s="16"/>
      <c r="H267" s="16"/>
      <c r="I267" s="16"/>
      <c r="J267" s="16"/>
      <c r="K267" s="16"/>
      <c r="L267" s="16"/>
      <c r="M267" s="16"/>
      <c r="N267" s="16"/>
      <c r="O267" s="16"/>
      <c r="P267" s="20">
        <f t="shared" ref="P267:BG267" si="163">P$210*$B$267</f>
        <v>3.0625</v>
      </c>
      <c r="Q267" s="21">
        <f t="shared" si="163"/>
        <v>6.125</v>
      </c>
      <c r="R267" s="21">
        <f t="shared" si="163"/>
        <v>12.25</v>
      </c>
      <c r="S267" s="21">
        <f t="shared" si="163"/>
        <v>24.5</v>
      </c>
      <c r="T267" s="21">
        <f t="shared" si="163"/>
        <v>49</v>
      </c>
      <c r="U267" s="21">
        <f t="shared" si="163"/>
        <v>98</v>
      </c>
      <c r="V267" s="21">
        <f t="shared" si="163"/>
        <v>196</v>
      </c>
      <c r="W267" s="21">
        <f t="shared" si="163"/>
        <v>392</v>
      </c>
      <c r="X267" s="21">
        <f t="shared" si="163"/>
        <v>784</v>
      </c>
      <c r="Y267" s="21">
        <f t="shared" si="163"/>
        <v>1568</v>
      </c>
      <c r="Z267" s="21">
        <f t="shared" si="163"/>
        <v>3136</v>
      </c>
      <c r="AA267" s="21">
        <f t="shared" si="163"/>
        <v>6272</v>
      </c>
      <c r="AB267" s="21">
        <f t="shared" si="163"/>
        <v>12544</v>
      </c>
      <c r="AC267" s="21">
        <f t="shared" si="163"/>
        <v>25088</v>
      </c>
      <c r="AD267" s="21">
        <f t="shared" si="163"/>
        <v>50176</v>
      </c>
      <c r="AE267" s="21">
        <f t="shared" si="163"/>
        <v>62720</v>
      </c>
      <c r="AF267" s="21">
        <f t="shared" si="163"/>
        <v>75264</v>
      </c>
      <c r="AG267" s="21">
        <f t="shared" si="163"/>
        <v>87808</v>
      </c>
      <c r="AH267" s="21">
        <f t="shared" si="163"/>
        <v>100352</v>
      </c>
      <c r="AI267" s="21">
        <f t="shared" si="163"/>
        <v>128450.56</v>
      </c>
      <c r="AJ267" s="21">
        <f t="shared" si="163"/>
        <v>150528</v>
      </c>
      <c r="AK267" s="21">
        <f t="shared" si="163"/>
        <v>175616</v>
      </c>
      <c r="AL267" s="21">
        <f t="shared" si="163"/>
        <v>200704</v>
      </c>
      <c r="AM267" s="21">
        <f t="shared" si="163"/>
        <v>240844.80000000002</v>
      </c>
      <c r="AN267" s="21">
        <f t="shared" si="163"/>
        <v>280985.60000000003</v>
      </c>
      <c r="AO267" s="21">
        <f t="shared" si="163"/>
        <v>321126.40000000002</v>
      </c>
      <c r="AP267" s="21">
        <f t="shared" si="163"/>
        <v>361267.20000000001</v>
      </c>
      <c r="AQ267" s="21">
        <f t="shared" si="163"/>
        <v>401408</v>
      </c>
      <c r="AR267" s="21">
        <f t="shared" si="163"/>
        <v>481689.60000000003</v>
      </c>
      <c r="AS267" s="21">
        <f t="shared" si="163"/>
        <v>561971.20000000007</v>
      </c>
      <c r="AT267" s="21">
        <f t="shared" si="163"/>
        <v>642252.80000000005</v>
      </c>
      <c r="AU267" s="21">
        <f t="shared" si="163"/>
        <v>722534.40000000002</v>
      </c>
      <c r="AV267" s="21">
        <f t="shared" si="163"/>
        <v>802816</v>
      </c>
      <c r="AW267" s="21">
        <f t="shared" si="163"/>
        <v>963379.20000000007</v>
      </c>
      <c r="AX267" s="21">
        <f t="shared" si="163"/>
        <v>1123942.4000000001</v>
      </c>
      <c r="AY267" s="21">
        <f t="shared" si="163"/>
        <v>1284505.6000000001</v>
      </c>
      <c r="AZ267" s="21">
        <f t="shared" si="163"/>
        <v>1445068.8</v>
      </c>
      <c r="BA267" s="21">
        <f t="shared" si="163"/>
        <v>1605632</v>
      </c>
      <c r="BB267" s="20">
        <f t="shared" si="163"/>
        <v>3211264</v>
      </c>
      <c r="BC267" s="21">
        <f t="shared" si="163"/>
        <v>6422528</v>
      </c>
      <c r="BD267" s="21">
        <f t="shared" si="163"/>
        <v>12845056</v>
      </c>
      <c r="BE267" s="21">
        <f t="shared" si="163"/>
        <v>25690112</v>
      </c>
      <c r="BF267" s="21">
        <f t="shared" si="163"/>
        <v>32395419</v>
      </c>
      <c r="BG267" s="72">
        <f t="shared" si="163"/>
        <v>32395419</v>
      </c>
      <c r="BH267" s="45"/>
    </row>
    <row r="268" spans="1:60" x14ac:dyDescent="0.25">
      <c r="A268" s="48"/>
      <c r="B268" s="16"/>
      <c r="C268" s="16"/>
      <c r="D268" s="25"/>
      <c r="E268" s="46">
        <v>7.2999999999999995E-2</v>
      </c>
      <c r="F268" s="16"/>
      <c r="G268" s="16"/>
      <c r="H268" s="16"/>
      <c r="I268" s="16"/>
      <c r="J268" s="16"/>
      <c r="K268" s="16"/>
      <c r="L268" s="16"/>
      <c r="M268" s="16"/>
      <c r="N268" s="16"/>
      <c r="O268" s="16"/>
      <c r="P268" s="29">
        <f t="shared" ref="P268:AP268" si="164">P267*$E$268</f>
        <v>0.2235625</v>
      </c>
      <c r="Q268" s="30">
        <f t="shared" si="164"/>
        <v>0.44712499999999999</v>
      </c>
      <c r="R268" s="30">
        <f t="shared" si="164"/>
        <v>0.89424999999999999</v>
      </c>
      <c r="S268" s="30">
        <f t="shared" si="164"/>
        <v>1.7885</v>
      </c>
      <c r="T268" s="30">
        <f t="shared" si="164"/>
        <v>3.577</v>
      </c>
      <c r="U268" s="30">
        <f t="shared" si="164"/>
        <v>7.1539999999999999</v>
      </c>
      <c r="V268" s="30">
        <f t="shared" si="164"/>
        <v>14.308</v>
      </c>
      <c r="W268" s="30">
        <f t="shared" si="164"/>
        <v>28.616</v>
      </c>
      <c r="X268" s="30">
        <f t="shared" si="164"/>
        <v>57.231999999999999</v>
      </c>
      <c r="Y268" s="30">
        <f t="shared" si="164"/>
        <v>114.464</v>
      </c>
      <c r="Z268" s="30">
        <f t="shared" si="164"/>
        <v>228.928</v>
      </c>
      <c r="AA268" s="30">
        <f t="shared" si="164"/>
        <v>457.85599999999999</v>
      </c>
      <c r="AB268" s="30">
        <f t="shared" si="164"/>
        <v>915.71199999999999</v>
      </c>
      <c r="AC268" s="30">
        <f t="shared" si="164"/>
        <v>1831.424</v>
      </c>
      <c r="AD268" s="30">
        <f t="shared" si="164"/>
        <v>3662.848</v>
      </c>
      <c r="AE268" s="30">
        <f t="shared" ref="AE268:AG268" si="165">AE267*$E$268</f>
        <v>4578.5599999999995</v>
      </c>
      <c r="AF268" s="30">
        <f t="shared" si="165"/>
        <v>5494.2719999999999</v>
      </c>
      <c r="AG268" s="30">
        <f t="shared" si="165"/>
        <v>6409.9839999999995</v>
      </c>
      <c r="AH268" s="30">
        <f t="shared" si="164"/>
        <v>7325.6959999999999</v>
      </c>
      <c r="AI268" s="30">
        <f t="shared" ref="AI268:AK268" si="166">AI267*$E$268</f>
        <v>9376.890879999999</v>
      </c>
      <c r="AJ268" s="30">
        <f t="shared" si="166"/>
        <v>10988.544</v>
      </c>
      <c r="AK268" s="30">
        <f t="shared" si="166"/>
        <v>12819.967999999999</v>
      </c>
      <c r="AL268" s="30">
        <f t="shared" si="164"/>
        <v>14651.392</v>
      </c>
      <c r="AM268" s="30">
        <f t="shared" si="164"/>
        <v>17581.670399999999</v>
      </c>
      <c r="AN268" s="30">
        <f t="shared" si="164"/>
        <v>20511.948800000002</v>
      </c>
      <c r="AO268" s="30">
        <f t="shared" si="164"/>
        <v>23442.227200000001</v>
      </c>
      <c r="AP268" s="30">
        <f t="shared" si="164"/>
        <v>26372.5056</v>
      </c>
      <c r="AQ268" s="30">
        <f>AQ267*$E$268</f>
        <v>29302.784</v>
      </c>
      <c r="AR268" s="30">
        <f t="shared" ref="AR268:AU268" si="167">AR267*$E$268</f>
        <v>35163.340799999998</v>
      </c>
      <c r="AS268" s="30">
        <f t="shared" si="167"/>
        <v>41023.897600000004</v>
      </c>
      <c r="AT268" s="30">
        <f t="shared" si="167"/>
        <v>46884.454400000002</v>
      </c>
      <c r="AU268" s="30">
        <f t="shared" si="167"/>
        <v>52745.011200000001</v>
      </c>
      <c r="AV268" s="30">
        <f>AV267*$E$268</f>
        <v>58605.567999999999</v>
      </c>
      <c r="AW268" s="30">
        <f t="shared" ref="AW268:AZ268" si="168">AW267*$E$268</f>
        <v>70326.681599999996</v>
      </c>
      <c r="AX268" s="30">
        <f t="shared" si="168"/>
        <v>82047.795200000008</v>
      </c>
      <c r="AY268" s="30">
        <f t="shared" si="168"/>
        <v>93768.908800000005</v>
      </c>
      <c r="AZ268" s="30">
        <f t="shared" si="168"/>
        <v>105490.0224</v>
      </c>
      <c r="BA268" s="30">
        <f>BA267*$E$268</f>
        <v>117211.136</v>
      </c>
      <c r="BB268" s="29">
        <f t="shared" ref="BB268:BG268" si="169">BB267*$E$268</f>
        <v>234422.272</v>
      </c>
      <c r="BC268" s="30">
        <f t="shared" si="169"/>
        <v>468844.54399999999</v>
      </c>
      <c r="BD268" s="30">
        <f t="shared" si="169"/>
        <v>937689.08799999999</v>
      </c>
      <c r="BE268" s="30">
        <f t="shared" si="169"/>
        <v>1875378.176</v>
      </c>
      <c r="BF268" s="30">
        <f t="shared" si="169"/>
        <v>2364865.5869999998</v>
      </c>
      <c r="BG268" s="71">
        <f t="shared" si="169"/>
        <v>2364865.5869999998</v>
      </c>
      <c r="BH268" s="45"/>
    </row>
    <row r="269" spans="1:60" x14ac:dyDescent="0.25">
      <c r="A269" s="48" t="s">
        <v>6</v>
      </c>
      <c r="B269" s="24">
        <v>0.13400000000000001</v>
      </c>
      <c r="C269" s="10">
        <f>$B$194 * B269</f>
        <v>44295777</v>
      </c>
      <c r="D269" s="47"/>
      <c r="E269" s="16"/>
      <c r="F269" s="16"/>
      <c r="G269" s="16"/>
      <c r="H269" s="16"/>
      <c r="I269" s="16"/>
      <c r="J269" s="16"/>
      <c r="K269" s="16"/>
      <c r="L269" s="16"/>
      <c r="M269" s="16"/>
      <c r="N269" s="16"/>
      <c r="O269" s="16"/>
      <c r="P269" s="20">
        <f t="shared" ref="P269:BG269" si="170">P$210*$B$269</f>
        <v>4.1875</v>
      </c>
      <c r="Q269" s="21">
        <f t="shared" si="170"/>
        <v>8.375</v>
      </c>
      <c r="R269" s="21">
        <f t="shared" si="170"/>
        <v>16.75</v>
      </c>
      <c r="S269" s="21">
        <f t="shared" si="170"/>
        <v>33.5</v>
      </c>
      <c r="T269" s="21">
        <f t="shared" si="170"/>
        <v>67</v>
      </c>
      <c r="U269" s="21">
        <f t="shared" si="170"/>
        <v>134</v>
      </c>
      <c r="V269" s="21">
        <f t="shared" si="170"/>
        <v>268</v>
      </c>
      <c r="W269" s="21">
        <f t="shared" si="170"/>
        <v>536</v>
      </c>
      <c r="X269" s="21">
        <f t="shared" si="170"/>
        <v>1072</v>
      </c>
      <c r="Y269" s="21">
        <f t="shared" si="170"/>
        <v>2144</v>
      </c>
      <c r="Z269" s="21">
        <f t="shared" si="170"/>
        <v>4288</v>
      </c>
      <c r="AA269" s="21">
        <f t="shared" si="170"/>
        <v>8576</v>
      </c>
      <c r="AB269" s="21">
        <f t="shared" si="170"/>
        <v>17152</v>
      </c>
      <c r="AC269" s="21">
        <f t="shared" si="170"/>
        <v>34304</v>
      </c>
      <c r="AD269" s="21">
        <f t="shared" si="170"/>
        <v>68608</v>
      </c>
      <c r="AE269" s="21">
        <f t="shared" si="170"/>
        <v>85760</v>
      </c>
      <c r="AF269" s="21">
        <f t="shared" si="170"/>
        <v>102912</v>
      </c>
      <c r="AG269" s="21">
        <f t="shared" si="170"/>
        <v>120064</v>
      </c>
      <c r="AH269" s="21">
        <f t="shared" si="170"/>
        <v>137216</v>
      </c>
      <c r="AI269" s="21">
        <f t="shared" si="170"/>
        <v>175636.48000000001</v>
      </c>
      <c r="AJ269" s="21">
        <f t="shared" si="170"/>
        <v>205824</v>
      </c>
      <c r="AK269" s="21">
        <f t="shared" si="170"/>
        <v>240128</v>
      </c>
      <c r="AL269" s="21">
        <f t="shared" si="170"/>
        <v>274432</v>
      </c>
      <c r="AM269" s="21">
        <f t="shared" si="170"/>
        <v>329318.40000000002</v>
      </c>
      <c r="AN269" s="21">
        <f t="shared" si="170"/>
        <v>384204.80000000005</v>
      </c>
      <c r="AO269" s="21">
        <f t="shared" si="170"/>
        <v>439091.20000000001</v>
      </c>
      <c r="AP269" s="21">
        <f t="shared" si="170"/>
        <v>493977.60000000003</v>
      </c>
      <c r="AQ269" s="21">
        <f t="shared" si="170"/>
        <v>548864</v>
      </c>
      <c r="AR269" s="21">
        <f t="shared" si="170"/>
        <v>658636.80000000005</v>
      </c>
      <c r="AS269" s="21">
        <f t="shared" si="170"/>
        <v>768409.60000000009</v>
      </c>
      <c r="AT269" s="21">
        <f t="shared" si="170"/>
        <v>878182.40000000002</v>
      </c>
      <c r="AU269" s="21">
        <f t="shared" si="170"/>
        <v>987955.20000000007</v>
      </c>
      <c r="AV269" s="21">
        <f t="shared" si="170"/>
        <v>1097728</v>
      </c>
      <c r="AW269" s="21">
        <f t="shared" si="170"/>
        <v>1317273.6000000001</v>
      </c>
      <c r="AX269" s="21">
        <f t="shared" si="170"/>
        <v>1536819.2000000002</v>
      </c>
      <c r="AY269" s="21">
        <f t="shared" si="170"/>
        <v>1756364.8</v>
      </c>
      <c r="AZ269" s="21">
        <f t="shared" si="170"/>
        <v>1975910.4000000001</v>
      </c>
      <c r="BA269" s="21">
        <f t="shared" si="170"/>
        <v>2195456</v>
      </c>
      <c r="BB269" s="20">
        <f t="shared" si="170"/>
        <v>4390912</v>
      </c>
      <c r="BC269" s="21">
        <f t="shared" si="170"/>
        <v>8781824</v>
      </c>
      <c r="BD269" s="21">
        <f t="shared" si="170"/>
        <v>17563648</v>
      </c>
      <c r="BE269" s="21">
        <f t="shared" si="170"/>
        <v>35127296</v>
      </c>
      <c r="BF269" s="21">
        <f t="shared" si="170"/>
        <v>44295777</v>
      </c>
      <c r="BG269" s="72">
        <f t="shared" si="170"/>
        <v>44295777</v>
      </c>
      <c r="BH269" s="45"/>
    </row>
    <row r="270" spans="1:60" x14ac:dyDescent="0.25">
      <c r="A270" s="48"/>
      <c r="B270" s="16"/>
      <c r="C270" s="16"/>
      <c r="D270" s="25"/>
      <c r="E270" s="46">
        <v>6.3E-2</v>
      </c>
      <c r="F270" s="16"/>
      <c r="G270" s="16"/>
      <c r="H270" s="16"/>
      <c r="I270" s="16"/>
      <c r="J270" s="16"/>
      <c r="K270" s="16"/>
      <c r="L270" s="16"/>
      <c r="M270" s="16"/>
      <c r="N270" s="16"/>
      <c r="O270" s="16"/>
      <c r="P270" s="29">
        <f t="shared" ref="P270:AP270" si="171">P269*$E$270</f>
        <v>0.26381250000000001</v>
      </c>
      <c r="Q270" s="30">
        <f t="shared" si="171"/>
        <v>0.52762500000000001</v>
      </c>
      <c r="R270" s="30">
        <f t="shared" si="171"/>
        <v>1.05525</v>
      </c>
      <c r="S270" s="30">
        <f t="shared" si="171"/>
        <v>2.1105</v>
      </c>
      <c r="T270" s="30">
        <f t="shared" si="171"/>
        <v>4.2210000000000001</v>
      </c>
      <c r="U270" s="30">
        <f t="shared" si="171"/>
        <v>8.4420000000000002</v>
      </c>
      <c r="V270" s="30">
        <f t="shared" si="171"/>
        <v>16.884</v>
      </c>
      <c r="W270" s="30">
        <f t="shared" si="171"/>
        <v>33.768000000000001</v>
      </c>
      <c r="X270" s="30">
        <f t="shared" si="171"/>
        <v>67.536000000000001</v>
      </c>
      <c r="Y270" s="30">
        <f t="shared" si="171"/>
        <v>135.072</v>
      </c>
      <c r="Z270" s="30">
        <f t="shared" si="171"/>
        <v>270.14400000000001</v>
      </c>
      <c r="AA270" s="30">
        <f t="shared" si="171"/>
        <v>540.28800000000001</v>
      </c>
      <c r="AB270" s="30">
        <f t="shared" si="171"/>
        <v>1080.576</v>
      </c>
      <c r="AC270" s="30">
        <f t="shared" si="171"/>
        <v>2161.152</v>
      </c>
      <c r="AD270" s="30">
        <f t="shared" si="171"/>
        <v>4322.3040000000001</v>
      </c>
      <c r="AE270" s="30">
        <f t="shared" ref="AE270:AG270" si="172">AE269*$E$270</f>
        <v>5402.88</v>
      </c>
      <c r="AF270" s="30">
        <f t="shared" si="172"/>
        <v>6483.4560000000001</v>
      </c>
      <c r="AG270" s="30">
        <f t="shared" si="172"/>
        <v>7564.0320000000002</v>
      </c>
      <c r="AH270" s="30">
        <f t="shared" si="171"/>
        <v>8644.6080000000002</v>
      </c>
      <c r="AI270" s="30">
        <f t="shared" ref="AI270:AK270" si="173">AI269*$E$270</f>
        <v>11065.098240000001</v>
      </c>
      <c r="AJ270" s="30">
        <f t="shared" si="173"/>
        <v>12966.912</v>
      </c>
      <c r="AK270" s="30">
        <f t="shared" si="173"/>
        <v>15128.064</v>
      </c>
      <c r="AL270" s="30">
        <f t="shared" si="171"/>
        <v>17289.216</v>
      </c>
      <c r="AM270" s="30">
        <f t="shared" si="171"/>
        <v>20747.059200000003</v>
      </c>
      <c r="AN270" s="30">
        <f t="shared" si="171"/>
        <v>24204.902400000003</v>
      </c>
      <c r="AO270" s="30">
        <f t="shared" si="171"/>
        <v>27662.745600000002</v>
      </c>
      <c r="AP270" s="30">
        <f t="shared" si="171"/>
        <v>31120.588800000001</v>
      </c>
      <c r="AQ270" s="30">
        <f>AQ269*$E$270</f>
        <v>34578.432000000001</v>
      </c>
      <c r="AR270" s="30">
        <f t="shared" ref="AR270:AU270" si="174">AR269*$E$270</f>
        <v>41494.118400000007</v>
      </c>
      <c r="AS270" s="30">
        <f t="shared" si="174"/>
        <v>48409.804800000005</v>
      </c>
      <c r="AT270" s="30">
        <f t="shared" si="174"/>
        <v>55325.491200000004</v>
      </c>
      <c r="AU270" s="30">
        <f t="shared" si="174"/>
        <v>62241.177600000003</v>
      </c>
      <c r="AV270" s="30">
        <f>AV269*$E$270</f>
        <v>69156.864000000001</v>
      </c>
      <c r="AW270" s="30">
        <f t="shared" ref="AW270:AZ270" si="175">AW269*$E$270</f>
        <v>82988.236800000013</v>
      </c>
      <c r="AX270" s="30">
        <f t="shared" si="175"/>
        <v>96819.609600000011</v>
      </c>
      <c r="AY270" s="30">
        <f t="shared" si="175"/>
        <v>110650.98240000001</v>
      </c>
      <c r="AZ270" s="30">
        <f t="shared" si="175"/>
        <v>124482.35520000001</v>
      </c>
      <c r="BA270" s="30">
        <f>BA269*$E$270</f>
        <v>138313.728</v>
      </c>
      <c r="BB270" s="29">
        <f t="shared" ref="BB270:BG270" si="176">BB269*$E$270</f>
        <v>276627.45600000001</v>
      </c>
      <c r="BC270" s="30">
        <f t="shared" si="176"/>
        <v>553254.91200000001</v>
      </c>
      <c r="BD270" s="30">
        <f t="shared" si="176"/>
        <v>1106509.824</v>
      </c>
      <c r="BE270" s="30">
        <f t="shared" si="176"/>
        <v>2213019.648</v>
      </c>
      <c r="BF270" s="30">
        <f t="shared" si="176"/>
        <v>2790633.9509999999</v>
      </c>
      <c r="BG270" s="71">
        <f t="shared" si="176"/>
        <v>2790633.9509999999</v>
      </c>
      <c r="BH270" s="45"/>
    </row>
    <row r="271" spans="1:60" x14ac:dyDescent="0.25">
      <c r="A271" s="48" t="s">
        <v>7</v>
      </c>
      <c r="B271" s="24">
        <v>0.46</v>
      </c>
      <c r="C271" s="10">
        <f>$B$194 * B271</f>
        <v>152060130</v>
      </c>
      <c r="D271" s="47"/>
      <c r="E271" s="16"/>
      <c r="F271" s="16"/>
      <c r="G271" s="16"/>
      <c r="H271" s="16"/>
      <c r="I271" s="16"/>
      <c r="J271" s="16"/>
      <c r="K271" s="16"/>
      <c r="L271" s="16"/>
      <c r="M271" s="16"/>
      <c r="N271" s="16"/>
      <c r="O271" s="16"/>
      <c r="P271" s="20">
        <f t="shared" ref="P271:BG271" si="177">P$210*$B$271</f>
        <v>14.375</v>
      </c>
      <c r="Q271" s="21">
        <f t="shared" si="177"/>
        <v>28.75</v>
      </c>
      <c r="R271" s="21">
        <f t="shared" si="177"/>
        <v>57.5</v>
      </c>
      <c r="S271" s="21">
        <f t="shared" si="177"/>
        <v>115</v>
      </c>
      <c r="T271" s="21">
        <f t="shared" si="177"/>
        <v>230</v>
      </c>
      <c r="U271" s="21">
        <f t="shared" si="177"/>
        <v>460</v>
      </c>
      <c r="V271" s="21">
        <f t="shared" si="177"/>
        <v>920</v>
      </c>
      <c r="W271" s="21">
        <f t="shared" si="177"/>
        <v>1840</v>
      </c>
      <c r="X271" s="21">
        <f t="shared" si="177"/>
        <v>3680</v>
      </c>
      <c r="Y271" s="21">
        <f t="shared" si="177"/>
        <v>7360</v>
      </c>
      <c r="Z271" s="21">
        <f t="shared" si="177"/>
        <v>14720</v>
      </c>
      <c r="AA271" s="21">
        <f t="shared" si="177"/>
        <v>29440</v>
      </c>
      <c r="AB271" s="21">
        <f t="shared" si="177"/>
        <v>58880</v>
      </c>
      <c r="AC271" s="21">
        <f t="shared" si="177"/>
        <v>117760</v>
      </c>
      <c r="AD271" s="21">
        <f t="shared" si="177"/>
        <v>235520</v>
      </c>
      <c r="AE271" s="21">
        <f t="shared" si="177"/>
        <v>294400</v>
      </c>
      <c r="AF271" s="21">
        <f t="shared" si="177"/>
        <v>353280</v>
      </c>
      <c r="AG271" s="21">
        <f t="shared" si="177"/>
        <v>412160</v>
      </c>
      <c r="AH271" s="21">
        <f t="shared" si="177"/>
        <v>471040</v>
      </c>
      <c r="AI271" s="21">
        <f t="shared" si="177"/>
        <v>602931.20000000007</v>
      </c>
      <c r="AJ271" s="21">
        <f t="shared" si="177"/>
        <v>706560</v>
      </c>
      <c r="AK271" s="21">
        <f t="shared" si="177"/>
        <v>824320</v>
      </c>
      <c r="AL271" s="21">
        <f t="shared" si="177"/>
        <v>942080</v>
      </c>
      <c r="AM271" s="21">
        <f t="shared" si="177"/>
        <v>1130496</v>
      </c>
      <c r="AN271" s="21">
        <f t="shared" si="177"/>
        <v>1318912</v>
      </c>
      <c r="AO271" s="21">
        <f t="shared" si="177"/>
        <v>1507328</v>
      </c>
      <c r="AP271" s="21">
        <f t="shared" si="177"/>
        <v>1695744</v>
      </c>
      <c r="AQ271" s="21">
        <f t="shared" si="177"/>
        <v>1884160</v>
      </c>
      <c r="AR271" s="21">
        <f t="shared" si="177"/>
        <v>2260992</v>
      </c>
      <c r="AS271" s="21">
        <f t="shared" si="177"/>
        <v>2637824</v>
      </c>
      <c r="AT271" s="21">
        <f t="shared" si="177"/>
        <v>3014656</v>
      </c>
      <c r="AU271" s="21">
        <f t="shared" si="177"/>
        <v>3391488</v>
      </c>
      <c r="AV271" s="21">
        <f t="shared" si="177"/>
        <v>3768320</v>
      </c>
      <c r="AW271" s="21">
        <f t="shared" si="177"/>
        <v>4521984</v>
      </c>
      <c r="AX271" s="21">
        <f t="shared" si="177"/>
        <v>5275648</v>
      </c>
      <c r="AY271" s="21">
        <f t="shared" si="177"/>
        <v>6029312</v>
      </c>
      <c r="AZ271" s="21">
        <f t="shared" si="177"/>
        <v>6782976</v>
      </c>
      <c r="BA271" s="21">
        <f t="shared" si="177"/>
        <v>7536640</v>
      </c>
      <c r="BB271" s="20">
        <f t="shared" si="177"/>
        <v>15073280</v>
      </c>
      <c r="BC271" s="21">
        <f t="shared" si="177"/>
        <v>30146560</v>
      </c>
      <c r="BD271" s="21">
        <f t="shared" si="177"/>
        <v>60293120</v>
      </c>
      <c r="BE271" s="21">
        <f t="shared" si="177"/>
        <v>120586240</v>
      </c>
      <c r="BF271" s="21">
        <f t="shared" si="177"/>
        <v>152060130</v>
      </c>
      <c r="BG271" s="72">
        <f t="shared" si="177"/>
        <v>152060130</v>
      </c>
      <c r="BH271" s="45"/>
    </row>
    <row r="272" spans="1:60" x14ac:dyDescent="0.25">
      <c r="A272" s="48"/>
      <c r="B272" s="16"/>
      <c r="C272" s="16"/>
      <c r="D272" s="25"/>
      <c r="E272" s="46">
        <v>0.06</v>
      </c>
      <c r="F272" s="16"/>
      <c r="G272" s="16"/>
      <c r="H272" s="16"/>
      <c r="I272" s="16"/>
      <c r="J272" s="16"/>
      <c r="K272" s="16"/>
      <c r="L272" s="16"/>
      <c r="M272" s="16"/>
      <c r="N272" s="16"/>
      <c r="O272" s="16"/>
      <c r="P272" s="29">
        <f t="shared" ref="P272:AP272" si="178">P271*$E$272</f>
        <v>0.86249999999999993</v>
      </c>
      <c r="Q272" s="30">
        <f t="shared" si="178"/>
        <v>1.7249999999999999</v>
      </c>
      <c r="R272" s="30">
        <f t="shared" si="178"/>
        <v>3.4499999999999997</v>
      </c>
      <c r="S272" s="30">
        <f t="shared" si="178"/>
        <v>6.8999999999999995</v>
      </c>
      <c r="T272" s="30">
        <f t="shared" si="178"/>
        <v>13.799999999999999</v>
      </c>
      <c r="U272" s="30">
        <f t="shared" si="178"/>
        <v>27.599999999999998</v>
      </c>
      <c r="V272" s="30">
        <f t="shared" si="178"/>
        <v>55.199999999999996</v>
      </c>
      <c r="W272" s="30">
        <f t="shared" si="178"/>
        <v>110.39999999999999</v>
      </c>
      <c r="X272" s="30">
        <f t="shared" si="178"/>
        <v>220.79999999999998</v>
      </c>
      <c r="Y272" s="30">
        <f t="shared" si="178"/>
        <v>441.59999999999997</v>
      </c>
      <c r="Z272" s="30">
        <f t="shared" si="178"/>
        <v>883.19999999999993</v>
      </c>
      <c r="AA272" s="30">
        <f t="shared" si="178"/>
        <v>1766.3999999999999</v>
      </c>
      <c r="AB272" s="30">
        <f t="shared" si="178"/>
        <v>3532.7999999999997</v>
      </c>
      <c r="AC272" s="30">
        <f t="shared" si="178"/>
        <v>7065.5999999999995</v>
      </c>
      <c r="AD272" s="30">
        <f t="shared" si="178"/>
        <v>14131.199999999999</v>
      </c>
      <c r="AE272" s="30">
        <f t="shared" ref="AE272:AG272" si="179">AE271*$E$272</f>
        <v>17664</v>
      </c>
      <c r="AF272" s="30">
        <f t="shared" si="179"/>
        <v>21196.799999999999</v>
      </c>
      <c r="AG272" s="30">
        <f t="shared" si="179"/>
        <v>24729.599999999999</v>
      </c>
      <c r="AH272" s="30">
        <f t="shared" si="178"/>
        <v>28262.399999999998</v>
      </c>
      <c r="AI272" s="30">
        <f t="shared" ref="AI272:AK272" si="180">AI271*$E$272</f>
        <v>36175.872000000003</v>
      </c>
      <c r="AJ272" s="30">
        <f t="shared" si="180"/>
        <v>42393.599999999999</v>
      </c>
      <c r="AK272" s="30">
        <f t="shared" si="180"/>
        <v>49459.199999999997</v>
      </c>
      <c r="AL272" s="30">
        <f t="shared" si="178"/>
        <v>56524.799999999996</v>
      </c>
      <c r="AM272" s="30">
        <f t="shared" si="178"/>
        <v>67829.759999999995</v>
      </c>
      <c r="AN272" s="30">
        <f t="shared" si="178"/>
        <v>79134.720000000001</v>
      </c>
      <c r="AO272" s="30">
        <f t="shared" si="178"/>
        <v>90439.679999999993</v>
      </c>
      <c r="AP272" s="30">
        <f t="shared" si="178"/>
        <v>101744.64</v>
      </c>
      <c r="AQ272" s="30">
        <f>AQ271*$E$272</f>
        <v>113049.59999999999</v>
      </c>
      <c r="AR272" s="30">
        <f t="shared" ref="AR272:AU272" si="181">AR271*$E$272</f>
        <v>135659.51999999999</v>
      </c>
      <c r="AS272" s="30">
        <f t="shared" si="181"/>
        <v>158269.44</v>
      </c>
      <c r="AT272" s="30">
        <f t="shared" si="181"/>
        <v>180879.35999999999</v>
      </c>
      <c r="AU272" s="30">
        <f t="shared" si="181"/>
        <v>203489.28</v>
      </c>
      <c r="AV272" s="30">
        <f>AV271*$E$272</f>
        <v>226099.19999999998</v>
      </c>
      <c r="AW272" s="30">
        <f t="shared" ref="AW272:AZ272" si="182">AW271*$E$272</f>
        <v>271319.03999999998</v>
      </c>
      <c r="AX272" s="30">
        <f t="shared" si="182"/>
        <v>316538.88</v>
      </c>
      <c r="AY272" s="30">
        <f t="shared" si="182"/>
        <v>361758.71999999997</v>
      </c>
      <c r="AZ272" s="30">
        <f t="shared" si="182"/>
        <v>406978.56</v>
      </c>
      <c r="BA272" s="30">
        <f>BA271*$E$272</f>
        <v>452198.39999999997</v>
      </c>
      <c r="BB272" s="29">
        <f t="shared" ref="BB272:BG272" si="183">BB271*$E$272</f>
        <v>904396.79999999993</v>
      </c>
      <c r="BC272" s="30">
        <f t="shared" si="183"/>
        <v>1808793.5999999999</v>
      </c>
      <c r="BD272" s="30">
        <f t="shared" si="183"/>
        <v>3617587.1999999997</v>
      </c>
      <c r="BE272" s="30">
        <f t="shared" si="183"/>
        <v>7235174.3999999994</v>
      </c>
      <c r="BF272" s="30">
        <f t="shared" si="183"/>
        <v>9123607.7999999989</v>
      </c>
      <c r="BG272" s="71">
        <f t="shared" si="183"/>
        <v>9123607.7999999989</v>
      </c>
      <c r="BH272" s="45"/>
    </row>
    <row r="273" spans="1:60" x14ac:dyDescent="0.25">
      <c r="A273" s="48" t="s">
        <v>8</v>
      </c>
      <c r="B273" s="24">
        <v>4.3899999999999998E-3</v>
      </c>
      <c r="C273" s="10">
        <f>$B$194 * B273</f>
        <v>1451182.5449999999</v>
      </c>
      <c r="D273" s="47"/>
      <c r="E273" s="16"/>
      <c r="F273" s="16"/>
      <c r="G273" s="16"/>
      <c r="H273" s="16"/>
      <c r="I273" s="16"/>
      <c r="J273" s="16"/>
      <c r="K273" s="16"/>
      <c r="L273" s="16"/>
      <c r="M273" s="16"/>
      <c r="N273" s="16"/>
      <c r="O273" s="16"/>
      <c r="P273" s="20">
        <f t="shared" ref="P273:BG273" si="184">P$210*$B$273</f>
        <v>0.13718749999999999</v>
      </c>
      <c r="Q273" s="21">
        <f t="shared" si="184"/>
        <v>0.27437499999999998</v>
      </c>
      <c r="R273" s="21">
        <f t="shared" si="184"/>
        <v>0.54874999999999996</v>
      </c>
      <c r="S273" s="21">
        <f t="shared" si="184"/>
        <v>1.0974999999999999</v>
      </c>
      <c r="T273" s="21">
        <f t="shared" si="184"/>
        <v>2.1949999999999998</v>
      </c>
      <c r="U273" s="21">
        <f t="shared" si="184"/>
        <v>4.3899999999999997</v>
      </c>
      <c r="V273" s="21">
        <f t="shared" si="184"/>
        <v>8.7799999999999994</v>
      </c>
      <c r="W273" s="21">
        <f t="shared" si="184"/>
        <v>17.559999999999999</v>
      </c>
      <c r="X273" s="21">
        <f t="shared" si="184"/>
        <v>35.119999999999997</v>
      </c>
      <c r="Y273" s="21">
        <f t="shared" si="184"/>
        <v>70.239999999999995</v>
      </c>
      <c r="Z273" s="21">
        <f t="shared" si="184"/>
        <v>140.47999999999999</v>
      </c>
      <c r="AA273" s="21">
        <f t="shared" si="184"/>
        <v>280.95999999999998</v>
      </c>
      <c r="AB273" s="21">
        <f t="shared" si="184"/>
        <v>561.91999999999996</v>
      </c>
      <c r="AC273" s="21">
        <f t="shared" si="184"/>
        <v>1123.8399999999999</v>
      </c>
      <c r="AD273" s="21">
        <f t="shared" si="184"/>
        <v>2247.6799999999998</v>
      </c>
      <c r="AE273" s="21">
        <f t="shared" si="184"/>
        <v>2809.6</v>
      </c>
      <c r="AF273" s="21">
        <f t="shared" si="184"/>
        <v>3371.52</v>
      </c>
      <c r="AG273" s="21">
        <f t="shared" si="184"/>
        <v>3933.4399999999996</v>
      </c>
      <c r="AH273" s="21">
        <f t="shared" si="184"/>
        <v>4495.3599999999997</v>
      </c>
      <c r="AI273" s="21">
        <f t="shared" si="184"/>
        <v>5754.0607999999993</v>
      </c>
      <c r="AJ273" s="21">
        <f t="shared" si="184"/>
        <v>6743.04</v>
      </c>
      <c r="AK273" s="21">
        <f t="shared" si="184"/>
        <v>7866.8799999999992</v>
      </c>
      <c r="AL273" s="21">
        <f t="shared" si="184"/>
        <v>8990.7199999999993</v>
      </c>
      <c r="AM273" s="21">
        <f t="shared" si="184"/>
        <v>10788.864</v>
      </c>
      <c r="AN273" s="21">
        <f t="shared" si="184"/>
        <v>12587.008</v>
      </c>
      <c r="AO273" s="21">
        <f t="shared" si="184"/>
        <v>14385.152</v>
      </c>
      <c r="AP273" s="21">
        <f t="shared" si="184"/>
        <v>16183.295999999998</v>
      </c>
      <c r="AQ273" s="21">
        <f t="shared" si="184"/>
        <v>17981.439999999999</v>
      </c>
      <c r="AR273" s="21">
        <f t="shared" si="184"/>
        <v>21577.727999999999</v>
      </c>
      <c r="AS273" s="21">
        <f t="shared" si="184"/>
        <v>25174.016</v>
      </c>
      <c r="AT273" s="21">
        <f t="shared" si="184"/>
        <v>28770.304</v>
      </c>
      <c r="AU273" s="21">
        <f t="shared" si="184"/>
        <v>32366.591999999997</v>
      </c>
      <c r="AV273" s="21">
        <f t="shared" si="184"/>
        <v>35962.879999999997</v>
      </c>
      <c r="AW273" s="21">
        <f t="shared" si="184"/>
        <v>43155.455999999998</v>
      </c>
      <c r="AX273" s="21">
        <f t="shared" si="184"/>
        <v>50348.031999999999</v>
      </c>
      <c r="AY273" s="21">
        <f t="shared" si="184"/>
        <v>57540.608</v>
      </c>
      <c r="AZ273" s="21">
        <f t="shared" si="184"/>
        <v>64733.183999999994</v>
      </c>
      <c r="BA273" s="21">
        <f t="shared" si="184"/>
        <v>71925.759999999995</v>
      </c>
      <c r="BB273" s="20">
        <f t="shared" si="184"/>
        <v>143851.51999999999</v>
      </c>
      <c r="BC273" s="21">
        <f t="shared" si="184"/>
        <v>287703.03999999998</v>
      </c>
      <c r="BD273" s="21">
        <f t="shared" si="184"/>
        <v>575406.07999999996</v>
      </c>
      <c r="BE273" s="21">
        <f t="shared" si="184"/>
        <v>1150812.1599999999</v>
      </c>
      <c r="BF273" s="21">
        <f t="shared" si="184"/>
        <v>1451182.5449999999</v>
      </c>
      <c r="BG273" s="72">
        <f t="shared" si="184"/>
        <v>1451182.5449999999</v>
      </c>
      <c r="BH273" s="45"/>
    </row>
    <row r="274" spans="1:60" x14ac:dyDescent="0.25">
      <c r="A274" s="48"/>
      <c r="B274" s="16"/>
      <c r="C274" s="16"/>
      <c r="D274" s="25"/>
      <c r="E274" s="46">
        <v>5.6000000000000001E-2</v>
      </c>
      <c r="F274" s="16"/>
      <c r="G274" s="16"/>
      <c r="H274" s="16"/>
      <c r="I274" s="16"/>
      <c r="J274" s="16"/>
      <c r="K274" s="16"/>
      <c r="L274" s="16"/>
      <c r="M274" s="16"/>
      <c r="N274" s="16"/>
      <c r="O274" s="16"/>
      <c r="P274" s="29">
        <f t="shared" ref="P274:AP274" si="185">P273*$E$274</f>
        <v>7.6824999999999992E-3</v>
      </c>
      <c r="Q274" s="30">
        <f t="shared" si="185"/>
        <v>1.5364999999999998E-2</v>
      </c>
      <c r="R274" s="30">
        <f t="shared" si="185"/>
        <v>3.0729999999999997E-2</v>
      </c>
      <c r="S274" s="30">
        <f t="shared" si="185"/>
        <v>6.1459999999999994E-2</v>
      </c>
      <c r="T274" s="30">
        <f t="shared" si="185"/>
        <v>0.12291999999999999</v>
      </c>
      <c r="U274" s="30">
        <f t="shared" si="185"/>
        <v>0.24583999999999998</v>
      </c>
      <c r="V274" s="30">
        <f t="shared" si="185"/>
        <v>0.49167999999999995</v>
      </c>
      <c r="W274" s="30">
        <f t="shared" si="185"/>
        <v>0.9833599999999999</v>
      </c>
      <c r="X274" s="30">
        <f t="shared" si="185"/>
        <v>1.9667199999999998</v>
      </c>
      <c r="Y274" s="30">
        <f t="shared" si="185"/>
        <v>3.9334399999999996</v>
      </c>
      <c r="Z274" s="30">
        <f t="shared" si="185"/>
        <v>7.8668799999999992</v>
      </c>
      <c r="AA274" s="30">
        <f t="shared" si="185"/>
        <v>15.733759999999998</v>
      </c>
      <c r="AB274" s="30">
        <f t="shared" si="185"/>
        <v>31.467519999999997</v>
      </c>
      <c r="AC274" s="30">
        <f t="shared" si="185"/>
        <v>62.935039999999994</v>
      </c>
      <c r="AD274" s="30">
        <f t="shared" si="185"/>
        <v>125.87007999999999</v>
      </c>
      <c r="AE274" s="30">
        <f t="shared" ref="AE274:AG274" si="186">AE273*$E$274</f>
        <v>157.33760000000001</v>
      </c>
      <c r="AF274" s="30">
        <f t="shared" si="186"/>
        <v>188.80512000000002</v>
      </c>
      <c r="AG274" s="30">
        <f t="shared" si="186"/>
        <v>220.27264</v>
      </c>
      <c r="AH274" s="30">
        <f t="shared" si="185"/>
        <v>251.74015999999997</v>
      </c>
      <c r="AI274" s="30">
        <f t="shared" ref="AI274:AK274" si="187">AI273*$E$274</f>
        <v>322.22740479999999</v>
      </c>
      <c r="AJ274" s="30">
        <f t="shared" si="187"/>
        <v>377.61024000000003</v>
      </c>
      <c r="AK274" s="30">
        <f t="shared" si="187"/>
        <v>440.54527999999999</v>
      </c>
      <c r="AL274" s="30">
        <f t="shared" si="185"/>
        <v>503.48031999999995</v>
      </c>
      <c r="AM274" s="30">
        <f t="shared" si="185"/>
        <v>604.17638399999998</v>
      </c>
      <c r="AN274" s="30">
        <f t="shared" si="185"/>
        <v>704.87244799999996</v>
      </c>
      <c r="AO274" s="30">
        <f t="shared" si="185"/>
        <v>805.56851200000006</v>
      </c>
      <c r="AP274" s="30">
        <f t="shared" si="185"/>
        <v>906.26457599999992</v>
      </c>
      <c r="AQ274" s="30">
        <f>AQ273*$E$274</f>
        <v>1006.9606399999999</v>
      </c>
      <c r="AR274" s="30">
        <f t="shared" ref="AR274:AU274" si="188">AR273*$E$274</f>
        <v>1208.352768</v>
      </c>
      <c r="AS274" s="30">
        <f t="shared" si="188"/>
        <v>1409.7448959999999</v>
      </c>
      <c r="AT274" s="30">
        <f t="shared" si="188"/>
        <v>1611.1370240000001</v>
      </c>
      <c r="AU274" s="30">
        <f t="shared" si="188"/>
        <v>1812.5291519999998</v>
      </c>
      <c r="AV274" s="30">
        <f>AV273*$E$274</f>
        <v>2013.9212799999998</v>
      </c>
      <c r="AW274" s="30">
        <f t="shared" ref="AW274:AZ274" si="189">AW273*$E$274</f>
        <v>2416.7055359999999</v>
      </c>
      <c r="AX274" s="30">
        <f t="shared" si="189"/>
        <v>2819.4897919999999</v>
      </c>
      <c r="AY274" s="30">
        <f t="shared" si="189"/>
        <v>3222.2740480000002</v>
      </c>
      <c r="AZ274" s="30">
        <f t="shared" si="189"/>
        <v>3625.0583039999997</v>
      </c>
      <c r="BA274" s="30">
        <f>BA273*$E$274</f>
        <v>4027.8425599999996</v>
      </c>
      <c r="BB274" s="29">
        <f t="shared" ref="BB274:BG274" si="190">BB273*$E$274</f>
        <v>8055.6851199999992</v>
      </c>
      <c r="BC274" s="30">
        <f t="shared" si="190"/>
        <v>16111.370239999998</v>
      </c>
      <c r="BD274" s="30">
        <f t="shared" si="190"/>
        <v>32222.740479999997</v>
      </c>
      <c r="BE274" s="30">
        <f t="shared" si="190"/>
        <v>64445.480959999994</v>
      </c>
      <c r="BF274" s="30">
        <f t="shared" si="190"/>
        <v>81266.222519999996</v>
      </c>
      <c r="BG274" s="71">
        <f t="shared" si="190"/>
        <v>81266.222519999996</v>
      </c>
      <c r="BH274" s="45"/>
    </row>
    <row r="275" spans="1:60" x14ac:dyDescent="0.25">
      <c r="A275" s="48" t="s">
        <v>9</v>
      </c>
      <c r="B275" s="24">
        <v>0.155</v>
      </c>
      <c r="C275" s="10">
        <f>$B$194 * B275</f>
        <v>51237652.5</v>
      </c>
      <c r="D275" s="47"/>
      <c r="E275" s="16"/>
      <c r="F275" s="16"/>
      <c r="G275" s="16"/>
      <c r="H275" s="16"/>
      <c r="I275" s="16"/>
      <c r="J275" s="16"/>
      <c r="K275" s="16"/>
      <c r="L275" s="16"/>
      <c r="M275" s="16"/>
      <c r="N275" s="16"/>
      <c r="O275" s="16"/>
      <c r="P275" s="20">
        <f t="shared" ref="P275:BG275" si="191">P$210*$B$275</f>
        <v>4.84375</v>
      </c>
      <c r="Q275" s="21">
        <f t="shared" si="191"/>
        <v>9.6875</v>
      </c>
      <c r="R275" s="21">
        <f t="shared" si="191"/>
        <v>19.375</v>
      </c>
      <c r="S275" s="21">
        <f t="shared" si="191"/>
        <v>38.75</v>
      </c>
      <c r="T275" s="21">
        <f t="shared" si="191"/>
        <v>77.5</v>
      </c>
      <c r="U275" s="21">
        <f t="shared" si="191"/>
        <v>155</v>
      </c>
      <c r="V275" s="21">
        <f t="shared" si="191"/>
        <v>310</v>
      </c>
      <c r="W275" s="21">
        <f t="shared" si="191"/>
        <v>620</v>
      </c>
      <c r="X275" s="21">
        <f t="shared" si="191"/>
        <v>1240</v>
      </c>
      <c r="Y275" s="21">
        <f t="shared" si="191"/>
        <v>2480</v>
      </c>
      <c r="Z275" s="21">
        <f t="shared" si="191"/>
        <v>4960</v>
      </c>
      <c r="AA275" s="21">
        <f t="shared" si="191"/>
        <v>9920</v>
      </c>
      <c r="AB275" s="21">
        <f t="shared" si="191"/>
        <v>19840</v>
      </c>
      <c r="AC275" s="21">
        <f t="shared" si="191"/>
        <v>39680</v>
      </c>
      <c r="AD275" s="21">
        <f t="shared" si="191"/>
        <v>79360</v>
      </c>
      <c r="AE275" s="21">
        <f t="shared" si="191"/>
        <v>99200</v>
      </c>
      <c r="AF275" s="21">
        <f t="shared" si="191"/>
        <v>119040</v>
      </c>
      <c r="AG275" s="21">
        <f t="shared" si="191"/>
        <v>138880</v>
      </c>
      <c r="AH275" s="21">
        <f t="shared" si="191"/>
        <v>158720</v>
      </c>
      <c r="AI275" s="21">
        <f t="shared" si="191"/>
        <v>203161.60000000001</v>
      </c>
      <c r="AJ275" s="21">
        <f t="shared" si="191"/>
        <v>238080</v>
      </c>
      <c r="AK275" s="21">
        <f t="shared" si="191"/>
        <v>277760</v>
      </c>
      <c r="AL275" s="21">
        <f t="shared" si="191"/>
        <v>317440</v>
      </c>
      <c r="AM275" s="21">
        <f t="shared" si="191"/>
        <v>380928</v>
      </c>
      <c r="AN275" s="21">
        <f t="shared" si="191"/>
        <v>444416</v>
      </c>
      <c r="AO275" s="21">
        <f t="shared" si="191"/>
        <v>507904</v>
      </c>
      <c r="AP275" s="21">
        <f t="shared" si="191"/>
        <v>571392</v>
      </c>
      <c r="AQ275" s="21">
        <f t="shared" si="191"/>
        <v>634880</v>
      </c>
      <c r="AR275" s="21">
        <f t="shared" si="191"/>
        <v>761856</v>
      </c>
      <c r="AS275" s="21">
        <f t="shared" si="191"/>
        <v>888832</v>
      </c>
      <c r="AT275" s="21">
        <f t="shared" si="191"/>
        <v>1015808</v>
      </c>
      <c r="AU275" s="21">
        <f t="shared" si="191"/>
        <v>1142784</v>
      </c>
      <c r="AV275" s="21">
        <f t="shared" si="191"/>
        <v>1269760</v>
      </c>
      <c r="AW275" s="21">
        <f t="shared" si="191"/>
        <v>1523712</v>
      </c>
      <c r="AX275" s="21">
        <f t="shared" si="191"/>
        <v>1777664</v>
      </c>
      <c r="AY275" s="21">
        <f t="shared" si="191"/>
        <v>2031616</v>
      </c>
      <c r="AZ275" s="21">
        <f t="shared" si="191"/>
        <v>2285568</v>
      </c>
      <c r="BA275" s="21">
        <f t="shared" si="191"/>
        <v>2539520</v>
      </c>
      <c r="BB275" s="20">
        <f t="shared" si="191"/>
        <v>5079040</v>
      </c>
      <c r="BC275" s="21">
        <f t="shared" si="191"/>
        <v>10158080</v>
      </c>
      <c r="BD275" s="21">
        <f t="shared" si="191"/>
        <v>20316160</v>
      </c>
      <c r="BE275" s="21">
        <f t="shared" si="191"/>
        <v>40632320</v>
      </c>
      <c r="BF275" s="21">
        <f t="shared" si="191"/>
        <v>51237652.5</v>
      </c>
      <c r="BG275" s="72">
        <f t="shared" si="191"/>
        <v>51237652.5</v>
      </c>
      <c r="BH275" s="45"/>
    </row>
    <row r="276" spans="1:60" x14ac:dyDescent="0.25">
      <c r="A276" s="37"/>
      <c r="B276" s="39"/>
      <c r="C276" s="39"/>
      <c r="D276" s="55"/>
      <c r="E276" s="56" t="s">
        <v>10</v>
      </c>
      <c r="F276" s="39"/>
      <c r="G276" s="39"/>
      <c r="H276" s="39"/>
      <c r="I276" s="39"/>
      <c r="J276" s="39"/>
      <c r="K276" s="39"/>
      <c r="L276" s="39"/>
      <c r="M276" s="39"/>
      <c r="N276" s="39"/>
      <c r="O276" s="39"/>
      <c r="P276" s="31" t="s">
        <v>10</v>
      </c>
      <c r="Q276" s="32" t="s">
        <v>10</v>
      </c>
      <c r="R276" s="32" t="s">
        <v>10</v>
      </c>
      <c r="S276" s="32" t="s">
        <v>10</v>
      </c>
      <c r="T276" s="32" t="s">
        <v>10</v>
      </c>
      <c r="U276" s="32" t="s">
        <v>10</v>
      </c>
      <c r="V276" s="32" t="s">
        <v>10</v>
      </c>
      <c r="W276" s="32" t="s">
        <v>10</v>
      </c>
      <c r="X276" s="32" t="s">
        <v>10</v>
      </c>
      <c r="Y276" s="32" t="s">
        <v>10</v>
      </c>
      <c r="Z276" s="32" t="s">
        <v>10</v>
      </c>
      <c r="AA276" s="32" t="s">
        <v>10</v>
      </c>
      <c r="AB276" s="32" t="s">
        <v>10</v>
      </c>
      <c r="AC276" s="32" t="s">
        <v>10</v>
      </c>
      <c r="AD276" s="32" t="s">
        <v>10</v>
      </c>
      <c r="AE276" s="32" t="s">
        <v>10</v>
      </c>
      <c r="AF276" s="32" t="s">
        <v>10</v>
      </c>
      <c r="AG276" s="32" t="s">
        <v>10</v>
      </c>
      <c r="AH276" s="32" t="s">
        <v>10</v>
      </c>
      <c r="AI276" s="32" t="s">
        <v>10</v>
      </c>
      <c r="AJ276" s="32" t="s">
        <v>10</v>
      </c>
      <c r="AK276" s="32" t="s">
        <v>10</v>
      </c>
      <c r="AL276" s="32" t="s">
        <v>10</v>
      </c>
      <c r="AM276" s="32" t="s">
        <v>10</v>
      </c>
      <c r="AN276" s="32" t="s">
        <v>10</v>
      </c>
      <c r="AO276" s="32" t="s">
        <v>10</v>
      </c>
      <c r="AP276" s="32" t="s">
        <v>10</v>
      </c>
      <c r="AQ276" s="32" t="s">
        <v>10</v>
      </c>
      <c r="AR276" s="32" t="s">
        <v>10</v>
      </c>
      <c r="AS276" s="32" t="s">
        <v>10</v>
      </c>
      <c r="AT276" s="32" t="s">
        <v>10</v>
      </c>
      <c r="AU276" s="32" t="s">
        <v>10</v>
      </c>
      <c r="AV276" s="32" t="s">
        <v>10</v>
      </c>
      <c r="AW276" s="32" t="s">
        <v>10</v>
      </c>
      <c r="AX276" s="32" t="s">
        <v>10</v>
      </c>
      <c r="AY276" s="32" t="s">
        <v>10</v>
      </c>
      <c r="AZ276" s="32" t="s">
        <v>10</v>
      </c>
      <c r="BA276" s="32" t="s">
        <v>10</v>
      </c>
      <c r="BB276" s="29" t="s">
        <v>10</v>
      </c>
      <c r="BC276" s="30" t="s">
        <v>10</v>
      </c>
      <c r="BD276" s="30" t="s">
        <v>10</v>
      </c>
      <c r="BE276" s="30" t="s">
        <v>10</v>
      </c>
      <c r="BF276" s="30" t="s">
        <v>10</v>
      </c>
      <c r="BG276" s="71" t="s">
        <v>10</v>
      </c>
      <c r="BH276" s="45"/>
    </row>
    <row r="277" spans="1:60" x14ac:dyDescent="0.25">
      <c r="A277" s="41"/>
      <c r="B277" s="16"/>
      <c r="C277" s="16"/>
      <c r="D277" s="47"/>
      <c r="E277" s="16"/>
      <c r="F277" s="16"/>
      <c r="G277" s="16"/>
      <c r="H277" s="16"/>
      <c r="I277" s="16"/>
      <c r="J277" s="16"/>
      <c r="K277" s="16"/>
      <c r="L277" s="16"/>
      <c r="M277" s="16"/>
      <c r="N277" s="16"/>
      <c r="O277" s="16"/>
      <c r="P277" s="20">
        <f>SUM(P265,P267,P269,P271,P273,P275)</f>
        <v>38.105937500000003</v>
      </c>
      <c r="Q277" s="21">
        <f t="shared" ref="Q277:AP277" si="192">SUM(Q265,Q267,Q269,Q271,Q273,Q275)</f>
        <v>76.211875000000006</v>
      </c>
      <c r="R277" s="21">
        <f t="shared" si="192"/>
        <v>152.42375000000001</v>
      </c>
      <c r="S277" s="21">
        <f t="shared" si="192"/>
        <v>304.84750000000003</v>
      </c>
      <c r="T277" s="21">
        <f t="shared" si="192"/>
        <v>609.69500000000005</v>
      </c>
      <c r="U277" s="21">
        <f t="shared" si="192"/>
        <v>1219.3900000000001</v>
      </c>
      <c r="V277" s="21">
        <f>SUM(V265,V267,V269,V271,V273,V275)</f>
        <v>2438.7800000000002</v>
      </c>
      <c r="W277" s="21">
        <f t="shared" si="192"/>
        <v>4877.5600000000004</v>
      </c>
      <c r="X277" s="21">
        <f t="shared" si="192"/>
        <v>9755.1200000000008</v>
      </c>
      <c r="Y277" s="21">
        <f t="shared" si="192"/>
        <v>19510.240000000002</v>
      </c>
      <c r="Z277" s="21">
        <f t="shared" si="192"/>
        <v>39020.480000000003</v>
      </c>
      <c r="AA277" s="21">
        <f t="shared" si="192"/>
        <v>78040.960000000006</v>
      </c>
      <c r="AB277" s="21">
        <f t="shared" si="192"/>
        <v>156081.92000000001</v>
      </c>
      <c r="AC277" s="21">
        <f t="shared" si="192"/>
        <v>312163.84000000003</v>
      </c>
      <c r="AD277" s="21">
        <f t="shared" si="192"/>
        <v>624327.68000000005</v>
      </c>
      <c r="AE277" s="21">
        <f t="shared" ref="AE277:AG277" si="193">SUM(AE265,AE267,AE269,AE271,AE273,AE275)</f>
        <v>780409.6</v>
      </c>
      <c r="AF277" s="21">
        <f t="shared" si="193"/>
        <v>936491.52000000002</v>
      </c>
      <c r="AG277" s="21">
        <f t="shared" si="193"/>
        <v>1092573.44</v>
      </c>
      <c r="AH277" s="21">
        <f t="shared" si="192"/>
        <v>1248655.3600000001</v>
      </c>
      <c r="AI277" s="21">
        <f t="shared" ref="AI277:AK277" si="194">SUM(AI265,AI267,AI269,AI271,AI273,AI275)</f>
        <v>1598278.8608000004</v>
      </c>
      <c r="AJ277" s="21">
        <f t="shared" si="194"/>
        <v>1872983.04</v>
      </c>
      <c r="AK277" s="21">
        <f t="shared" si="194"/>
        <v>2185146.88</v>
      </c>
      <c r="AL277" s="21">
        <f t="shared" si="192"/>
        <v>2497310.7200000002</v>
      </c>
      <c r="AM277" s="21">
        <f t="shared" si="192"/>
        <v>2996772.8640000001</v>
      </c>
      <c r="AN277" s="21">
        <f t="shared" si="192"/>
        <v>3496235.0079999999</v>
      </c>
      <c r="AO277" s="21">
        <f t="shared" si="192"/>
        <v>3995697.1519999998</v>
      </c>
      <c r="AP277" s="21">
        <f t="shared" si="192"/>
        <v>4495159.2960000001</v>
      </c>
      <c r="AQ277" s="21">
        <f t="shared" ref="AQ277:BA278" si="195">SUM(AQ265,AQ267,AQ269,AQ271,AQ273,AQ275)</f>
        <v>4994621.4400000004</v>
      </c>
      <c r="AR277" s="21">
        <f t="shared" ref="AR277:AU277" si="196">SUM(AR265,AR267,AR269,AR271,AR273,AR275)</f>
        <v>5993545.7280000001</v>
      </c>
      <c r="AS277" s="21">
        <f t="shared" si="196"/>
        <v>6992470.0159999998</v>
      </c>
      <c r="AT277" s="21">
        <f t="shared" si="196"/>
        <v>7991394.3039999995</v>
      </c>
      <c r="AU277" s="21">
        <f t="shared" si="196"/>
        <v>8990318.5920000002</v>
      </c>
      <c r="AV277" s="21">
        <f t="shared" si="195"/>
        <v>9989242.8800000008</v>
      </c>
      <c r="AW277" s="21">
        <f t="shared" ref="AW277:AZ277" si="197">SUM(AW265,AW267,AW269,AW271,AW273,AW275)</f>
        <v>11987091.456</v>
      </c>
      <c r="AX277" s="21">
        <f t="shared" si="197"/>
        <v>13984940.032</v>
      </c>
      <c r="AY277" s="21">
        <f t="shared" si="197"/>
        <v>15982788.607999999</v>
      </c>
      <c r="AZ277" s="21">
        <f t="shared" si="197"/>
        <v>17980637.184</v>
      </c>
      <c r="BA277" s="21">
        <f t="shared" si="195"/>
        <v>19978485.760000002</v>
      </c>
      <c r="BB277" s="18">
        <f t="shared" ref="BB277:BG277" si="198">SUM(BB265,BB267,BB269,BB271,BB273,BB275)</f>
        <v>39956971.520000003</v>
      </c>
      <c r="BC277" s="19">
        <f t="shared" si="198"/>
        <v>79913943.040000007</v>
      </c>
      <c r="BD277" s="19">
        <f t="shared" si="198"/>
        <v>159827886.08000001</v>
      </c>
      <c r="BE277" s="19">
        <f t="shared" si="198"/>
        <v>319655772.16000003</v>
      </c>
      <c r="BF277" s="19">
        <f t="shared" si="198"/>
        <v>403088265.04500002</v>
      </c>
      <c r="BG277" s="60">
        <f t="shared" si="198"/>
        <v>403088265.04500002</v>
      </c>
      <c r="BH277" s="45"/>
    </row>
    <row r="278" spans="1:60" x14ac:dyDescent="0.25">
      <c r="A278" s="37" t="s">
        <v>40</v>
      </c>
      <c r="B278" s="39"/>
      <c r="C278" s="39"/>
      <c r="D278" s="39"/>
      <c r="E278" s="39"/>
      <c r="F278" s="39"/>
      <c r="G278" s="39"/>
      <c r="H278" s="39"/>
      <c r="I278" s="39"/>
      <c r="J278" s="39"/>
      <c r="K278" s="39"/>
      <c r="L278" s="39"/>
      <c r="M278" s="39"/>
      <c r="N278" s="39"/>
      <c r="O278" s="39"/>
      <c r="P278" s="31">
        <f>SUM(P266,P268,P270,P272,P274,P276)</f>
        <v>2.5650575</v>
      </c>
      <c r="Q278" s="32">
        <f t="shared" ref="Q278:AP278" si="199">SUM(Q266,Q268,Q270,Q272,Q274,Q276)</f>
        <v>5.130115</v>
      </c>
      <c r="R278" s="32">
        <f t="shared" si="199"/>
        <v>10.26023</v>
      </c>
      <c r="S278" s="32">
        <f t="shared" si="199"/>
        <v>20.52046</v>
      </c>
      <c r="T278" s="32">
        <f t="shared" si="199"/>
        <v>41.04092</v>
      </c>
      <c r="U278" s="32">
        <f t="shared" si="199"/>
        <v>82.08184</v>
      </c>
      <c r="V278" s="32">
        <f t="shared" si="199"/>
        <v>164.16368</v>
      </c>
      <c r="W278" s="32">
        <f t="shared" si="199"/>
        <v>328.32736</v>
      </c>
      <c r="X278" s="32">
        <f t="shared" si="199"/>
        <v>656.65472</v>
      </c>
      <c r="Y278" s="32">
        <f t="shared" si="199"/>
        <v>1313.30944</v>
      </c>
      <c r="Z278" s="32">
        <f t="shared" si="199"/>
        <v>2626.61888</v>
      </c>
      <c r="AA278" s="32">
        <f t="shared" si="199"/>
        <v>5253.23776</v>
      </c>
      <c r="AB278" s="32">
        <f t="shared" si="199"/>
        <v>10506.47552</v>
      </c>
      <c r="AC278" s="32">
        <f t="shared" si="199"/>
        <v>21012.95104</v>
      </c>
      <c r="AD278" s="32">
        <f t="shared" si="199"/>
        <v>42025.90208</v>
      </c>
      <c r="AE278" s="32">
        <f t="shared" ref="AE278:AG278" si="200">SUM(AE266,AE268,AE270,AE272,AE274,AE276)</f>
        <v>52532.377599999993</v>
      </c>
      <c r="AF278" s="32">
        <f t="shared" si="200"/>
        <v>63038.853119999992</v>
      </c>
      <c r="AG278" s="32">
        <f t="shared" si="200"/>
        <v>73545.328639999992</v>
      </c>
      <c r="AH278" s="32">
        <f t="shared" si="199"/>
        <v>84051.80416</v>
      </c>
      <c r="AI278" s="32">
        <f t="shared" ref="AI278:AK278" si="201">SUM(AI266,AI268,AI270,AI272,AI274,AI276)</f>
        <v>107586.30932479999</v>
      </c>
      <c r="AJ278" s="32">
        <f t="shared" si="201"/>
        <v>126077.70623999998</v>
      </c>
      <c r="AK278" s="32">
        <f t="shared" si="201"/>
        <v>147090.65727999998</v>
      </c>
      <c r="AL278" s="32">
        <f t="shared" si="199"/>
        <v>168103.60832</v>
      </c>
      <c r="AM278" s="32">
        <f t="shared" si="199"/>
        <v>201724.32998400001</v>
      </c>
      <c r="AN278" s="32">
        <f t="shared" si="199"/>
        <v>235345.05164800002</v>
      </c>
      <c r="AO278" s="32">
        <f t="shared" si="199"/>
        <v>268965.77331199998</v>
      </c>
      <c r="AP278" s="32">
        <f t="shared" si="199"/>
        <v>302586.49497599999</v>
      </c>
      <c r="AQ278" s="32">
        <f t="shared" si="195"/>
        <v>336207.21664</v>
      </c>
      <c r="AR278" s="32">
        <f t="shared" ref="AR278:AU278" si="202">SUM(AR266,AR268,AR270,AR272,AR274,AR276)</f>
        <v>403448.65996800002</v>
      </c>
      <c r="AS278" s="32">
        <f t="shared" si="202"/>
        <v>470690.10329600004</v>
      </c>
      <c r="AT278" s="32">
        <f t="shared" si="202"/>
        <v>537931.54662399995</v>
      </c>
      <c r="AU278" s="32">
        <f t="shared" si="202"/>
        <v>605172.98995199997</v>
      </c>
      <c r="AV278" s="32">
        <f t="shared" si="195"/>
        <v>672414.43328</v>
      </c>
      <c r="AW278" s="32">
        <f t="shared" ref="AW278:AZ278" si="203">SUM(AW266,AW268,AW270,AW272,AW274,AW276)</f>
        <v>806897.31993600004</v>
      </c>
      <c r="AX278" s="32">
        <f t="shared" si="203"/>
        <v>941380.20659200009</v>
      </c>
      <c r="AY278" s="32">
        <f t="shared" si="203"/>
        <v>1075863.0932479999</v>
      </c>
      <c r="AZ278" s="32">
        <f t="shared" si="203"/>
        <v>1210345.9799039999</v>
      </c>
      <c r="BA278" s="32">
        <f t="shared" si="195"/>
        <v>1344828.86656</v>
      </c>
      <c r="BB278" s="31">
        <f t="shared" ref="BB278:BG278" si="204">SUM(BB266,BB268,BB270,BB272,BB274,BB276)</f>
        <v>2689657.73312</v>
      </c>
      <c r="BC278" s="32">
        <f t="shared" si="204"/>
        <v>5379315.46624</v>
      </c>
      <c r="BD278" s="32">
        <f t="shared" si="204"/>
        <v>10758630.93248</v>
      </c>
      <c r="BE278" s="32">
        <f t="shared" si="204"/>
        <v>21517261.86496</v>
      </c>
      <c r="BF278" s="32">
        <f t="shared" si="204"/>
        <v>27133424.480520003</v>
      </c>
      <c r="BG278" s="73">
        <f t="shared" si="204"/>
        <v>27133424.480520003</v>
      </c>
      <c r="BH278" s="45"/>
    </row>
  </sheetData>
  <conditionalFormatting sqref="BH221 P221:BF221">
    <cfRule type="cellIs" dxfId="21" priority="31" operator="greaterThan">
      <formula>$C$199</formula>
    </cfRule>
  </conditionalFormatting>
  <conditionalFormatting sqref="P223:BF223">
    <cfRule type="cellIs" dxfId="20" priority="30" operator="greaterThan">
      <formula>$C$200</formula>
    </cfRule>
  </conditionalFormatting>
  <conditionalFormatting sqref="P242:BG242">
    <cfRule type="cellIs" dxfId="19" priority="29" operator="greaterThan">
      <formula>$C$242</formula>
    </cfRule>
  </conditionalFormatting>
  <conditionalFormatting sqref="P244:BG244">
    <cfRule type="cellIs" dxfId="18" priority="28" operator="greaterThan">
      <formula>$C$244</formula>
    </cfRule>
  </conditionalFormatting>
  <conditionalFormatting sqref="P246:BG246">
    <cfRule type="cellIs" dxfId="17" priority="27" operator="greaterThan">
      <formula>$C$246</formula>
    </cfRule>
  </conditionalFormatting>
  <conditionalFormatting sqref="P248:BG248">
    <cfRule type="cellIs" dxfId="16" priority="19" operator="greaterThan">
      <formula>$C$248</formula>
    </cfRule>
  </conditionalFormatting>
  <conditionalFormatting sqref="P250:BG250">
    <cfRule type="cellIs" dxfId="15" priority="18" operator="greaterThan">
      <formula>$C$250</formula>
    </cfRule>
  </conditionalFormatting>
  <conditionalFormatting sqref="P252:BG252">
    <cfRule type="cellIs" dxfId="14" priority="17" operator="greaterThan">
      <formula>$C$252</formula>
    </cfRule>
  </conditionalFormatting>
  <conditionalFormatting sqref="P254:BG254">
    <cfRule type="cellIs" dxfId="13" priority="16" operator="greaterThan">
      <formula>$C$254</formula>
    </cfRule>
  </conditionalFormatting>
  <conditionalFormatting sqref="P256:BG256">
    <cfRule type="cellIs" dxfId="12" priority="15" operator="greaterThan">
      <formula>$C$256</formula>
    </cfRule>
  </conditionalFormatting>
  <conditionalFormatting sqref="P258:BG258">
    <cfRule type="cellIs" dxfId="11" priority="14" operator="greaterThan">
      <formula>$C$258</formula>
    </cfRule>
  </conditionalFormatting>
  <conditionalFormatting sqref="P212:BG212">
    <cfRule type="cellIs" dxfId="10" priority="13" operator="equal">
      <formula>0</formula>
    </cfRule>
  </conditionalFormatting>
  <conditionalFormatting sqref="P219:BF219 P221:BF221 Q223:BF223">
    <cfRule type="cellIs" dxfId="9" priority="12" operator="equal">
      <formula>0</formula>
    </cfRule>
  </conditionalFormatting>
  <conditionalFormatting sqref="D242">
    <cfRule type="cellIs" dxfId="8" priority="9" operator="greaterThan">
      <formula>$B$242</formula>
    </cfRule>
  </conditionalFormatting>
  <conditionalFormatting sqref="D244">
    <cfRule type="cellIs" dxfId="7" priority="8" operator="greaterThan">
      <formula>$B$244</formula>
    </cfRule>
  </conditionalFormatting>
  <conditionalFormatting sqref="D246">
    <cfRule type="cellIs" dxfId="6" priority="7" operator="greaterThan">
      <formula>$B$246</formula>
    </cfRule>
  </conditionalFormatting>
  <conditionalFormatting sqref="D248">
    <cfRule type="cellIs" dxfId="5" priority="6" operator="greaterThan">
      <formula>$B$248</formula>
    </cfRule>
  </conditionalFormatting>
  <conditionalFormatting sqref="D250">
    <cfRule type="cellIs" dxfId="4" priority="5" operator="greaterThan">
      <formula>$B$250</formula>
    </cfRule>
  </conditionalFormatting>
  <conditionalFormatting sqref="D252">
    <cfRule type="cellIs" dxfId="3" priority="4" operator="greaterThan">
      <formula>$B$252</formula>
    </cfRule>
  </conditionalFormatting>
  <conditionalFormatting sqref="D254">
    <cfRule type="cellIs" dxfId="2" priority="3" operator="greaterThan">
      <formula>$B$254</formula>
    </cfRule>
  </conditionalFormatting>
  <conditionalFormatting sqref="D256">
    <cfRule type="cellIs" dxfId="1" priority="2" operator="greaterThan">
      <formula>$B$256</formula>
    </cfRule>
  </conditionalFormatting>
  <conditionalFormatting sqref="D258">
    <cfRule type="cellIs" dxfId="0" priority="1" operator="greaterThan">
      <formula>$B$258</formula>
    </cfRule>
  </conditionalFormatting>
  <hyperlinks>
    <hyperlink ref="E241" r:id="rId1" location="case-fatality-rate-of-covid-19-by-age" xr:uid="{0058192C-B05A-45D2-8597-C1F9B3D9241E}"/>
    <hyperlink ref="E264" r:id="rId2" location="case-fatality-rate-of-covid-19-by-preexisting-health-conditions" xr:uid="{110A2613-24A6-4768-B90C-571B307D13E2}"/>
    <hyperlink ref="B197" r:id="rId3" display="https://cmmid.github.io/topics/covid19/severity/global_cfr_estimates.html" xr:uid="{478D393B-144B-447C-BE80-8DB4A6AAAE87}"/>
  </hyperlinks>
  <pageMargins left="0.7" right="0.7" top="0.75" bottom="0.75" header="0.3" footer="0.3"/>
  <pageSetup paperSize="9" orientation="portrait" horizontalDpi="0" verticalDpi="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I5" sqref="I5"/>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9" t="s">
        <v>117</v>
      </c>
      <c r="C3" s="163">
        <f>Projections!B194</f>
        <v>330565500</v>
      </c>
      <c r="J3" s="2"/>
    </row>
    <row r="4" spans="2:10" x14ac:dyDescent="0.25">
      <c r="B4" s="180" t="s">
        <v>134</v>
      </c>
      <c r="C4" s="163">
        <f>Projections!P210</f>
        <v>31.25</v>
      </c>
      <c r="J4" s="2"/>
    </row>
    <row r="5" spans="2:10" x14ac:dyDescent="0.25">
      <c r="B5" s="180" t="s">
        <v>135</v>
      </c>
      <c r="C5" s="161">
        <f>Projections!P209</f>
        <v>43882</v>
      </c>
      <c r="J5" s="2"/>
    </row>
    <row r="6" spans="2:10" x14ac:dyDescent="0.25">
      <c r="B6" s="180" t="s">
        <v>118</v>
      </c>
      <c r="C6" s="163">
        <v>1571131</v>
      </c>
    </row>
    <row r="7" spans="2:10" x14ac:dyDescent="0.25">
      <c r="B7" s="180" t="s">
        <v>120</v>
      </c>
      <c r="C7" s="161">
        <f ca="1">NOW()</f>
        <v>43971.937935879629</v>
      </c>
    </row>
    <row r="8" spans="2:10" x14ac:dyDescent="0.25">
      <c r="B8" s="180" t="s">
        <v>136</v>
      </c>
      <c r="C8" s="162">
        <f ca="1">C7-C5</f>
        <v>89.93793587962864</v>
      </c>
    </row>
    <row r="9" spans="2:10" x14ac:dyDescent="0.25">
      <c r="B9" s="180" t="s">
        <v>119</v>
      </c>
      <c r="C9" s="164">
        <f ca="1">C8/(LOG(C6/C4)/LOG(2))</f>
        <v>5.7587597555851504</v>
      </c>
      <c r="D9" t="s">
        <v>98</v>
      </c>
      <c r="F9" t="s">
        <v>137</v>
      </c>
    </row>
    <row r="10" spans="2:10" x14ac:dyDescent="0.25">
      <c r="B10" s="180" t="s">
        <v>124</v>
      </c>
      <c r="C10" s="163">
        <f>Projections!C199</f>
        <v>793357.2</v>
      </c>
    </row>
    <row r="11" spans="2:10" x14ac:dyDescent="0.25">
      <c r="B11" s="181" t="s">
        <v>125</v>
      </c>
      <c r="C11" s="168">
        <f>Projections!C200</f>
        <v>114706.22850000001</v>
      </c>
    </row>
    <row r="12" spans="2:10" s="69" customFormat="1" x14ac:dyDescent="0.25">
      <c r="B12" s="62" t="s">
        <v>165</v>
      </c>
      <c r="C12" s="169">
        <f>C6/Projections!B197</f>
        <v>13092758.333333334</v>
      </c>
    </row>
    <row r="13" spans="2:10" s="69" customFormat="1" x14ac:dyDescent="0.25">
      <c r="B13" s="48" t="s">
        <v>166</v>
      </c>
      <c r="C13" s="170">
        <f ca="1">(C4/Projections!B197)*(2^(((C7-21)-C5)/C9))</f>
        <v>1045417.0846812758</v>
      </c>
    </row>
    <row r="14" spans="2:10" s="69" customFormat="1" x14ac:dyDescent="0.25">
      <c r="B14" s="49" t="s">
        <v>167</v>
      </c>
      <c r="C14" s="151">
        <f ca="1">C12-C13</f>
        <v>12047341.248652058</v>
      </c>
      <c r="E14" s="166"/>
      <c r="F14" s="167" t="s">
        <v>141</v>
      </c>
      <c r="G14" s="165"/>
    </row>
    <row r="15" spans="2:10" x14ac:dyDescent="0.25">
      <c r="B15" s="4" t="s">
        <v>138</v>
      </c>
      <c r="C15" s="64">
        <f>C6*Projections!B202</f>
        <v>1272616.1100000001</v>
      </c>
      <c r="I15" s="160"/>
    </row>
    <row r="16" spans="2:10" x14ac:dyDescent="0.25">
      <c r="B16" s="41" t="s">
        <v>148</v>
      </c>
      <c r="C16" s="83">
        <f ca="1">(C4*Projections!B202)*(2^(((C7-21)-C5)/C9))</f>
        <v>101614.54063101999</v>
      </c>
      <c r="I16" s="160"/>
    </row>
    <row r="17" spans="2:9" x14ac:dyDescent="0.25">
      <c r="B17" s="41" t="s">
        <v>139</v>
      </c>
      <c r="C17" s="83">
        <f ca="1">C15-C16</f>
        <v>1171001.5693689801</v>
      </c>
      <c r="F17" t="s">
        <v>142</v>
      </c>
      <c r="I17" s="160"/>
    </row>
    <row r="18" spans="2:9" x14ac:dyDescent="0.25">
      <c r="B18" s="4" t="s">
        <v>144</v>
      </c>
      <c r="C18" s="64">
        <f>C6*Projections!B203</f>
        <v>219958.34000000003</v>
      </c>
    </row>
    <row r="19" spans="2:9" x14ac:dyDescent="0.25">
      <c r="B19" s="41" t="s">
        <v>149</v>
      </c>
      <c r="C19" s="83">
        <f ca="1">(C4*Projections!B203)*(2^(((C7-49)-C5)/C9))</f>
        <v>603.87001266596633</v>
      </c>
    </row>
    <row r="20" spans="2:9" x14ac:dyDescent="0.25">
      <c r="B20" s="41" t="s">
        <v>143</v>
      </c>
      <c r="C20" s="83">
        <f ca="1">C18-C19</f>
        <v>219354.46998733407</v>
      </c>
      <c r="F20" t="s">
        <v>147</v>
      </c>
    </row>
    <row r="21" spans="2:9" x14ac:dyDescent="0.25">
      <c r="B21" s="4" t="s">
        <v>145</v>
      </c>
      <c r="C21" s="64">
        <f>C6*Projections!B204</f>
        <v>78556.55</v>
      </c>
      <c r="I21" s="160"/>
    </row>
    <row r="22" spans="2:9" x14ac:dyDescent="0.25">
      <c r="B22" s="41" t="s">
        <v>150</v>
      </c>
      <c r="C22" s="83">
        <f ca="1">(C4*Projections!B204)*(2^(((C7-49)-C5)/C9))</f>
        <v>215.66786166641654</v>
      </c>
      <c r="I22" s="160"/>
    </row>
    <row r="23" spans="2:9" x14ac:dyDescent="0.25">
      <c r="B23" s="41" t="s">
        <v>146</v>
      </c>
      <c r="C23" s="83">
        <f ca="1">C21-C22</f>
        <v>78340.882138333589</v>
      </c>
      <c r="I23" s="160"/>
    </row>
    <row r="24" spans="2:9" x14ac:dyDescent="0.25">
      <c r="B24" s="4" t="s">
        <v>151</v>
      </c>
      <c r="C24" s="64">
        <f>C6*Projections!B205</f>
        <v>92696.728999999992</v>
      </c>
    </row>
    <row r="25" spans="2:9" x14ac:dyDescent="0.25">
      <c r="B25" s="37" t="s">
        <v>152</v>
      </c>
      <c r="C25" s="61">
        <f ca="1">(C4*Projections!B205)*(2^(((C7-42)-C5)/C9))</f>
        <v>590.99157870960255</v>
      </c>
      <c r="F25" t="s">
        <v>153</v>
      </c>
    </row>
    <row r="26" spans="2:9" x14ac:dyDescent="0.25">
      <c r="B26" s="41" t="s">
        <v>129</v>
      </c>
      <c r="C26" s="173">
        <f ca="1">C9*(LOG(C10/C21)/LOG(2))</f>
        <v>19.212184789631408</v>
      </c>
      <c r="D26" t="s">
        <v>98</v>
      </c>
      <c r="F26" s="69" t="s">
        <v>154</v>
      </c>
    </row>
    <row r="27" spans="2:9" x14ac:dyDescent="0.25">
      <c r="B27" s="37" t="s">
        <v>126</v>
      </c>
      <c r="C27" s="172">
        <f ca="1">C7+C26</f>
        <v>43991.150120669263</v>
      </c>
      <c r="F27" t="s">
        <v>155</v>
      </c>
    </row>
    <row r="28" spans="2:9" x14ac:dyDescent="0.25">
      <c r="B28" s="4" t="s">
        <v>130</v>
      </c>
      <c r="C28" s="171">
        <f ca="1">C9*(LOG(C11/C21)/LOG(2))</f>
        <v>3.145090518428928</v>
      </c>
      <c r="D28" t="s">
        <v>98</v>
      </c>
    </row>
    <row r="29" spans="2:9" x14ac:dyDescent="0.25">
      <c r="B29" s="37" t="s">
        <v>127</v>
      </c>
      <c r="C29" s="172">
        <f ca="1">C7+C28</f>
        <v>43975.083026398061</v>
      </c>
      <c r="F29" t="s">
        <v>155</v>
      </c>
    </row>
    <row r="30" spans="2:9" x14ac:dyDescent="0.25">
      <c r="B30" s="4" t="s">
        <v>131</v>
      </c>
      <c r="C30" s="171">
        <f ca="1">C9*(LOG((C3*0.6)/C12)/LOG(2))</f>
        <v>22.580843297310853</v>
      </c>
      <c r="D30" t="s">
        <v>98</v>
      </c>
    </row>
    <row r="31" spans="2:9" x14ac:dyDescent="0.25">
      <c r="B31" s="37" t="s">
        <v>128</v>
      </c>
      <c r="C31" s="172">
        <f ca="1">C7+C30</f>
        <v>43994.518779176942</v>
      </c>
    </row>
    <row r="34" spans="2:6" x14ac:dyDescent="0.25">
      <c r="B34" s="4" t="s">
        <v>132</v>
      </c>
      <c r="C34" s="161">
        <f ca="1">C7+30</f>
        <v>44001.937935879629</v>
      </c>
      <c r="F34" t="s">
        <v>168</v>
      </c>
    </row>
    <row r="35" spans="2:6" x14ac:dyDescent="0.25">
      <c r="B35" s="41" t="s">
        <v>133</v>
      </c>
      <c r="C35" s="83">
        <f ca="1">C6*(2^((C34-C7)/C9))</f>
        <v>58131914.236945532</v>
      </c>
      <c r="F35" t="s">
        <v>140</v>
      </c>
    </row>
    <row r="36" spans="2:6" x14ac:dyDescent="0.25">
      <c r="B36" s="41" t="s">
        <v>187</v>
      </c>
      <c r="C36" s="83">
        <f ca="1">C35/Projections!B197</f>
        <v>484432618.64121276</v>
      </c>
    </row>
    <row r="37" spans="2:6" x14ac:dyDescent="0.25">
      <c r="B37" s="41" t="s">
        <v>74</v>
      </c>
      <c r="C37" s="83">
        <f ca="1">C35*Projections!B202</f>
        <v>47086850.531925887</v>
      </c>
    </row>
    <row r="38" spans="2:6" x14ac:dyDescent="0.25">
      <c r="B38" s="41" t="s">
        <v>121</v>
      </c>
      <c r="C38" s="83">
        <f ca="1">C35*Projections!B203</f>
        <v>8138467.9931723755</v>
      </c>
    </row>
    <row r="39" spans="2:6" x14ac:dyDescent="0.25">
      <c r="B39" s="41" t="s">
        <v>122</v>
      </c>
      <c r="C39" s="83">
        <f ca="1">C35*Projections!B204</f>
        <v>2906595.7118472769</v>
      </c>
    </row>
    <row r="40" spans="2:6" x14ac:dyDescent="0.25">
      <c r="B40" s="37" t="s">
        <v>123</v>
      </c>
      <c r="C40" s="61">
        <f ca="1">C35*Projections!B205</f>
        <v>3429782.9399797861</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299" t="s">
        <v>182</v>
      </c>
      <c r="B2" s="229"/>
      <c r="C2" s="76"/>
    </row>
    <row r="3" spans="1:4" ht="30" x14ac:dyDescent="0.25">
      <c r="A3" s="299"/>
      <c r="B3" s="229" t="s">
        <v>183</v>
      </c>
      <c r="C3" s="76"/>
    </row>
    <row r="4" spans="1:4" x14ac:dyDescent="0.25">
      <c r="A4" s="298" t="s">
        <v>47</v>
      </c>
      <c r="B4" s="232">
        <v>308745538</v>
      </c>
      <c r="C4" s="76"/>
    </row>
    <row r="5" spans="1:4" x14ac:dyDescent="0.25">
      <c r="A5" s="298"/>
      <c r="B5" s="230">
        <v>1</v>
      </c>
      <c r="C5" s="76"/>
    </row>
    <row r="6" spans="1:4" x14ac:dyDescent="0.25">
      <c r="A6" s="298" t="s">
        <v>21</v>
      </c>
      <c r="B6" s="232">
        <v>20201362</v>
      </c>
      <c r="C6" s="76"/>
    </row>
    <row r="7" spans="1:4" x14ac:dyDescent="0.25">
      <c r="A7" s="298"/>
      <c r="B7" s="231">
        <f>B6/$B$4</f>
        <v>6.5430458139932701E-2</v>
      </c>
      <c r="C7" s="77"/>
    </row>
    <row r="8" spans="1:4" x14ac:dyDescent="0.25">
      <c r="A8" s="298" t="s">
        <v>22</v>
      </c>
      <c r="B8" s="232">
        <v>20348657</v>
      </c>
      <c r="C8" s="76"/>
    </row>
    <row r="9" spans="1:4" x14ac:dyDescent="0.25">
      <c r="A9" s="298"/>
      <c r="B9" s="231">
        <f>B8/$B$4</f>
        <v>6.590753386045696E-2</v>
      </c>
      <c r="C9" s="232">
        <f>B6+B8</f>
        <v>40550019</v>
      </c>
      <c r="D9" s="1">
        <f>C9/$B$4</f>
        <v>0.13133799200038965</v>
      </c>
    </row>
    <row r="10" spans="1:4" x14ac:dyDescent="0.25">
      <c r="A10" s="298" t="s">
        <v>23</v>
      </c>
      <c r="B10" s="232">
        <v>20677194</v>
      </c>
      <c r="C10" s="76"/>
    </row>
    <row r="11" spans="1:4" x14ac:dyDescent="0.25">
      <c r="A11" s="298"/>
      <c r="B11" s="231">
        <f>B10/$B$4</f>
        <v>6.6971636688074182E-2</v>
      </c>
      <c r="C11" s="76"/>
    </row>
    <row r="12" spans="1:4" x14ac:dyDescent="0.25">
      <c r="A12" s="298" t="s">
        <v>24</v>
      </c>
      <c r="B12" s="232">
        <v>22040343</v>
      </c>
      <c r="C12" s="76"/>
    </row>
    <row r="13" spans="1:4" x14ac:dyDescent="0.25">
      <c r="A13" s="298"/>
      <c r="B13" s="231">
        <f>B12/$B$4</f>
        <v>7.13867579844992E-2</v>
      </c>
      <c r="C13" s="232">
        <f>B10+B12</f>
        <v>42717537</v>
      </c>
      <c r="D13" s="1">
        <f>C13/$B$4</f>
        <v>0.13835839467257338</v>
      </c>
    </row>
    <row r="14" spans="1:4" x14ac:dyDescent="0.25">
      <c r="A14" s="298" t="s">
        <v>25</v>
      </c>
      <c r="B14" s="232">
        <v>21585999</v>
      </c>
      <c r="C14" s="76"/>
    </row>
    <row r="15" spans="1:4" x14ac:dyDescent="0.25">
      <c r="A15" s="298"/>
      <c r="B15" s="231">
        <f>B14/$B$4</f>
        <v>6.9915177203305853E-2</v>
      </c>
      <c r="C15" s="76"/>
    </row>
    <row r="16" spans="1:4" x14ac:dyDescent="0.25">
      <c r="A16" s="298" t="s">
        <v>26</v>
      </c>
      <c r="B16" s="232">
        <v>21101849</v>
      </c>
      <c r="C16" s="76"/>
    </row>
    <row r="17" spans="1:4" x14ac:dyDescent="0.25">
      <c r="A17" s="298"/>
      <c r="B17" s="231">
        <f>B16/$B$4</f>
        <v>6.8347057375125531E-2</v>
      </c>
      <c r="C17" s="232">
        <f>B14+B16</f>
        <v>42687848</v>
      </c>
      <c r="D17" s="1">
        <f>C17/$B$4</f>
        <v>0.13826223457843137</v>
      </c>
    </row>
    <row r="18" spans="1:4" x14ac:dyDescent="0.25">
      <c r="A18" s="298" t="s">
        <v>27</v>
      </c>
      <c r="B18" s="232">
        <v>19962099</v>
      </c>
      <c r="C18" s="76"/>
    </row>
    <row r="19" spans="1:4" x14ac:dyDescent="0.25">
      <c r="A19" s="298"/>
      <c r="B19" s="231">
        <f>B18/$B$4</f>
        <v>6.465550604977488E-2</v>
      </c>
      <c r="C19" s="77"/>
    </row>
    <row r="20" spans="1:4" x14ac:dyDescent="0.25">
      <c r="A20" s="298" t="s">
        <v>28</v>
      </c>
      <c r="B20" s="232">
        <v>20179642</v>
      </c>
      <c r="C20" s="76"/>
    </row>
    <row r="21" spans="1:4" x14ac:dyDescent="0.25">
      <c r="A21" s="298"/>
      <c r="B21" s="231">
        <f>B20/$B$4</f>
        <v>6.5360108945121009E-2</v>
      </c>
      <c r="C21" s="232">
        <f>B18+B20</f>
        <v>40141741</v>
      </c>
      <c r="D21" s="1">
        <f>C21/$B$4</f>
        <v>0.13001561499489589</v>
      </c>
    </row>
    <row r="22" spans="1:4" x14ac:dyDescent="0.25">
      <c r="A22" s="298" t="s">
        <v>29</v>
      </c>
      <c r="B22" s="232">
        <v>20890964</v>
      </c>
      <c r="C22" s="76"/>
    </row>
    <row r="23" spans="1:4" x14ac:dyDescent="0.25">
      <c r="A23" s="298"/>
      <c r="B23" s="231">
        <f>B22/$B$4</f>
        <v>6.7664019163898012E-2</v>
      </c>
      <c r="C23" s="76"/>
    </row>
    <row r="24" spans="1:4" x14ac:dyDescent="0.25">
      <c r="A24" s="298" t="s">
        <v>30</v>
      </c>
      <c r="B24" s="232">
        <v>22708591</v>
      </c>
      <c r="C24" s="76"/>
    </row>
    <row r="25" spans="1:4" x14ac:dyDescent="0.25">
      <c r="A25" s="298"/>
      <c r="B25" s="231">
        <f>B24/$B$4</f>
        <v>7.3551155255885833E-2</v>
      </c>
      <c r="C25" s="232">
        <f>B22+B24</f>
        <v>43599555</v>
      </c>
      <c r="D25" s="1">
        <f>C25/$B$4</f>
        <v>0.14121517441978385</v>
      </c>
    </row>
    <row r="26" spans="1:4" x14ac:dyDescent="0.25">
      <c r="A26" s="298" t="s">
        <v>31</v>
      </c>
      <c r="B26" s="232">
        <v>22298125</v>
      </c>
      <c r="C26" s="76"/>
    </row>
    <row r="27" spans="1:4" x14ac:dyDescent="0.25">
      <c r="A27" s="298"/>
      <c r="B27" s="231">
        <f>B26/$B$4</f>
        <v>7.2221691508299629E-2</v>
      </c>
      <c r="C27" s="76"/>
    </row>
    <row r="28" spans="1:4" x14ac:dyDescent="0.25">
      <c r="A28" s="298" t="s">
        <v>32</v>
      </c>
      <c r="B28" s="232">
        <v>19664805</v>
      </c>
      <c r="C28" s="76"/>
    </row>
    <row r="29" spans="1:4" x14ac:dyDescent="0.25">
      <c r="A29" s="298"/>
      <c r="B29" s="231">
        <f>B28/$B$4</f>
        <v>6.3692596587420158E-2</v>
      </c>
      <c r="C29" s="232">
        <f>B26+B28</f>
        <v>41962930</v>
      </c>
      <c r="D29" s="1">
        <f>C29/$B$4</f>
        <v>0.13591428809571979</v>
      </c>
    </row>
    <row r="30" spans="1:4" x14ac:dyDescent="0.25">
      <c r="A30" s="298" t="s">
        <v>33</v>
      </c>
      <c r="B30" s="232">
        <v>16817924</v>
      </c>
      <c r="C30" s="76"/>
    </row>
    <row r="31" spans="1:4" x14ac:dyDescent="0.25">
      <c r="A31" s="298"/>
      <c r="B31" s="231">
        <f>B30/$B$4</f>
        <v>5.4471796123576693E-2</v>
      </c>
      <c r="C31" s="77"/>
    </row>
    <row r="32" spans="1:4" x14ac:dyDescent="0.25">
      <c r="A32" s="298" t="s">
        <v>34</v>
      </c>
      <c r="B32" s="232">
        <v>12435263</v>
      </c>
      <c r="C32" s="76"/>
    </row>
    <row r="33" spans="1:4" x14ac:dyDescent="0.25">
      <c r="A33" s="298"/>
      <c r="B33" s="231">
        <f>B32/$B$4</f>
        <v>4.027673753782314E-2</v>
      </c>
      <c r="C33" s="232">
        <f>B30+B32</f>
        <v>29253187</v>
      </c>
      <c r="D33" s="1">
        <f>C33/$B$4</f>
        <v>9.4748533661399834E-2</v>
      </c>
    </row>
    <row r="34" spans="1:4" x14ac:dyDescent="0.25">
      <c r="A34" s="298" t="s">
        <v>35</v>
      </c>
      <c r="B34" s="232">
        <v>9278166</v>
      </c>
      <c r="C34" s="76"/>
    </row>
    <row r="35" spans="1:4" x14ac:dyDescent="0.25">
      <c r="A35" s="298"/>
      <c r="B35" s="231">
        <f>B34/$B$4</f>
        <v>3.0051174375190486E-2</v>
      </c>
      <c r="C35" s="76"/>
    </row>
    <row r="36" spans="1:4" x14ac:dyDescent="0.25">
      <c r="A36" s="298" t="s">
        <v>36</v>
      </c>
      <c r="B36" s="232">
        <v>7317795</v>
      </c>
      <c r="C36" s="76"/>
    </row>
    <row r="37" spans="1:4" x14ac:dyDescent="0.25">
      <c r="A37" s="298"/>
      <c r="B37" s="231">
        <f>B36/$B$4</f>
        <v>2.370170285667416E-2</v>
      </c>
      <c r="C37" s="232">
        <f>B34+B36</f>
        <v>16595961</v>
      </c>
      <c r="D37" s="1">
        <f>C37/$B$4</f>
        <v>5.3752877231864643E-2</v>
      </c>
    </row>
    <row r="38" spans="1:4" x14ac:dyDescent="0.25">
      <c r="A38" s="298" t="s">
        <v>37</v>
      </c>
      <c r="B38" s="232">
        <v>5743327</v>
      </c>
      <c r="C38" s="76"/>
    </row>
    <row r="39" spans="1:4" x14ac:dyDescent="0.25">
      <c r="A39" s="298"/>
      <c r="B39" s="231">
        <f>B38/$B$4</f>
        <v>1.8602137660690663E-2</v>
      </c>
      <c r="C39" s="76"/>
    </row>
    <row r="40" spans="1:4" x14ac:dyDescent="0.25">
      <c r="A40" s="298" t="s">
        <v>181</v>
      </c>
      <c r="B40" s="232">
        <v>5493433</v>
      </c>
      <c r="C40" s="76"/>
    </row>
    <row r="41" spans="1:4" x14ac:dyDescent="0.25">
      <c r="A41" s="298"/>
      <c r="B41" s="231">
        <f>B40/$B$4</f>
        <v>1.7792752684250939E-2</v>
      </c>
      <c r="C41" s="23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24:A25"/>
    <mergeCell ref="A2:A3"/>
    <mergeCell ref="A4:A5"/>
    <mergeCell ref="A6:A7"/>
    <mergeCell ref="A8:A9"/>
    <mergeCell ref="A10:A11"/>
    <mergeCell ref="A12:A13"/>
    <mergeCell ref="A14:A15"/>
    <mergeCell ref="A16:A17"/>
    <mergeCell ref="A18:A19"/>
    <mergeCell ref="A20:A21"/>
    <mergeCell ref="A22:A23"/>
    <mergeCell ref="A38:A39"/>
    <mergeCell ref="A40:A41"/>
    <mergeCell ref="A26:A27"/>
    <mergeCell ref="A28:A29"/>
    <mergeCell ref="A30:A31"/>
    <mergeCell ref="A32:A33"/>
    <mergeCell ref="A34:A35"/>
    <mergeCell ref="A36:A37"/>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184</v>
      </c>
    </row>
    <row r="2" spans="1:3" x14ac:dyDescent="0.25">
      <c r="A2" t="s">
        <v>185</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2020-05-20T12:30:38Z</dcterms:modified>
</cp:coreProperties>
</file>