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B8DBE198-2D9B-4831-B303-EB602F7FF5D8}" xr6:coauthVersionLast="46" xr6:coauthVersionMax="46" xr10:uidLastSave="{00000000-0000-0000-0000-000000000000}"/>
  <bookViews>
    <workbookView xWindow="2910" yWindow="1950" windowWidth="28800" windowHeight="15435"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95" i="1" l="1"/>
  <c r="AF95" i="1"/>
  <c r="AG95" i="1"/>
  <c r="L81" i="1" l="1"/>
  <c r="L79" i="1"/>
  <c r="T18" i="3"/>
  <c r="AC95" i="1" l="1"/>
  <c r="AD95" i="1"/>
  <c r="AA95" i="1"/>
  <c r="AB95" i="1"/>
  <c r="Z95" i="1" l="1"/>
  <c r="Y95" i="1" l="1"/>
  <c r="X95" i="1" l="1"/>
  <c r="W95" i="1" l="1"/>
  <c r="V95" i="1" l="1"/>
  <c r="B57" i="1" l="1"/>
  <c r="D7" i="3" l="1"/>
  <c r="D8" i="3"/>
  <c r="D9" i="3"/>
  <c r="D10" i="3"/>
  <c r="D11" i="3"/>
  <c r="D12" i="3"/>
  <c r="D13" i="3"/>
  <c r="F27" i="3" s="1"/>
  <c r="J115" i="1" s="1"/>
  <c r="D14" i="3"/>
  <c r="F28" i="3" s="1"/>
  <c r="J117" i="1" s="1"/>
  <c r="D6" i="3"/>
  <c r="B30" i="3"/>
  <c r="C30" i="3"/>
  <c r="D21" i="3"/>
  <c r="D22" i="3"/>
  <c r="D23" i="3"/>
  <c r="D24" i="3"/>
  <c r="D25" i="3"/>
  <c r="D26" i="3"/>
  <c r="D27" i="3"/>
  <c r="D28" i="3"/>
  <c r="D20" i="3"/>
  <c r="F26" i="3" l="1"/>
  <c r="J113" i="1" s="1"/>
  <c r="F24" i="3"/>
  <c r="J109" i="1" s="1"/>
  <c r="F23" i="3"/>
  <c r="J107" i="1" s="1"/>
  <c r="F22" i="3"/>
  <c r="J105" i="1" s="1"/>
  <c r="F25" i="3"/>
  <c r="J111" i="1" s="1"/>
  <c r="F20" i="3"/>
  <c r="J101" i="1" s="1"/>
  <c r="D30" i="3"/>
  <c r="E25" i="3" s="1"/>
  <c r="F21" i="3"/>
  <c r="J103" i="1" s="1"/>
  <c r="U95" i="1"/>
  <c r="E28" i="3" l="1"/>
  <c r="E27" i="3"/>
  <c r="E26" i="3"/>
  <c r="E22" i="3"/>
  <c r="E23" i="3"/>
  <c r="E24" i="3"/>
  <c r="C31" i="3"/>
  <c r="E21" i="3"/>
  <c r="B31" i="3"/>
  <c r="E20" i="3"/>
  <c r="T95" i="1"/>
  <c r="Q95" i="1" l="1"/>
  <c r="R95" i="1"/>
  <c r="S95" i="1"/>
  <c r="P95" i="1"/>
  <c r="N95" i="1"/>
  <c r="O95" i="1"/>
  <c r="M95" i="1"/>
  <c r="L95" i="1"/>
  <c r="E34" i="4" l="1"/>
  <c r="C45" i="4"/>
  <c r="M68" i="1" l="1"/>
  <c r="N68" i="1" l="1"/>
  <c r="L93" i="1"/>
  <c r="S7" i="1"/>
  <c r="S6" i="1"/>
  <c r="R5" i="1"/>
  <c r="P4" i="1"/>
  <c r="O3" i="1"/>
  <c r="L2" i="1"/>
  <c r="U14" i="1"/>
  <c r="T13" i="1"/>
  <c r="S10" i="1"/>
  <c r="S9" i="1"/>
  <c r="L91" i="1"/>
  <c r="L90" i="1"/>
  <c r="O68" i="1" l="1"/>
  <c r="L80" i="1"/>
  <c r="L82" i="1"/>
  <c r="P68" i="1" l="1"/>
  <c r="L77" i="1"/>
  <c r="L78" i="1" s="1"/>
  <c r="L73" i="1"/>
  <c r="L75" i="1" s="1"/>
  <c r="L76" i="1" s="1"/>
  <c r="C12" i="5"/>
  <c r="C7" i="5"/>
  <c r="C8" i="5" s="1"/>
  <c r="C9" i="5" s="1"/>
  <c r="C21" i="5"/>
  <c r="C18" i="5"/>
  <c r="C15" i="5"/>
  <c r="C24" i="5"/>
  <c r="C3" i="5"/>
  <c r="Q68" i="1" l="1"/>
  <c r="C30" i="5"/>
  <c r="L71" i="1"/>
  <c r="L72" i="1" s="1"/>
  <c r="C34" i="5"/>
  <c r="R68" i="1" l="1"/>
  <c r="C13" i="5"/>
  <c r="C14" i="5" s="1"/>
  <c r="L74" i="1"/>
  <c r="AT70" i="1"/>
  <c r="AT69" i="1" s="1"/>
  <c r="AT73" i="1"/>
  <c r="AS69" i="1"/>
  <c r="L86" i="1"/>
  <c r="L84" i="1"/>
  <c r="L87" i="1"/>
  <c r="L85" i="1"/>
  <c r="AS70" i="1" l="1"/>
  <c r="AS79" i="1"/>
  <c r="AS81" i="1"/>
  <c r="S68" i="1"/>
  <c r="AT74" i="1"/>
  <c r="AT75" i="1"/>
  <c r="AT83" i="1"/>
  <c r="AT77" i="1"/>
  <c r="AT81" i="1"/>
  <c r="AT79" i="1"/>
  <c r="AS92" i="1"/>
  <c r="AT92" i="1" s="1"/>
  <c r="AS77" i="1"/>
  <c r="AS73" i="1"/>
  <c r="AS75" i="1" s="1"/>
  <c r="C22" i="5"/>
  <c r="C23" i="5" s="1"/>
  <c r="C35" i="5"/>
  <c r="C40" i="5" s="1"/>
  <c r="C25" i="5"/>
  <c r="C19" i="5"/>
  <c r="C20" i="5" s="1"/>
  <c r="C16" i="5"/>
  <c r="C17" i="5" s="1"/>
  <c r="C31" i="5"/>
  <c r="AP25" i="4"/>
  <c r="E31" i="4"/>
  <c r="B17" i="4" s="1"/>
  <c r="B18" i="4" l="1"/>
  <c r="H21" i="4" s="1"/>
  <c r="V24" i="4" s="1"/>
  <c r="K20" i="4"/>
  <c r="Y68"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T68" i="1" l="1"/>
  <c r="U68" i="1"/>
  <c r="U93" i="1" s="1"/>
  <c r="V68" i="1"/>
  <c r="W68" i="1"/>
  <c r="W90" i="1" s="1"/>
  <c r="X68" i="1"/>
  <c r="X90" i="1" s="1"/>
  <c r="AD68" i="1"/>
  <c r="E18" i="4"/>
  <c r="E19" i="4" s="1"/>
  <c r="H17" i="4"/>
  <c r="B19" i="4"/>
  <c r="L123" i="1"/>
  <c r="L124" i="1" s="1"/>
  <c r="Z68" i="1" l="1"/>
  <c r="AB68" i="1"/>
  <c r="W91" i="1"/>
  <c r="AA68" i="1"/>
  <c r="AA90" i="1" s="1"/>
  <c r="AC68" i="1"/>
  <c r="AC90" i="1" s="1"/>
  <c r="AB90" i="1"/>
  <c r="Z90" i="1"/>
  <c r="X91" i="1"/>
  <c r="V90" i="1"/>
  <c r="V93" i="1"/>
  <c r="V91" i="1"/>
  <c r="T90" i="1"/>
  <c r="T93" i="1"/>
  <c r="T91" i="1"/>
  <c r="U90" i="1"/>
  <c r="U91" i="1"/>
  <c r="AI68" i="1"/>
  <c r="AH68" i="1" s="1"/>
  <c r="H18" i="4"/>
  <c r="H19" i="4" s="1"/>
  <c r="Q20" i="4"/>
  <c r="K17" i="4"/>
  <c r="T20" i="4" s="1"/>
  <c r="K21" i="4"/>
  <c r="Y24" i="4" s="1"/>
  <c r="D16" i="3"/>
  <c r="AE68" i="1" l="1"/>
  <c r="AF68" i="1"/>
  <c r="AG68" i="1"/>
  <c r="AH90" i="1"/>
  <c r="AH91" i="1"/>
  <c r="AC91" i="1"/>
  <c r="AB91" i="1"/>
  <c r="Z91" i="1"/>
  <c r="AA91" i="1"/>
  <c r="AJ68" i="1"/>
  <c r="K18" i="4"/>
  <c r="K19" i="4" s="1"/>
  <c r="N22" i="4"/>
  <c r="N17" i="4"/>
  <c r="W20" i="4" s="1"/>
  <c r="N21" i="4"/>
  <c r="AB24" i="4" s="1"/>
  <c r="AG90" i="1" l="1"/>
  <c r="AG91" i="1"/>
  <c r="AG93" i="1"/>
  <c r="AF91" i="1"/>
  <c r="AF93" i="1"/>
  <c r="AF90" i="1"/>
  <c r="AE91" i="1"/>
  <c r="AE93" i="1"/>
  <c r="AE90" i="1"/>
  <c r="AK68" i="1"/>
  <c r="Q17" i="4"/>
  <c r="T17" i="4" s="1"/>
  <c r="N18" i="4"/>
  <c r="N19" i="4" s="1"/>
  <c r="Q21" i="4"/>
  <c r="AE24" i="4" s="1"/>
  <c r="Q22" i="4"/>
  <c r="B116" i="1"/>
  <c r="B114" i="1"/>
  <c r="B112" i="1"/>
  <c r="B110" i="1"/>
  <c r="B108" i="1"/>
  <c r="B106" i="1"/>
  <c r="B104" i="1"/>
  <c r="B102" i="1"/>
  <c r="B100" i="1"/>
  <c r="AL68" i="1" l="1"/>
  <c r="T18" i="4"/>
  <c r="T19" i="4" s="1"/>
  <c r="AC20" i="4"/>
  <c r="Q18" i="4"/>
  <c r="Q19" i="4" s="1"/>
  <c r="Z20" i="4"/>
  <c r="T21" i="4"/>
  <c r="AH24" i="4" s="1"/>
  <c r="T22" i="4"/>
  <c r="T23" i="4"/>
  <c r="W17" i="4"/>
  <c r="W22" i="4" l="1"/>
  <c r="W23" i="4"/>
  <c r="W21" i="4"/>
  <c r="AK24" i="4" s="1"/>
  <c r="AM68" i="1"/>
  <c r="W18" i="4"/>
  <c r="W19" i="4" s="1"/>
  <c r="AF20" i="4"/>
  <c r="Z21" i="4"/>
  <c r="AN24" i="4" s="1"/>
  <c r="Z23" i="4"/>
  <c r="Z22" i="4"/>
  <c r="Z17" i="4"/>
  <c r="C133" i="1"/>
  <c r="C131" i="1"/>
  <c r="C129" i="1"/>
  <c r="C127" i="1"/>
  <c r="C125" i="1"/>
  <c r="C123" i="1"/>
  <c r="L83" i="1"/>
  <c r="E7" i="3"/>
  <c r="D102" i="1" s="1"/>
  <c r="AN68" i="1" l="1"/>
  <c r="Z18" i="4"/>
  <c r="Z19" i="4" s="1"/>
  <c r="AI20" i="4"/>
  <c r="AC21" i="4"/>
  <c r="AC22" i="4"/>
  <c r="AC23" i="4"/>
  <c r="AC17" i="4"/>
  <c r="AS127" i="1"/>
  <c r="AS128" i="1" s="1"/>
  <c r="AS83" i="1"/>
  <c r="AS123" i="1"/>
  <c r="AS124" i="1" s="1"/>
  <c r="AS129" i="1"/>
  <c r="AS130" i="1" s="1"/>
  <c r="AS125" i="1"/>
  <c r="AS126" i="1" s="1"/>
  <c r="AS133" i="1"/>
  <c r="AS131" i="1"/>
  <c r="AS132" i="1" s="1"/>
  <c r="AS102" i="1"/>
  <c r="AS103" i="1"/>
  <c r="E9" i="3"/>
  <c r="D106" i="1" s="1"/>
  <c r="E6" i="3"/>
  <c r="D100" i="1" s="1"/>
  <c r="E14" i="3"/>
  <c r="D116" i="1" s="1"/>
  <c r="E13" i="3"/>
  <c r="D114" i="1" s="1"/>
  <c r="E12" i="3"/>
  <c r="D112" i="1" s="1"/>
  <c r="E11" i="3"/>
  <c r="D110" i="1" s="1"/>
  <c r="E10" i="3"/>
  <c r="D108" i="1" s="1"/>
  <c r="E8" i="3"/>
  <c r="D104" i="1" s="1"/>
  <c r="C59" i="1"/>
  <c r="C10" i="5" s="1"/>
  <c r="C26" i="5" s="1"/>
  <c r="C27" i="5" s="1"/>
  <c r="C60" i="1"/>
  <c r="C11" i="5" s="1"/>
  <c r="C28" i="5" s="1"/>
  <c r="C29" i="5" s="1"/>
  <c r="L103" i="1"/>
  <c r="L133" i="1"/>
  <c r="L131" i="1"/>
  <c r="L129" i="1"/>
  <c r="L130" i="1" s="1"/>
  <c r="L127" i="1"/>
  <c r="L128" i="1" s="1"/>
  <c r="L125" i="1"/>
  <c r="L126" i="1" s="1"/>
  <c r="C102" i="1"/>
  <c r="C104" i="1"/>
  <c r="C106" i="1"/>
  <c r="C108" i="1"/>
  <c r="C110" i="1"/>
  <c r="C112" i="1"/>
  <c r="C114" i="1"/>
  <c r="C116" i="1"/>
  <c r="C100" i="1"/>
  <c r="C13" i="2"/>
  <c r="D13" i="2" s="1"/>
  <c r="C25" i="2"/>
  <c r="D25" i="2" s="1"/>
  <c r="C37" i="2"/>
  <c r="D37" i="2" s="1"/>
  <c r="D49" i="2"/>
  <c r="C49" i="2"/>
  <c r="C61" i="2"/>
  <c r="D61" i="2" s="1"/>
  <c r="D73" i="2"/>
  <c r="C73" i="2"/>
  <c r="C85" i="2"/>
  <c r="D85" i="2" s="1"/>
  <c r="C107" i="2"/>
  <c r="D107" i="2" s="1"/>
  <c r="C97" i="2"/>
  <c r="D97" i="2" s="1"/>
  <c r="L70" i="1"/>
  <c r="M69" i="1"/>
  <c r="M81" i="1" l="1"/>
  <c r="M79" i="1"/>
  <c r="AS104" i="1"/>
  <c r="L117" i="1"/>
  <c r="AO68" i="1"/>
  <c r="AC18" i="4"/>
  <c r="AC19" i="4" s="1"/>
  <c r="AL20" i="4"/>
  <c r="M82" i="1"/>
  <c r="M93" i="1"/>
  <c r="M91" i="1"/>
  <c r="M77" i="1"/>
  <c r="M78" i="1" s="1"/>
  <c r="M84" i="1"/>
  <c r="M87" i="1"/>
  <c r="M90" i="1"/>
  <c r="M85" i="1"/>
  <c r="M86" i="1"/>
  <c r="AS135" i="1"/>
  <c r="M73" i="1"/>
  <c r="AF22" i="4"/>
  <c r="AF23" i="4"/>
  <c r="AF21" i="4"/>
  <c r="AF17" i="4"/>
  <c r="L101" i="1"/>
  <c r="L100" i="1"/>
  <c r="AS136" i="1"/>
  <c r="L109" i="1"/>
  <c r="L108" i="1"/>
  <c r="AS112" i="1"/>
  <c r="AS113" i="1"/>
  <c r="AS114" i="1"/>
  <c r="AS115" i="1"/>
  <c r="AS108" i="1"/>
  <c r="AS109" i="1"/>
  <c r="AS106" i="1"/>
  <c r="AS107" i="1"/>
  <c r="AS111" i="1"/>
  <c r="AS110" i="1"/>
  <c r="L112" i="1"/>
  <c r="L111" i="1"/>
  <c r="L114" i="1"/>
  <c r="AS100" i="1"/>
  <c r="AS101" i="1"/>
  <c r="AS105" i="1"/>
  <c r="AS117" i="1"/>
  <c r="AS116" i="1"/>
  <c r="L104" i="1"/>
  <c r="N69" i="1"/>
  <c r="M127" i="1"/>
  <c r="M128" i="1" s="1"/>
  <c r="L105" i="1"/>
  <c r="M116" i="1"/>
  <c r="M125" i="1"/>
  <c r="M126" i="1" s="1"/>
  <c r="L113" i="1"/>
  <c r="M114" i="1"/>
  <c r="M133" i="1"/>
  <c r="L102" i="1"/>
  <c r="L110" i="1"/>
  <c r="M131" i="1"/>
  <c r="M132" i="1" s="1"/>
  <c r="M129" i="1"/>
  <c r="M130" i="1" s="1"/>
  <c r="M112" i="1"/>
  <c r="M105" i="1"/>
  <c r="M109" i="1"/>
  <c r="M113" i="1"/>
  <c r="M117" i="1"/>
  <c r="L135" i="1"/>
  <c r="M123" i="1"/>
  <c r="M124" i="1" s="1"/>
  <c r="L106" i="1"/>
  <c r="M102" i="1"/>
  <c r="L107" i="1"/>
  <c r="L115" i="1"/>
  <c r="M106" i="1"/>
  <c r="M103" i="1"/>
  <c r="M110" i="1"/>
  <c r="L116" i="1"/>
  <c r="M100" i="1"/>
  <c r="M107" i="1"/>
  <c r="M111" i="1"/>
  <c r="M115" i="1"/>
  <c r="M104" i="1"/>
  <c r="M101" i="1"/>
  <c r="M108" i="1"/>
  <c r="L132" i="1"/>
  <c r="L136" i="1" s="1"/>
  <c r="M70" i="1"/>
  <c r="M83" i="1"/>
  <c r="N77" i="1" l="1"/>
  <c r="N78" i="1" s="1"/>
  <c r="N81" i="1"/>
  <c r="N79" i="1"/>
  <c r="AP68" i="1"/>
  <c r="AF18" i="4"/>
  <c r="AF19" i="4" s="1"/>
  <c r="AO20" i="4"/>
  <c r="M80" i="1"/>
  <c r="M71" i="1" s="1"/>
  <c r="M72" i="1" s="1"/>
  <c r="N125" i="1"/>
  <c r="N126" i="1" s="1"/>
  <c r="N106" i="1"/>
  <c r="N82" i="1"/>
  <c r="N131" i="1"/>
  <c r="N132" i="1" s="1"/>
  <c r="N102" i="1"/>
  <c r="N101" i="1"/>
  <c r="N123" i="1"/>
  <c r="N124" i="1" s="1"/>
  <c r="N103" i="1"/>
  <c r="N70" i="1"/>
  <c r="M74" i="1"/>
  <c r="M75" i="1"/>
  <c r="M76" i="1" s="1"/>
  <c r="N91" i="1"/>
  <c r="N93" i="1"/>
  <c r="O69" i="1"/>
  <c r="N73" i="1"/>
  <c r="N83" i="1"/>
  <c r="N116" i="1"/>
  <c r="N115" i="1"/>
  <c r="N127" i="1"/>
  <c r="N128" i="1" s="1"/>
  <c r="N111" i="1"/>
  <c r="N110" i="1"/>
  <c r="N86" i="1"/>
  <c r="N84" i="1"/>
  <c r="N87" i="1"/>
  <c r="N90" i="1"/>
  <c r="N85" i="1"/>
  <c r="AI23" i="4"/>
  <c r="AI21" i="4"/>
  <c r="AI22" i="4"/>
  <c r="AI17" i="4"/>
  <c r="AI18" i="4" s="1"/>
  <c r="AS118" i="1"/>
  <c r="AS119" i="1"/>
  <c r="L119" i="1"/>
  <c r="M119" i="1"/>
  <c r="N113" i="1"/>
  <c r="N112" i="1"/>
  <c r="N108" i="1"/>
  <c r="N105" i="1"/>
  <c r="N107" i="1"/>
  <c r="N100" i="1"/>
  <c r="N109" i="1"/>
  <c r="N114" i="1"/>
  <c r="N133" i="1"/>
  <c r="N104" i="1"/>
  <c r="N129" i="1"/>
  <c r="N130" i="1" s="1"/>
  <c r="N117" i="1"/>
  <c r="M135" i="1"/>
  <c r="L118" i="1"/>
  <c r="M118" i="1"/>
  <c r="M136" i="1"/>
  <c r="O77" i="1" l="1"/>
  <c r="O78" i="1" s="1"/>
  <c r="O79" i="1"/>
  <c r="O81" i="1"/>
  <c r="O82" i="1" s="1"/>
  <c r="O103" i="1"/>
  <c r="O117" i="1"/>
  <c r="O113" i="1"/>
  <c r="O115" i="1"/>
  <c r="O112" i="1"/>
  <c r="O125" i="1"/>
  <c r="O126" i="1" s="1"/>
  <c r="O104" i="1"/>
  <c r="O110" i="1"/>
  <c r="O133" i="1"/>
  <c r="O100" i="1"/>
  <c r="O107" i="1"/>
  <c r="O105" i="1"/>
  <c r="AQ68" i="1"/>
  <c r="O111" i="1"/>
  <c r="O109" i="1"/>
  <c r="O102" i="1"/>
  <c r="O123" i="1"/>
  <c r="O124" i="1" s="1"/>
  <c r="O106" i="1"/>
  <c r="P69" i="1"/>
  <c r="O116" i="1"/>
  <c r="O114" i="1"/>
  <c r="O83" i="1"/>
  <c r="O127" i="1"/>
  <c r="O128" i="1" s="1"/>
  <c r="N136" i="1"/>
  <c r="O101" i="1"/>
  <c r="O129" i="1"/>
  <c r="O130" i="1" s="1"/>
  <c r="O131" i="1"/>
  <c r="O132" i="1" s="1"/>
  <c r="O70" i="1"/>
  <c r="O108" i="1"/>
  <c r="O91" i="1"/>
  <c r="O93" i="1"/>
  <c r="N74" i="1"/>
  <c r="N75" i="1"/>
  <c r="N76" i="1" s="1"/>
  <c r="O85" i="1"/>
  <c r="O86" i="1"/>
  <c r="O87" i="1"/>
  <c r="O90" i="1"/>
  <c r="O84" i="1"/>
  <c r="N135" i="1"/>
  <c r="O73" i="1"/>
  <c r="AL22" i="4"/>
  <c r="AL21" i="4"/>
  <c r="AL23" i="4"/>
  <c r="AL17" i="4"/>
  <c r="AL18" i="4" s="1"/>
  <c r="AI19" i="4"/>
  <c r="N118" i="1"/>
  <c r="N119" i="1"/>
  <c r="P112" i="1" l="1"/>
  <c r="P81" i="1"/>
  <c r="P79" i="1"/>
  <c r="AR68" i="1"/>
  <c r="P116" i="1"/>
  <c r="P113" i="1"/>
  <c r="P125" i="1"/>
  <c r="P126" i="1" s="1"/>
  <c r="P110" i="1"/>
  <c r="P111" i="1"/>
  <c r="P102" i="1"/>
  <c r="P108" i="1"/>
  <c r="P123" i="1"/>
  <c r="P124" i="1" s="1"/>
  <c r="O119" i="1"/>
  <c r="P109" i="1"/>
  <c r="P101" i="1"/>
  <c r="P131" i="1"/>
  <c r="P132" i="1" s="1"/>
  <c r="P115" i="1"/>
  <c r="P107" i="1"/>
  <c r="P114" i="1"/>
  <c r="P129" i="1"/>
  <c r="P130" i="1" s="1"/>
  <c r="O136" i="1"/>
  <c r="P77" i="1"/>
  <c r="P70" i="1"/>
  <c r="P103" i="1"/>
  <c r="P104" i="1"/>
  <c r="P127" i="1"/>
  <c r="P128" i="1" s="1"/>
  <c r="P73" i="1"/>
  <c r="P75" i="1" s="1"/>
  <c r="P83" i="1"/>
  <c r="P106" i="1"/>
  <c r="Q69" i="1"/>
  <c r="P117" i="1"/>
  <c r="O118" i="1"/>
  <c r="P105" i="1"/>
  <c r="P133" i="1"/>
  <c r="O135" i="1"/>
  <c r="P100" i="1"/>
  <c r="P91" i="1"/>
  <c r="P93" i="1"/>
  <c r="O74" i="1"/>
  <c r="O75" i="1"/>
  <c r="O76" i="1" s="1"/>
  <c r="P85" i="1"/>
  <c r="P90" i="1"/>
  <c r="P86" i="1"/>
  <c r="P87" i="1"/>
  <c r="P84" i="1"/>
  <c r="AO21" i="4"/>
  <c r="AO22" i="4"/>
  <c r="AO23" i="4"/>
  <c r="AO17" i="4"/>
  <c r="AL19" i="4"/>
  <c r="Q113" i="1" l="1"/>
  <c r="Q79" i="1"/>
  <c r="Q81" i="1"/>
  <c r="Q110" i="1"/>
  <c r="Q103" i="1"/>
  <c r="Q100" i="1"/>
  <c r="AS68" i="1"/>
  <c r="AO18" i="4"/>
  <c r="AO19" i="4" s="1"/>
  <c r="P118" i="1"/>
  <c r="P136" i="1"/>
  <c r="Q116" i="1"/>
  <c r="Q83" i="1"/>
  <c r="R69" i="1"/>
  <c r="Q105" i="1"/>
  <c r="Q131" i="1"/>
  <c r="Q132" i="1" s="1"/>
  <c r="Q111" i="1"/>
  <c r="Q112" i="1"/>
  <c r="P135" i="1"/>
  <c r="Q108" i="1"/>
  <c r="P119" i="1"/>
  <c r="Q70" i="1"/>
  <c r="Q106" i="1"/>
  <c r="Q129" i="1"/>
  <c r="Q130" i="1" s="1"/>
  <c r="Q77" i="1"/>
  <c r="Q125" i="1"/>
  <c r="Q126" i="1" s="1"/>
  <c r="Q107" i="1"/>
  <c r="Q73" i="1"/>
  <c r="Q74" i="1" s="1"/>
  <c r="Q115" i="1"/>
  <c r="Q114" i="1"/>
  <c r="Q109" i="1"/>
  <c r="Q127" i="1"/>
  <c r="Q128" i="1" s="1"/>
  <c r="Q102" i="1"/>
  <c r="Q123" i="1"/>
  <c r="Q124" i="1" s="1"/>
  <c r="Q133" i="1"/>
  <c r="Q104" i="1"/>
  <c r="P74" i="1"/>
  <c r="Q101" i="1"/>
  <c r="Q117" i="1"/>
  <c r="Q91" i="1"/>
  <c r="Q93" i="1"/>
  <c r="Q85" i="1"/>
  <c r="Q86" i="1"/>
  <c r="Q84" i="1"/>
  <c r="Q87" i="1"/>
  <c r="Q90" i="1"/>
  <c r="R114" i="1" l="1"/>
  <c r="R79" i="1"/>
  <c r="R81" i="1"/>
  <c r="R77" i="1"/>
  <c r="R73" i="1"/>
  <c r="R75" i="1" s="1"/>
  <c r="R83" i="1"/>
  <c r="R133" i="1"/>
  <c r="R109" i="1"/>
  <c r="R101" i="1"/>
  <c r="R100" i="1"/>
  <c r="R113" i="1"/>
  <c r="R115" i="1"/>
  <c r="R102" i="1"/>
  <c r="R70" i="1"/>
  <c r="R125" i="1"/>
  <c r="R126" i="1" s="1"/>
  <c r="R111" i="1"/>
  <c r="R103" i="1"/>
  <c r="R127" i="1"/>
  <c r="R128" i="1" s="1"/>
  <c r="R106" i="1"/>
  <c r="R129" i="1"/>
  <c r="R130" i="1" s="1"/>
  <c r="R110" i="1"/>
  <c r="R107" i="1"/>
  <c r="R105" i="1"/>
  <c r="R123" i="1"/>
  <c r="R124" i="1" s="1"/>
  <c r="R112" i="1"/>
  <c r="R108" i="1"/>
  <c r="S69" i="1"/>
  <c r="R117" i="1"/>
  <c r="R116" i="1"/>
  <c r="R131" i="1"/>
  <c r="R132" i="1" s="1"/>
  <c r="R104" i="1"/>
  <c r="Q136" i="1"/>
  <c r="Q119" i="1"/>
  <c r="Q135" i="1"/>
  <c r="Q118" i="1"/>
  <c r="Q75" i="1"/>
  <c r="R91" i="1"/>
  <c r="R93" i="1"/>
  <c r="R85" i="1"/>
  <c r="R86" i="1"/>
  <c r="R87" i="1"/>
  <c r="R84" i="1"/>
  <c r="R90" i="1"/>
  <c r="R74" i="1" l="1"/>
  <c r="S79" i="1"/>
  <c r="S81" i="1"/>
  <c r="S109" i="1"/>
  <c r="S106" i="1"/>
  <c r="S103" i="1"/>
  <c r="S100" i="1"/>
  <c r="S83" i="1"/>
  <c r="S133" i="1"/>
  <c r="S105" i="1"/>
  <c r="S110" i="1"/>
  <c r="S112" i="1"/>
  <c r="S107" i="1"/>
  <c r="S117" i="1"/>
  <c r="S125" i="1"/>
  <c r="S126" i="1" s="1"/>
  <c r="S101" i="1"/>
  <c r="S131" i="1"/>
  <c r="S132" i="1" s="1"/>
  <c r="Y69" i="1"/>
  <c r="R119" i="1"/>
  <c r="R135" i="1"/>
  <c r="S113" i="1"/>
  <c r="S111" i="1"/>
  <c r="S114" i="1"/>
  <c r="S123" i="1"/>
  <c r="S124" i="1" s="1"/>
  <c r="S116" i="1"/>
  <c r="S108" i="1"/>
  <c r="S77" i="1"/>
  <c r="R136" i="1"/>
  <c r="S129" i="1"/>
  <c r="S130" i="1" s="1"/>
  <c r="S127" i="1"/>
  <c r="S128" i="1" s="1"/>
  <c r="S70" i="1"/>
  <c r="S104" i="1"/>
  <c r="S73" i="1"/>
  <c r="S74" i="1" s="1"/>
  <c r="S115" i="1"/>
  <c r="S102" i="1"/>
  <c r="R118" i="1"/>
  <c r="S93" i="1"/>
  <c r="S91" i="1"/>
  <c r="S90" i="1"/>
  <c r="S85" i="1"/>
  <c r="S87" i="1"/>
  <c r="S86" i="1"/>
  <c r="S84" i="1"/>
  <c r="Y81" i="1" l="1"/>
  <c r="Y79" i="1"/>
  <c r="V69" i="1"/>
  <c r="Y77" i="1"/>
  <c r="Y93" i="1"/>
  <c r="W69" i="1"/>
  <c r="U69" i="1"/>
  <c r="X69" i="1"/>
  <c r="T69" i="1"/>
  <c r="S119" i="1"/>
  <c r="Y108" i="1"/>
  <c r="Y109" i="1"/>
  <c r="Y107" i="1"/>
  <c r="Y106" i="1"/>
  <c r="Y70" i="1"/>
  <c r="Y129" i="1"/>
  <c r="Y130" i="1" s="1"/>
  <c r="Y83" i="1"/>
  <c r="Y131" i="1"/>
  <c r="Y132" i="1" s="1"/>
  <c r="Y117" i="1"/>
  <c r="Y100" i="1"/>
  <c r="Y113" i="1"/>
  <c r="Y115" i="1"/>
  <c r="S118" i="1"/>
  <c r="Y116" i="1"/>
  <c r="Y73" i="1"/>
  <c r="Y75" i="1" s="1"/>
  <c r="Y103" i="1"/>
  <c r="Y127" i="1"/>
  <c r="Y128" i="1" s="1"/>
  <c r="S75" i="1"/>
  <c r="Y102" i="1"/>
  <c r="Y111" i="1"/>
  <c r="Y125" i="1"/>
  <c r="Y126" i="1" s="1"/>
  <c r="Y114" i="1"/>
  <c r="Y110" i="1"/>
  <c r="Y123" i="1"/>
  <c r="Y124" i="1" s="1"/>
  <c r="Y105" i="1"/>
  <c r="Y104" i="1"/>
  <c r="Y133" i="1"/>
  <c r="Y112" i="1"/>
  <c r="Y101" i="1"/>
  <c r="AD69" i="1"/>
  <c r="S135" i="1"/>
  <c r="S136" i="1"/>
  <c r="Y90" i="1"/>
  <c r="Y91" i="1"/>
  <c r="Y85" i="1"/>
  <c r="Y87" i="1"/>
  <c r="Y84" i="1"/>
  <c r="Y86" i="1"/>
  <c r="AA69" i="1" l="1"/>
  <c r="Z69" i="1"/>
  <c r="AA81" i="1"/>
  <c r="AA79" i="1"/>
  <c r="X79" i="1"/>
  <c r="X81" i="1"/>
  <c r="W93" i="1"/>
  <c r="W79" i="1"/>
  <c r="W81" i="1"/>
  <c r="AD81" i="1"/>
  <c r="AD79" i="1"/>
  <c r="AD70" i="1"/>
  <c r="AB69" i="1"/>
  <c r="AC69" i="1"/>
  <c r="U81" i="1"/>
  <c r="U79" i="1"/>
  <c r="V79" i="1"/>
  <c r="V81" i="1"/>
  <c r="T79" i="1"/>
  <c r="T81" i="1"/>
  <c r="X93" i="1"/>
  <c r="X73" i="1"/>
  <c r="X75" i="1" s="1"/>
  <c r="AD104" i="1"/>
  <c r="W70" i="1"/>
  <c r="W83" i="1"/>
  <c r="W133" i="1"/>
  <c r="W123" i="1"/>
  <c r="W131" i="1"/>
  <c r="W132" i="1" s="1"/>
  <c r="W125" i="1"/>
  <c r="W126" i="1" s="1"/>
  <c r="W127" i="1"/>
  <c r="W128" i="1" s="1"/>
  <c r="W129" i="1"/>
  <c r="W130" i="1" s="1"/>
  <c r="W77" i="1"/>
  <c r="W73" i="1"/>
  <c r="W102" i="1"/>
  <c r="W103" i="1"/>
  <c r="W107" i="1"/>
  <c r="W116" i="1"/>
  <c r="W110" i="1"/>
  <c r="W115" i="1"/>
  <c r="W111" i="1"/>
  <c r="W109" i="1"/>
  <c r="W106" i="1"/>
  <c r="W117" i="1"/>
  <c r="W100" i="1"/>
  <c r="W114" i="1"/>
  <c r="W108" i="1"/>
  <c r="W101" i="1"/>
  <c r="W112" i="1"/>
  <c r="W113" i="1"/>
  <c r="W105" i="1"/>
  <c r="W104" i="1"/>
  <c r="V123" i="1"/>
  <c r="V131" i="1"/>
  <c r="V132" i="1" s="1"/>
  <c r="V133" i="1"/>
  <c r="V129" i="1"/>
  <c r="V130" i="1" s="1"/>
  <c r="V125" i="1"/>
  <c r="V126" i="1" s="1"/>
  <c r="V127" i="1"/>
  <c r="V128" i="1" s="1"/>
  <c r="V102" i="1"/>
  <c r="V103" i="1"/>
  <c r="V116" i="1"/>
  <c r="V111" i="1"/>
  <c r="V114" i="1"/>
  <c r="V106" i="1"/>
  <c r="V107" i="1"/>
  <c r="V117" i="1"/>
  <c r="V110" i="1"/>
  <c r="V100" i="1"/>
  <c r="V108" i="1"/>
  <c r="V109" i="1"/>
  <c r="V101" i="1"/>
  <c r="V115" i="1"/>
  <c r="V105" i="1"/>
  <c r="V104" i="1"/>
  <c r="V112" i="1"/>
  <c r="V113" i="1"/>
  <c r="AD116" i="1"/>
  <c r="AD112" i="1"/>
  <c r="V70" i="1"/>
  <c r="V77" i="1"/>
  <c r="V73" i="1"/>
  <c r="V83" i="1"/>
  <c r="AD113" i="1"/>
  <c r="AD102" i="1"/>
  <c r="AD110" i="1"/>
  <c r="AD101" i="1"/>
  <c r="AD108" i="1"/>
  <c r="AD106" i="1"/>
  <c r="AD83" i="1"/>
  <c r="X131" i="1"/>
  <c r="X132" i="1" s="1"/>
  <c r="X70" i="1"/>
  <c r="X127" i="1"/>
  <c r="X128" i="1" s="1"/>
  <c r="X123" i="1"/>
  <c r="X133" i="1"/>
  <c r="X125" i="1"/>
  <c r="X126" i="1" s="1"/>
  <c r="X83" i="1"/>
  <c r="X77" i="1"/>
  <c r="X129" i="1"/>
  <c r="X130" i="1" s="1"/>
  <c r="X103" i="1"/>
  <c r="X102" i="1"/>
  <c r="X104" i="1"/>
  <c r="X100" i="1"/>
  <c r="X101" i="1"/>
  <c r="X108" i="1"/>
  <c r="X112" i="1"/>
  <c r="X113" i="1"/>
  <c r="X116" i="1"/>
  <c r="X106" i="1"/>
  <c r="X107" i="1"/>
  <c r="X117" i="1"/>
  <c r="X110" i="1"/>
  <c r="X115" i="1"/>
  <c r="X105" i="1"/>
  <c r="X111" i="1"/>
  <c r="X114" i="1"/>
  <c r="X109" i="1"/>
  <c r="AD77" i="1"/>
  <c r="AD129" i="1"/>
  <c r="AD130" i="1" s="1"/>
  <c r="U127" i="1"/>
  <c r="U128" i="1" s="1"/>
  <c r="U70" i="1"/>
  <c r="U123" i="1"/>
  <c r="U133" i="1"/>
  <c r="U73" i="1"/>
  <c r="U83" i="1"/>
  <c r="U77" i="1"/>
  <c r="U129" i="1"/>
  <c r="U130" i="1" s="1"/>
  <c r="U125" i="1"/>
  <c r="U126" i="1" s="1"/>
  <c r="U131" i="1"/>
  <c r="U132" i="1" s="1"/>
  <c r="U102" i="1"/>
  <c r="U103" i="1"/>
  <c r="U108" i="1"/>
  <c r="U112" i="1"/>
  <c r="U106" i="1"/>
  <c r="U115" i="1"/>
  <c r="U117" i="1"/>
  <c r="U110" i="1"/>
  <c r="U114" i="1"/>
  <c r="U111" i="1"/>
  <c r="U107" i="1"/>
  <c r="U104" i="1"/>
  <c r="U116" i="1"/>
  <c r="U109" i="1"/>
  <c r="U113" i="1"/>
  <c r="U100" i="1"/>
  <c r="U105" i="1"/>
  <c r="U101" i="1"/>
  <c r="AD127" i="1"/>
  <c r="AD128" i="1" s="1"/>
  <c r="AD123" i="1"/>
  <c r="AD124" i="1" s="1"/>
  <c r="Y136" i="1"/>
  <c r="AD109" i="1"/>
  <c r="AD107" i="1"/>
  <c r="T123" i="1"/>
  <c r="T129" i="1"/>
  <c r="T130" i="1" s="1"/>
  <c r="T125" i="1"/>
  <c r="T126" i="1" s="1"/>
  <c r="T73" i="1"/>
  <c r="T83" i="1"/>
  <c r="T133" i="1"/>
  <c r="T77" i="1"/>
  <c r="T70" i="1"/>
  <c r="T127" i="1"/>
  <c r="T128" i="1" s="1"/>
  <c r="T131" i="1"/>
  <c r="T132" i="1" s="1"/>
  <c r="T102" i="1"/>
  <c r="T103" i="1"/>
  <c r="T106" i="1"/>
  <c r="T100" i="1"/>
  <c r="T112" i="1"/>
  <c r="T107" i="1"/>
  <c r="T117" i="1"/>
  <c r="T110" i="1"/>
  <c r="T114" i="1"/>
  <c r="T108" i="1"/>
  <c r="T115" i="1"/>
  <c r="T116" i="1"/>
  <c r="T111" i="1"/>
  <c r="T105" i="1"/>
  <c r="T109" i="1"/>
  <c r="T113" i="1"/>
  <c r="T101" i="1"/>
  <c r="T104" i="1"/>
  <c r="Y74" i="1"/>
  <c r="AD125" i="1"/>
  <c r="AD126" i="1" s="1"/>
  <c r="Y118" i="1"/>
  <c r="AD117" i="1"/>
  <c r="AD133" i="1"/>
  <c r="AD73" i="1"/>
  <c r="AD75" i="1" s="1"/>
  <c r="Y119" i="1"/>
  <c r="AD114" i="1"/>
  <c r="AD105" i="1"/>
  <c r="AD100" i="1"/>
  <c r="AD111" i="1"/>
  <c r="AI69" i="1"/>
  <c r="AG69" i="1" s="1"/>
  <c r="Y135" i="1"/>
  <c r="AD103" i="1"/>
  <c r="AD131" i="1"/>
  <c r="AD132" i="1" s="1"/>
  <c r="AD115" i="1"/>
  <c r="AD93" i="1"/>
  <c r="AD91" i="1"/>
  <c r="AD90" i="1"/>
  <c r="AD86" i="1"/>
  <c r="AD87" i="1"/>
  <c r="AD84" i="1"/>
  <c r="AD85" i="1"/>
  <c r="AG79" i="1" l="1"/>
  <c r="AG101" i="1"/>
  <c r="AG104" i="1"/>
  <c r="AG107" i="1"/>
  <c r="AG110" i="1"/>
  <c r="AG113" i="1"/>
  <c r="AG116" i="1"/>
  <c r="AG102" i="1"/>
  <c r="AG111" i="1"/>
  <c r="AG125" i="1"/>
  <c r="AG126" i="1" s="1"/>
  <c r="AG129" i="1"/>
  <c r="AG130" i="1" s="1"/>
  <c r="AG133" i="1"/>
  <c r="AG105" i="1"/>
  <c r="AG108" i="1"/>
  <c r="AG114" i="1"/>
  <c r="AG117" i="1"/>
  <c r="AG127" i="1"/>
  <c r="AG128" i="1" s="1"/>
  <c r="AG100" i="1"/>
  <c r="AG112" i="1"/>
  <c r="AG131" i="1"/>
  <c r="AG132" i="1" s="1"/>
  <c r="AG106" i="1"/>
  <c r="AG103" i="1"/>
  <c r="AG109" i="1"/>
  <c r="AG123" i="1"/>
  <c r="AG115" i="1"/>
  <c r="AG83" i="1"/>
  <c r="AG77" i="1"/>
  <c r="AG70" i="1"/>
  <c r="AG81" i="1"/>
  <c r="AG73" i="1"/>
  <c r="AH69" i="1"/>
  <c r="AF69" i="1"/>
  <c r="AE69" i="1"/>
  <c r="AB81" i="1"/>
  <c r="AB79" i="1"/>
  <c r="AI81" i="1"/>
  <c r="AI79" i="1"/>
  <c r="Z81" i="1"/>
  <c r="Z82" i="1" s="1"/>
  <c r="Z79" i="1"/>
  <c r="AC70" i="1"/>
  <c r="AC81" i="1"/>
  <c r="AC79" i="1"/>
  <c r="Z131" i="1"/>
  <c r="Z132" i="1" s="1"/>
  <c r="Z102" i="1"/>
  <c r="Z105" i="1"/>
  <c r="Z108" i="1"/>
  <c r="Z111" i="1"/>
  <c r="Z114" i="1"/>
  <c r="Z117" i="1"/>
  <c r="Z123" i="1"/>
  <c r="Z127" i="1"/>
  <c r="Z128" i="1" s="1"/>
  <c r="Z100" i="1"/>
  <c r="Z103" i="1"/>
  <c r="Z106" i="1"/>
  <c r="Z109" i="1"/>
  <c r="Z112" i="1"/>
  <c r="Z115" i="1"/>
  <c r="Z93" i="1"/>
  <c r="AA82" i="1" s="1"/>
  <c r="Z101" i="1"/>
  <c r="Z104" i="1"/>
  <c r="Z107" i="1"/>
  <c r="Z110" i="1"/>
  <c r="Z113" i="1"/>
  <c r="Z116" i="1"/>
  <c r="Z125" i="1"/>
  <c r="Z126" i="1" s="1"/>
  <c r="Z129" i="1"/>
  <c r="Z130" i="1" s="1"/>
  <c r="Z133" i="1"/>
  <c r="Z70" i="1"/>
  <c r="Z77" i="1"/>
  <c r="Z78" i="1" s="1"/>
  <c r="Z83" i="1"/>
  <c r="Z73" i="1"/>
  <c r="V82" i="1"/>
  <c r="X78" i="1"/>
  <c r="W82" i="1"/>
  <c r="T82" i="1"/>
  <c r="U82" i="1"/>
  <c r="T78" i="1"/>
  <c r="X82" i="1"/>
  <c r="V78" i="1"/>
  <c r="U78" i="1"/>
  <c r="W78" i="1"/>
  <c r="AI77" i="1"/>
  <c r="AI92" i="1"/>
  <c r="AI93" i="1" s="1"/>
  <c r="W119" i="1"/>
  <c r="U119" i="1"/>
  <c r="V118" i="1"/>
  <c r="V119" i="1"/>
  <c r="W74" i="1"/>
  <c r="W75" i="1"/>
  <c r="W76" i="1" s="1"/>
  <c r="V124" i="1"/>
  <c r="V136" i="1" s="1"/>
  <c r="V135" i="1"/>
  <c r="W118" i="1"/>
  <c r="W124" i="1"/>
  <c r="W136" i="1" s="1"/>
  <c r="W135" i="1"/>
  <c r="AD74" i="1"/>
  <c r="AD118" i="1"/>
  <c r="V74" i="1"/>
  <c r="V75" i="1"/>
  <c r="V76" i="1" s="1"/>
  <c r="X119" i="1"/>
  <c r="X124" i="1"/>
  <c r="X136" i="1" s="1"/>
  <c r="X135" i="1"/>
  <c r="T119" i="1"/>
  <c r="T135" i="1"/>
  <c r="T124" i="1"/>
  <c r="T136" i="1" s="1"/>
  <c r="U74" i="1"/>
  <c r="U75" i="1"/>
  <c r="U76" i="1" s="1"/>
  <c r="T74" i="1"/>
  <c r="T75" i="1"/>
  <c r="T76" i="1" s="1"/>
  <c r="U118" i="1"/>
  <c r="U135" i="1"/>
  <c r="U124" i="1"/>
  <c r="U136" i="1" s="1"/>
  <c r="AI114" i="1"/>
  <c r="X118" i="1"/>
  <c r="X74" i="1"/>
  <c r="X76" i="1"/>
  <c r="T118" i="1"/>
  <c r="AI113" i="1"/>
  <c r="AI101" i="1"/>
  <c r="AI102" i="1"/>
  <c r="AI129" i="1"/>
  <c r="AI130" i="1" s="1"/>
  <c r="AI106" i="1"/>
  <c r="AI112" i="1"/>
  <c r="AI127" i="1"/>
  <c r="AI128" i="1" s="1"/>
  <c r="AD119" i="1"/>
  <c r="AI109" i="1"/>
  <c r="AI111" i="1"/>
  <c r="AI117" i="1"/>
  <c r="AI115" i="1"/>
  <c r="AI103" i="1"/>
  <c r="AI100" i="1"/>
  <c r="AI107" i="1"/>
  <c r="AI104" i="1"/>
  <c r="AI133" i="1"/>
  <c r="AI70" i="1"/>
  <c r="AI108" i="1"/>
  <c r="AI116" i="1"/>
  <c r="AI105" i="1"/>
  <c r="AJ69" i="1"/>
  <c r="AI131" i="1"/>
  <c r="AI132" i="1" s="1"/>
  <c r="AI110" i="1"/>
  <c r="AI83" i="1"/>
  <c r="AI123" i="1"/>
  <c r="AI124" i="1" s="1"/>
  <c r="AI125" i="1"/>
  <c r="AI126" i="1" s="1"/>
  <c r="AI73" i="1"/>
  <c r="AI74" i="1" s="1"/>
  <c r="AD135" i="1"/>
  <c r="AD136" i="1"/>
  <c r="AI91" i="1"/>
  <c r="AI90" i="1"/>
  <c r="AI87" i="1"/>
  <c r="AI84" i="1"/>
  <c r="AI86" i="1"/>
  <c r="AI85" i="1"/>
  <c r="AE81" i="1" l="1"/>
  <c r="AE129" i="1"/>
  <c r="AE130" i="1" s="1"/>
  <c r="AE133" i="1"/>
  <c r="AE114" i="1"/>
  <c r="AE107" i="1"/>
  <c r="AE102" i="1"/>
  <c r="AE105" i="1"/>
  <c r="AE108" i="1"/>
  <c r="AE111" i="1"/>
  <c r="AE117" i="1"/>
  <c r="AE109" i="1"/>
  <c r="AE131" i="1"/>
  <c r="AE132" i="1" s="1"/>
  <c r="AE106" i="1"/>
  <c r="AE110" i="1"/>
  <c r="AE123" i="1"/>
  <c r="AE127" i="1"/>
  <c r="AE128" i="1" s="1"/>
  <c r="AE103" i="1"/>
  <c r="AE104" i="1"/>
  <c r="AE100" i="1"/>
  <c r="AE112" i="1"/>
  <c r="AE113" i="1"/>
  <c r="AE115" i="1"/>
  <c r="AE101" i="1"/>
  <c r="AE116" i="1"/>
  <c r="AE125" i="1"/>
  <c r="AE126" i="1" s="1"/>
  <c r="AE83" i="1"/>
  <c r="AE79" i="1"/>
  <c r="AE77" i="1"/>
  <c r="AE70" i="1"/>
  <c r="AE73" i="1"/>
  <c r="AG118" i="1"/>
  <c r="AF77" i="1"/>
  <c r="AF125" i="1"/>
  <c r="AF126" i="1" s="1"/>
  <c r="AF116" i="1"/>
  <c r="AF129" i="1"/>
  <c r="AF130" i="1" s="1"/>
  <c r="AF133" i="1"/>
  <c r="AF102" i="1"/>
  <c r="AF111" i="1"/>
  <c r="AF108" i="1"/>
  <c r="AF117" i="1"/>
  <c r="AF107" i="1"/>
  <c r="AF105" i="1"/>
  <c r="AF114" i="1"/>
  <c r="AF100" i="1"/>
  <c r="AF106" i="1"/>
  <c r="AF131" i="1"/>
  <c r="AF132" i="1" s="1"/>
  <c r="AF101" i="1"/>
  <c r="AF123" i="1"/>
  <c r="AF127" i="1"/>
  <c r="AF128" i="1" s="1"/>
  <c r="AF103" i="1"/>
  <c r="AF109" i="1"/>
  <c r="AF115" i="1"/>
  <c r="AF113" i="1"/>
  <c r="AF104" i="1"/>
  <c r="AF112" i="1"/>
  <c r="AF110" i="1"/>
  <c r="AF70" i="1"/>
  <c r="AF81" i="1"/>
  <c r="AF83" i="1"/>
  <c r="AF79" i="1"/>
  <c r="AF73" i="1"/>
  <c r="AH92" i="1"/>
  <c r="AH93" i="1" s="1"/>
  <c r="AH81" i="1"/>
  <c r="AH101" i="1"/>
  <c r="AH107" i="1"/>
  <c r="AH113" i="1"/>
  <c r="AH116" i="1"/>
  <c r="AH106" i="1"/>
  <c r="AH115" i="1"/>
  <c r="AH104" i="1"/>
  <c r="AH110" i="1"/>
  <c r="AH125" i="1"/>
  <c r="AH126" i="1" s="1"/>
  <c r="AH131" i="1"/>
  <c r="AH132" i="1" s="1"/>
  <c r="AH129" i="1"/>
  <c r="AH130" i="1" s="1"/>
  <c r="AH133" i="1"/>
  <c r="AH112" i="1"/>
  <c r="AH100" i="1"/>
  <c r="AH102" i="1"/>
  <c r="AH105" i="1"/>
  <c r="AH108" i="1"/>
  <c r="AH111" i="1"/>
  <c r="AH114" i="1"/>
  <c r="AH117" i="1"/>
  <c r="AH127" i="1"/>
  <c r="AH128" i="1" s="1"/>
  <c r="AH109" i="1"/>
  <c r="AH103" i="1"/>
  <c r="AH123" i="1"/>
  <c r="AH83" i="1"/>
  <c r="AH70" i="1"/>
  <c r="AH79" i="1"/>
  <c r="AH77" i="1"/>
  <c r="AH73" i="1"/>
  <c r="AG74" i="1"/>
  <c r="AG75" i="1"/>
  <c r="AG135" i="1"/>
  <c r="AG124" i="1"/>
  <c r="AG136" i="1" s="1"/>
  <c r="AG119" i="1"/>
  <c r="Z80" i="1"/>
  <c r="Z71" i="1" s="1"/>
  <c r="Z72" i="1" s="1"/>
  <c r="AJ79" i="1"/>
  <c r="AJ81" i="1"/>
  <c r="AB101" i="1"/>
  <c r="AB104" i="1"/>
  <c r="AB107" i="1"/>
  <c r="AB110" i="1"/>
  <c r="AB113" i="1"/>
  <c r="AB116" i="1"/>
  <c r="AB112" i="1"/>
  <c r="AB125" i="1"/>
  <c r="AB126" i="1" s="1"/>
  <c r="AB129" i="1"/>
  <c r="AB130" i="1" s="1"/>
  <c r="AB133" i="1"/>
  <c r="AB100" i="1"/>
  <c r="AB109" i="1"/>
  <c r="AB103" i="1"/>
  <c r="AB93" i="1"/>
  <c r="AB102" i="1"/>
  <c r="AB105" i="1"/>
  <c r="AB108" i="1"/>
  <c r="AB111" i="1"/>
  <c r="AB114" i="1"/>
  <c r="AB117" i="1"/>
  <c r="AB106" i="1"/>
  <c r="AB131" i="1"/>
  <c r="AB132" i="1" s="1"/>
  <c r="AB123" i="1"/>
  <c r="AB127" i="1"/>
  <c r="AB128" i="1" s="1"/>
  <c r="AB115" i="1"/>
  <c r="AC114" i="1"/>
  <c r="AC112" i="1"/>
  <c r="AC101" i="1"/>
  <c r="AC104" i="1"/>
  <c r="AC107" i="1"/>
  <c r="AC110" i="1"/>
  <c r="AC113" i="1"/>
  <c r="AC116" i="1"/>
  <c r="AC117" i="1"/>
  <c r="AC125" i="1"/>
  <c r="AC129" i="1"/>
  <c r="AC130" i="1" s="1"/>
  <c r="AC133" i="1"/>
  <c r="AC106" i="1"/>
  <c r="AC115" i="1"/>
  <c r="AC109" i="1"/>
  <c r="AC102" i="1"/>
  <c r="AC105" i="1"/>
  <c r="AC108" i="1"/>
  <c r="AC111" i="1"/>
  <c r="AC103" i="1"/>
  <c r="AC123" i="1"/>
  <c r="AC124" i="1" s="1"/>
  <c r="AC127" i="1"/>
  <c r="AC128" i="1" s="1"/>
  <c r="AC100" i="1"/>
  <c r="AC93" i="1"/>
  <c r="AC131" i="1"/>
  <c r="AC132" i="1" s="1"/>
  <c r="Z135" i="1"/>
  <c r="Z124" i="1"/>
  <c r="Z136" i="1" s="1"/>
  <c r="Z119" i="1"/>
  <c r="Z118" i="1"/>
  <c r="AA125" i="1"/>
  <c r="AA126" i="1" s="1"/>
  <c r="AA129" i="1"/>
  <c r="AA130" i="1" s="1"/>
  <c r="AA133" i="1"/>
  <c r="AA105" i="1"/>
  <c r="AA114" i="1"/>
  <c r="AA131" i="1"/>
  <c r="AA132" i="1" s="1"/>
  <c r="AA108" i="1"/>
  <c r="AA111" i="1"/>
  <c r="AA117" i="1"/>
  <c r="AA102" i="1"/>
  <c r="AA100" i="1"/>
  <c r="AA112" i="1"/>
  <c r="AA103" i="1"/>
  <c r="AA123" i="1"/>
  <c r="AA127" i="1"/>
  <c r="AA128" i="1" s="1"/>
  <c r="AA106" i="1"/>
  <c r="AA115" i="1"/>
  <c r="AA109" i="1"/>
  <c r="AA93" i="1"/>
  <c r="AA101" i="1"/>
  <c r="AA104" i="1"/>
  <c r="AA107" i="1"/>
  <c r="AA110" i="1"/>
  <c r="AA113" i="1"/>
  <c r="AA116" i="1"/>
  <c r="V80" i="1"/>
  <c r="V71" i="1" s="1"/>
  <c r="V72" i="1" s="1"/>
  <c r="AA83" i="1"/>
  <c r="AA70" i="1"/>
  <c r="AA77" i="1"/>
  <c r="AA78" i="1" s="1"/>
  <c r="AA73" i="1"/>
  <c r="Z75" i="1"/>
  <c r="Z76" i="1" s="1"/>
  <c r="Z74" i="1"/>
  <c r="AB83" i="1"/>
  <c r="AB73" i="1"/>
  <c r="AB70" i="1"/>
  <c r="AB77" i="1"/>
  <c r="AC83" i="1"/>
  <c r="AC77" i="1"/>
  <c r="AC73" i="1"/>
  <c r="AA80" i="1"/>
  <c r="W80" i="1"/>
  <c r="W71" i="1" s="1"/>
  <c r="W72" i="1" s="1"/>
  <c r="T80" i="1"/>
  <c r="T71" i="1" s="1"/>
  <c r="T72" i="1" s="1"/>
  <c r="X80" i="1"/>
  <c r="X71" i="1" s="1"/>
  <c r="X72" i="1" s="1"/>
  <c r="U80" i="1"/>
  <c r="U71" i="1" s="1"/>
  <c r="U72" i="1" s="1"/>
  <c r="AJ77" i="1"/>
  <c r="AJ92" i="1"/>
  <c r="AJ93" i="1" s="1"/>
  <c r="AK69" i="1"/>
  <c r="AK116" i="1" s="1"/>
  <c r="AJ104" i="1"/>
  <c r="AJ108" i="1"/>
  <c r="AJ106" i="1"/>
  <c r="AJ133" i="1"/>
  <c r="AJ73" i="1"/>
  <c r="AJ75" i="1" s="1"/>
  <c r="AJ116" i="1"/>
  <c r="AJ115" i="1"/>
  <c r="AJ101" i="1"/>
  <c r="AJ129" i="1"/>
  <c r="AJ130" i="1" s="1"/>
  <c r="AJ123" i="1"/>
  <c r="AJ124" i="1" s="1"/>
  <c r="AJ102" i="1"/>
  <c r="AJ110" i="1"/>
  <c r="AJ127" i="1"/>
  <c r="AJ128" i="1" s="1"/>
  <c r="AJ112" i="1"/>
  <c r="AJ103" i="1"/>
  <c r="AJ70" i="1"/>
  <c r="AI136" i="1"/>
  <c r="AJ107" i="1"/>
  <c r="AJ100" i="1"/>
  <c r="AI135" i="1"/>
  <c r="AI119" i="1"/>
  <c r="AI75" i="1"/>
  <c r="AJ125" i="1"/>
  <c r="AJ126" i="1" s="1"/>
  <c r="AJ111" i="1"/>
  <c r="AJ113" i="1"/>
  <c r="AJ109" i="1"/>
  <c r="AI118" i="1"/>
  <c r="AJ105" i="1"/>
  <c r="AJ117" i="1"/>
  <c r="AJ83" i="1"/>
  <c r="AJ114" i="1"/>
  <c r="AJ131" i="1"/>
  <c r="AJ132" i="1" s="1"/>
  <c r="P76" i="1"/>
  <c r="Q76" i="1"/>
  <c r="R76" i="1"/>
  <c r="S76" i="1"/>
  <c r="Y76" i="1"/>
  <c r="P78" i="1"/>
  <c r="R78" i="1"/>
  <c r="Q78" i="1"/>
  <c r="Y78" i="1"/>
  <c r="S78" i="1"/>
  <c r="Y82" i="1"/>
  <c r="P82" i="1"/>
  <c r="Q82" i="1"/>
  <c r="S82" i="1"/>
  <c r="R82" i="1"/>
  <c r="AJ91" i="1"/>
  <c r="AJ84" i="1"/>
  <c r="AJ86" i="1"/>
  <c r="AJ90" i="1"/>
  <c r="AJ85" i="1"/>
  <c r="AJ87" i="1"/>
  <c r="AE119" i="1" l="1"/>
  <c r="AH75" i="1"/>
  <c r="AH74" i="1"/>
  <c r="AF118" i="1"/>
  <c r="AE118" i="1"/>
  <c r="AH118" i="1"/>
  <c r="AE75" i="1"/>
  <c r="AE74" i="1"/>
  <c r="AH135" i="1"/>
  <c r="AH124" i="1"/>
  <c r="AH136" i="1" s="1"/>
  <c r="AE135" i="1"/>
  <c r="AE124" i="1"/>
  <c r="AE136" i="1" s="1"/>
  <c r="AH119" i="1"/>
  <c r="AK123" i="1"/>
  <c r="AF119" i="1"/>
  <c r="AF75" i="1"/>
  <c r="AF74" i="1"/>
  <c r="AF124" i="1"/>
  <c r="AF136" i="1" s="1"/>
  <c r="AF135" i="1"/>
  <c r="AK113" i="1"/>
  <c r="AK115" i="1"/>
  <c r="AK81" i="1"/>
  <c r="AK79" i="1"/>
  <c r="AK70" i="1"/>
  <c r="AK125" i="1"/>
  <c r="AK126" i="1" s="1"/>
  <c r="AA71" i="1"/>
  <c r="AA72" i="1" s="1"/>
  <c r="AB119" i="1"/>
  <c r="AC135" i="1"/>
  <c r="AC126" i="1"/>
  <c r="AC136" i="1" s="1"/>
  <c r="AB124" i="1"/>
  <c r="AB136" i="1" s="1"/>
  <c r="AB135" i="1"/>
  <c r="AA124" i="1"/>
  <c r="AA136" i="1" s="1"/>
  <c r="AA135" i="1"/>
  <c r="AC118" i="1"/>
  <c r="AA118" i="1"/>
  <c r="AC119" i="1"/>
  <c r="AB118" i="1"/>
  <c r="AA119" i="1"/>
  <c r="AK110" i="1"/>
  <c r="AK107" i="1"/>
  <c r="AK73" i="1"/>
  <c r="AK75" i="1" s="1"/>
  <c r="AB75" i="1"/>
  <c r="AB74" i="1"/>
  <c r="AA75" i="1"/>
  <c r="AA76" i="1" s="1"/>
  <c r="AA74" i="1"/>
  <c r="AC75" i="1"/>
  <c r="AC74" i="1"/>
  <c r="AK131" i="1"/>
  <c r="AK132" i="1" s="1"/>
  <c r="AK106" i="1"/>
  <c r="AK117" i="1"/>
  <c r="AK104" i="1"/>
  <c r="AK101" i="1"/>
  <c r="AK111" i="1"/>
  <c r="AK100" i="1"/>
  <c r="AL69" i="1"/>
  <c r="AL73" i="1" s="1"/>
  <c r="AK105" i="1"/>
  <c r="AK112" i="1"/>
  <c r="AK129" i="1"/>
  <c r="AK130" i="1" s="1"/>
  <c r="AK108" i="1"/>
  <c r="AK83" i="1"/>
  <c r="AK109" i="1"/>
  <c r="AK133" i="1"/>
  <c r="AK102" i="1"/>
  <c r="AK127" i="1"/>
  <c r="AK128" i="1" s="1"/>
  <c r="AK114" i="1"/>
  <c r="AK103" i="1"/>
  <c r="AJ74" i="1"/>
  <c r="AK77" i="1"/>
  <c r="AK92" i="1"/>
  <c r="AK93" i="1" s="1"/>
  <c r="AJ118" i="1"/>
  <c r="AJ136" i="1"/>
  <c r="AJ119" i="1"/>
  <c r="AJ135" i="1"/>
  <c r="Y80" i="1"/>
  <c r="Y71" i="1" s="1"/>
  <c r="Y72" i="1" s="1"/>
  <c r="N80" i="1"/>
  <c r="N71" i="1" s="1"/>
  <c r="N72" i="1" s="1"/>
  <c r="O80" i="1"/>
  <c r="O71" i="1" s="1"/>
  <c r="O72" i="1" s="1"/>
  <c r="S80" i="1"/>
  <c r="S71" i="1" s="1"/>
  <c r="S72" i="1" s="1"/>
  <c r="Q80" i="1"/>
  <c r="Q71" i="1" s="1"/>
  <c r="Q72" i="1" s="1"/>
  <c r="R80" i="1"/>
  <c r="R71" i="1" s="1"/>
  <c r="R72" i="1" s="1"/>
  <c r="P80" i="1"/>
  <c r="P71" i="1" s="1"/>
  <c r="P72" i="1" s="1"/>
  <c r="AK91" i="1"/>
  <c r="AK84" i="1"/>
  <c r="AK86" i="1"/>
  <c r="AK87" i="1"/>
  <c r="AK90" i="1"/>
  <c r="AK85" i="1"/>
  <c r="AK124" i="1"/>
  <c r="AL77" i="1" l="1"/>
  <c r="AL92" i="1"/>
  <c r="AL79" i="1"/>
  <c r="AL81" i="1"/>
  <c r="AL104" i="1"/>
  <c r="AL110" i="1"/>
  <c r="AL105" i="1"/>
  <c r="AM69" i="1"/>
  <c r="AM114" i="1" s="1"/>
  <c r="AL106" i="1"/>
  <c r="AL125" i="1"/>
  <c r="AL126" i="1" s="1"/>
  <c r="AL70" i="1"/>
  <c r="AL127" i="1"/>
  <c r="AL128" i="1" s="1"/>
  <c r="AL112" i="1"/>
  <c r="AK74" i="1"/>
  <c r="AL115" i="1"/>
  <c r="AL83" i="1"/>
  <c r="AL108" i="1"/>
  <c r="AL117" i="1"/>
  <c r="AK118" i="1"/>
  <c r="AK135" i="1"/>
  <c r="AL116" i="1"/>
  <c r="AL102" i="1"/>
  <c r="AL100" i="1"/>
  <c r="AK119" i="1"/>
  <c r="AL111" i="1"/>
  <c r="AL129" i="1"/>
  <c r="AL130" i="1" s="1"/>
  <c r="AL123" i="1"/>
  <c r="AL124" i="1" s="1"/>
  <c r="AL114" i="1"/>
  <c r="AL131" i="1"/>
  <c r="AL132" i="1" s="1"/>
  <c r="AL101" i="1"/>
  <c r="AL103" i="1"/>
  <c r="AK136" i="1"/>
  <c r="AL113" i="1"/>
  <c r="AL133" i="1"/>
  <c r="AL107" i="1"/>
  <c r="AL109" i="1"/>
  <c r="AL91" i="1"/>
  <c r="AL93" i="1"/>
  <c r="AL74" i="1"/>
  <c r="AL75" i="1"/>
  <c r="AL87" i="1"/>
  <c r="AL86" i="1"/>
  <c r="AL84" i="1"/>
  <c r="AL90" i="1"/>
  <c r="AL85" i="1"/>
  <c r="AM83" i="1"/>
  <c r="AN69" i="1"/>
  <c r="AM103" i="1"/>
  <c r="AH82" i="1" l="1"/>
  <c r="AH80" i="1" s="1"/>
  <c r="AH78" i="1"/>
  <c r="AG78" i="1"/>
  <c r="AE82" i="1"/>
  <c r="AE80" i="1" s="1"/>
  <c r="AG82" i="1"/>
  <c r="AG80" i="1" s="1"/>
  <c r="AE78" i="1"/>
  <c r="AG76" i="1"/>
  <c r="AE76" i="1"/>
  <c r="AF78" i="1"/>
  <c r="AH76" i="1"/>
  <c r="AF82" i="1"/>
  <c r="AF80" i="1" s="1"/>
  <c r="AF76" i="1"/>
  <c r="AM112" i="1"/>
  <c r="AM70" i="1"/>
  <c r="AM115" i="1"/>
  <c r="AM116" i="1"/>
  <c r="AM100" i="1"/>
  <c r="AM113" i="1"/>
  <c r="AM101" i="1"/>
  <c r="AM133" i="1"/>
  <c r="AM127" i="1"/>
  <c r="AM128" i="1" s="1"/>
  <c r="AM109" i="1"/>
  <c r="AM125" i="1"/>
  <c r="AM126" i="1" s="1"/>
  <c r="AM92" i="1"/>
  <c r="AM93" i="1" s="1"/>
  <c r="AM79" i="1"/>
  <c r="AM81" i="1"/>
  <c r="AN92" i="1"/>
  <c r="AN79" i="1"/>
  <c r="AN81" i="1"/>
  <c r="AM105" i="1"/>
  <c r="AM110" i="1"/>
  <c r="AM102" i="1"/>
  <c r="AM104" i="1"/>
  <c r="AM107" i="1"/>
  <c r="AM131" i="1"/>
  <c r="AM132" i="1" s="1"/>
  <c r="AM108" i="1"/>
  <c r="AM77" i="1"/>
  <c r="AM111" i="1"/>
  <c r="AM106" i="1"/>
  <c r="AM73" i="1"/>
  <c r="AM75" i="1" s="1"/>
  <c r="AM123" i="1"/>
  <c r="AM124" i="1" s="1"/>
  <c r="AM129" i="1"/>
  <c r="AM130" i="1" s="1"/>
  <c r="AL118" i="1"/>
  <c r="AM117" i="1"/>
  <c r="AL136" i="1"/>
  <c r="AL119" i="1"/>
  <c r="AL135" i="1"/>
  <c r="AN73" i="1"/>
  <c r="AN77" i="1"/>
  <c r="AM91" i="1"/>
  <c r="AM87" i="1"/>
  <c r="AM84" i="1"/>
  <c r="AM86" i="1"/>
  <c r="AM90" i="1"/>
  <c r="AM85" i="1"/>
  <c r="AN83" i="1"/>
  <c r="AO69" i="1"/>
  <c r="AN127" i="1"/>
  <c r="AN128" i="1" s="1"/>
  <c r="AN105" i="1"/>
  <c r="AN101" i="1"/>
  <c r="AN110" i="1"/>
  <c r="AN131" i="1"/>
  <c r="AN132" i="1" s="1"/>
  <c r="AN103" i="1"/>
  <c r="AN129" i="1"/>
  <c r="AN130" i="1" s="1"/>
  <c r="AN109" i="1"/>
  <c r="AN102" i="1"/>
  <c r="AN107" i="1"/>
  <c r="AN123" i="1"/>
  <c r="AN106" i="1"/>
  <c r="AN111" i="1"/>
  <c r="AN113" i="1"/>
  <c r="AN70" i="1"/>
  <c r="AN125" i="1"/>
  <c r="AN126" i="1" s="1"/>
  <c r="AN116" i="1"/>
  <c r="AN104" i="1"/>
  <c r="AN117" i="1"/>
  <c r="AN100" i="1"/>
  <c r="AN115" i="1"/>
  <c r="AN114" i="1"/>
  <c r="AN108" i="1"/>
  <c r="AN133" i="1"/>
  <c r="AN112" i="1"/>
  <c r="AH71" i="1" l="1"/>
  <c r="AH72" i="1" s="1"/>
  <c r="AF71" i="1"/>
  <c r="AF72" i="1" s="1"/>
  <c r="AE71" i="1"/>
  <c r="AE72" i="1" s="1"/>
  <c r="AG71" i="1"/>
  <c r="AG72" i="1" s="1"/>
  <c r="AM118" i="1"/>
  <c r="AM74" i="1"/>
  <c r="AM119" i="1"/>
  <c r="AM136" i="1"/>
  <c r="AO92" i="1"/>
  <c r="AO81" i="1"/>
  <c r="AO79" i="1"/>
  <c r="AM135" i="1"/>
  <c r="AB82" i="1"/>
  <c r="AC82" i="1"/>
  <c r="AC78" i="1"/>
  <c r="AB78" i="1"/>
  <c r="AB76" i="1"/>
  <c r="AC76" i="1"/>
  <c r="AN93" i="1"/>
  <c r="AN91" i="1"/>
  <c r="AO73" i="1"/>
  <c r="AO77" i="1"/>
  <c r="AN74" i="1"/>
  <c r="AN75" i="1"/>
  <c r="AN84" i="1"/>
  <c r="AN86" i="1"/>
  <c r="AN90" i="1"/>
  <c r="AN85" i="1"/>
  <c r="AN87" i="1"/>
  <c r="AO83" i="1"/>
  <c r="AP69" i="1"/>
  <c r="AN118" i="1"/>
  <c r="AN119" i="1"/>
  <c r="AN124" i="1"/>
  <c r="AN136" i="1" s="1"/>
  <c r="AN135" i="1"/>
  <c r="AO106" i="1"/>
  <c r="AO112" i="1"/>
  <c r="AO109" i="1"/>
  <c r="AO101" i="1"/>
  <c r="AO103" i="1"/>
  <c r="AO100" i="1"/>
  <c r="AO133" i="1"/>
  <c r="AO110" i="1"/>
  <c r="AO131" i="1"/>
  <c r="AO132" i="1" s="1"/>
  <c r="AO104" i="1"/>
  <c r="AO113" i="1"/>
  <c r="AO107" i="1"/>
  <c r="AO115" i="1"/>
  <c r="AO129" i="1"/>
  <c r="AO130" i="1" s="1"/>
  <c r="AO125" i="1"/>
  <c r="AO126" i="1" s="1"/>
  <c r="AO123" i="1"/>
  <c r="AO102" i="1"/>
  <c r="AO116" i="1"/>
  <c r="AO117" i="1"/>
  <c r="AO114" i="1"/>
  <c r="AO127" i="1"/>
  <c r="AO128" i="1" s="1"/>
  <c r="AO108" i="1"/>
  <c r="AO111" i="1"/>
  <c r="AO105" i="1"/>
  <c r="AO70" i="1"/>
  <c r="AP92" i="1" l="1"/>
  <c r="AP81" i="1"/>
  <c r="AP79" i="1"/>
  <c r="AC80" i="1"/>
  <c r="AC71" i="1" s="1"/>
  <c r="AC72" i="1" s="1"/>
  <c r="AB80" i="1"/>
  <c r="AB71" i="1" s="1"/>
  <c r="AB72" i="1" s="1"/>
  <c r="AD76" i="1"/>
  <c r="AD78" i="1"/>
  <c r="AD82" i="1"/>
  <c r="AI82" i="1"/>
  <c r="AI78" i="1"/>
  <c r="AI76" i="1"/>
  <c r="AP73" i="1"/>
  <c r="AP75" i="1" s="1"/>
  <c r="AP77" i="1"/>
  <c r="AO93" i="1"/>
  <c r="AO91" i="1"/>
  <c r="AO74" i="1"/>
  <c r="AO75" i="1"/>
  <c r="AO90" i="1"/>
  <c r="AO85" i="1"/>
  <c r="AO84" i="1"/>
  <c r="AO86" i="1"/>
  <c r="AO87" i="1"/>
  <c r="AP83" i="1"/>
  <c r="AQ69" i="1"/>
  <c r="AP123" i="1"/>
  <c r="AP129" i="1"/>
  <c r="AP130" i="1" s="1"/>
  <c r="AP125" i="1"/>
  <c r="AP126" i="1" s="1"/>
  <c r="AP70" i="1"/>
  <c r="AP131" i="1"/>
  <c r="AP132" i="1" s="1"/>
  <c r="AP127" i="1"/>
  <c r="AP128" i="1" s="1"/>
  <c r="AP133" i="1"/>
  <c r="AP102" i="1"/>
  <c r="AP103" i="1"/>
  <c r="AP109" i="1"/>
  <c r="AP104" i="1"/>
  <c r="AP117" i="1"/>
  <c r="AP108" i="1"/>
  <c r="AP116" i="1"/>
  <c r="AP114" i="1"/>
  <c r="AP100" i="1"/>
  <c r="AP105" i="1"/>
  <c r="AP115" i="1"/>
  <c r="AP110" i="1"/>
  <c r="AP101" i="1"/>
  <c r="AP111" i="1"/>
  <c r="AP112" i="1"/>
  <c r="AP106" i="1"/>
  <c r="AP113" i="1"/>
  <c r="AP107" i="1"/>
  <c r="AO118" i="1"/>
  <c r="AO124" i="1"/>
  <c r="AO136" i="1" s="1"/>
  <c r="AO135" i="1"/>
  <c r="AO119" i="1"/>
  <c r="AQ81" i="1" l="1"/>
  <c r="AQ79" i="1"/>
  <c r="D65" i="1"/>
  <c r="AQ92" i="1"/>
  <c r="AR92" i="1" s="1"/>
  <c r="AD80" i="1"/>
  <c r="AD71" i="1" s="1"/>
  <c r="AD72" i="1" s="1"/>
  <c r="AI80" i="1"/>
  <c r="AI71" i="1" s="1"/>
  <c r="AI72" i="1" s="1"/>
  <c r="AJ78" i="1"/>
  <c r="AK76" i="1"/>
  <c r="AL76" i="1"/>
  <c r="AM76" i="1"/>
  <c r="AK78" i="1"/>
  <c r="AJ76" i="1"/>
  <c r="AL78" i="1"/>
  <c r="AJ82" i="1"/>
  <c r="AK82" i="1"/>
  <c r="AL82" i="1"/>
  <c r="AQ73" i="1"/>
  <c r="AQ77" i="1"/>
  <c r="AP91" i="1"/>
  <c r="AM78" i="1" s="1"/>
  <c r="AP93" i="1"/>
  <c r="AP74" i="1"/>
  <c r="AP85" i="1"/>
  <c r="AP86" i="1"/>
  <c r="AP84" i="1"/>
  <c r="AP87" i="1"/>
  <c r="AP90" i="1"/>
  <c r="AQ83" i="1"/>
  <c r="AP124" i="1"/>
  <c r="AP136" i="1" s="1"/>
  <c r="AP135" i="1"/>
  <c r="AP118" i="1"/>
  <c r="AP119" i="1"/>
  <c r="AQ123" i="1"/>
  <c r="AQ129" i="1"/>
  <c r="AQ130" i="1" s="1"/>
  <c r="AQ131" i="1"/>
  <c r="AQ132" i="1" s="1"/>
  <c r="AQ127" i="1"/>
  <c r="AQ128" i="1" s="1"/>
  <c r="AQ133" i="1"/>
  <c r="AQ125" i="1"/>
  <c r="AQ126" i="1" s="1"/>
  <c r="AQ103" i="1"/>
  <c r="AR69" i="1"/>
  <c r="AQ70" i="1"/>
  <c r="AQ102" i="1"/>
  <c r="AQ108" i="1"/>
  <c r="AQ104" i="1"/>
  <c r="AQ117" i="1"/>
  <c r="AQ101" i="1"/>
  <c r="AQ109" i="1"/>
  <c r="AQ105" i="1"/>
  <c r="AQ111" i="1"/>
  <c r="AQ116" i="1"/>
  <c r="AQ107" i="1"/>
  <c r="AQ100" i="1"/>
  <c r="AQ110" i="1"/>
  <c r="AQ112" i="1"/>
  <c r="AQ106" i="1"/>
  <c r="AQ115" i="1"/>
  <c r="AQ114" i="1"/>
  <c r="AQ113" i="1"/>
  <c r="AM82" i="1" l="1"/>
  <c r="AM80" i="1" s="1"/>
  <c r="AM71" i="1" s="1"/>
  <c r="AM72" i="1" s="1"/>
  <c r="AR81" i="1"/>
  <c r="AR79" i="1"/>
  <c r="AR112" i="1"/>
  <c r="AR73" i="1"/>
  <c r="AK80" i="1"/>
  <c r="AK71" i="1" s="1"/>
  <c r="AK72" i="1" s="1"/>
  <c r="AL80" i="1"/>
  <c r="AL71" i="1" s="1"/>
  <c r="AL72" i="1" s="1"/>
  <c r="AJ80" i="1"/>
  <c r="AJ71" i="1" s="1"/>
  <c r="AJ72" i="1" s="1"/>
  <c r="AQ91" i="1"/>
  <c r="AQ93" i="1"/>
  <c r="AR83" i="1"/>
  <c r="AR77" i="1"/>
  <c r="AQ74" i="1"/>
  <c r="AQ75" i="1"/>
  <c r="AQ86" i="1"/>
  <c r="AQ85" i="1"/>
  <c r="AQ84" i="1"/>
  <c r="AQ87" i="1"/>
  <c r="AQ90" i="1"/>
  <c r="AQ119" i="1"/>
  <c r="AQ135" i="1"/>
  <c r="AQ124" i="1"/>
  <c r="AQ136" i="1" s="1"/>
  <c r="AQ118" i="1"/>
  <c r="AR127" i="1"/>
  <c r="AR128" i="1" s="1"/>
  <c r="AR123" i="1"/>
  <c r="AR129" i="1"/>
  <c r="AR130" i="1" s="1"/>
  <c r="AR125" i="1"/>
  <c r="AR126" i="1" s="1"/>
  <c r="AR131" i="1"/>
  <c r="AR132" i="1" s="1"/>
  <c r="AR133" i="1"/>
  <c r="AR103" i="1"/>
  <c r="AR102" i="1"/>
  <c r="AR113" i="1"/>
  <c r="AR107" i="1"/>
  <c r="AR110" i="1"/>
  <c r="AR101" i="1"/>
  <c r="AR108" i="1"/>
  <c r="AR106" i="1"/>
  <c r="AR114" i="1"/>
  <c r="AR111" i="1"/>
  <c r="AR116" i="1"/>
  <c r="AR109" i="1"/>
  <c r="AR104" i="1"/>
  <c r="AR70" i="1"/>
  <c r="AR100" i="1"/>
  <c r="AR117" i="1"/>
  <c r="AR105" i="1"/>
  <c r="AR115" i="1"/>
  <c r="AN78" i="1" l="1"/>
  <c r="AN82" i="1"/>
  <c r="AN76" i="1"/>
  <c r="AO78" i="1"/>
  <c r="AO82" i="1"/>
  <c r="AO76" i="1"/>
  <c r="AR75" i="1"/>
  <c r="AR74" i="1"/>
  <c r="AR91" i="1"/>
  <c r="AR93" i="1"/>
  <c r="AR87" i="1"/>
  <c r="AR84" i="1"/>
  <c r="AR90" i="1"/>
  <c r="AR85" i="1"/>
  <c r="AR86" i="1"/>
  <c r="AR119" i="1"/>
  <c r="AR118" i="1"/>
  <c r="AR124" i="1"/>
  <c r="AR136" i="1" s="1"/>
  <c r="AR135" i="1"/>
  <c r="AN80" i="1" l="1"/>
  <c r="AN71" i="1" s="1"/>
  <c r="AN72" i="1" s="1"/>
  <c r="AO80" i="1"/>
  <c r="AO71" i="1" s="1"/>
  <c r="AO72" i="1" s="1"/>
  <c r="AP78" i="1"/>
  <c r="AP76" i="1"/>
  <c r="AQ76" i="1"/>
  <c r="AQ78" i="1"/>
  <c r="AP82" i="1"/>
  <c r="AQ82" i="1"/>
  <c r="AS91" i="1"/>
  <c r="AS93" i="1"/>
  <c r="AS87" i="1"/>
  <c r="AS84" i="1"/>
  <c r="AS90" i="1"/>
  <c r="AT68" i="1"/>
  <c r="AS86" i="1"/>
  <c r="AS85" i="1"/>
  <c r="AR82" i="1" l="1"/>
  <c r="AR78" i="1"/>
  <c r="AR76" i="1"/>
  <c r="AS76" i="1"/>
  <c r="AP80" i="1"/>
  <c r="AP71" i="1" s="1"/>
  <c r="AP72" i="1" s="1"/>
  <c r="AQ80" i="1"/>
  <c r="AQ71" i="1" s="1"/>
  <c r="AQ72" i="1" s="1"/>
  <c r="AS82" i="1"/>
  <c r="AS80" i="1" s="1"/>
  <c r="AT91" i="1"/>
  <c r="AT90" i="1"/>
  <c r="AT93" i="1"/>
  <c r="AR80" i="1" l="1"/>
  <c r="AR71" i="1" s="1"/>
  <c r="AR72" i="1" s="1"/>
  <c r="AS78" i="1"/>
  <c r="AS71" i="1" s="1"/>
  <c r="AS72" i="1" s="1"/>
</calcChain>
</file>

<file path=xl/sharedStrings.xml><?xml version="1.0" encoding="utf-8"?>
<sst xmlns="http://schemas.openxmlformats.org/spreadsheetml/2006/main" count="445" uniqueCount="350">
  <si>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</si>
  <si>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</si>
  <si>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</si>
  <si>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</si>
  <si>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</si>
  <si>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</si>
  <si>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</si>
  <si>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</si>
  <si>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</si>
  <si>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</si>
  <si>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</si>
  <si>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</si>
  <si>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</si>
  <si>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</si>
  <si>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</si>
  <si>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</si>
  <si>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</si>
  <si>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</si>
  <si>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</si>
  <si>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</si>
  <si>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</si>
  <si>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</si>
  <si>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</si>
  <si>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</si>
  <si>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</si>
  <si>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</si>
  <si>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</si>
  <si>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</si>
  <si>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</si>
  <si>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</si>
  <si>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</si>
  <si>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</si>
  <si>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</si>
  <si>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</si>
  <si>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</si>
  <si>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</si>
  <si>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</si>
  <si>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</si>
  <si>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</si>
  <si>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</si>
  <si>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</si>
  <si>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</si>
  <si>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</si>
  <si>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</si>
  <si>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</si>
  <si>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</si>
  <si>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</si>
  <si>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</si>
  <si>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</si>
  <si>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</si>
  <si>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</si>
  <si>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</si>
  <si>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</si>
  <si>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</si>
  <si>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</si>
  <si>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</si>
  <si>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</si>
  <si>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</si>
  <si>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</si>
  <si>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</si>
  <si>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</si>
  <si>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</si>
  <si>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</si>
  <si>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</si>
  <si>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</si>
  <si>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</si>
  <si>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</si>
  <si>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</si>
  <si>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</si>
  <si>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</si>
  <si>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</si>
  <si>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</si>
  <si>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</si>
  <si>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</si>
  <si>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</si>
  <si>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</si>
  <si>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</si>
  <si>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</si>
  <si>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</si>
  <si>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</si>
  <si>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</si>
  <si>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</si>
  <si>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</si>
  <si>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</si>
  <si>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</si>
  <si>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</si>
  <si>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</si>
  <si>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</si>
  <si>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</si>
  <si>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</si>
  <si>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</si>
  <si>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</si>
  <si>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</si>
  <si>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</si>
  <si>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</si>
  <si>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</si>
  <si>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</si>
  <si>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</si>
  <si>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</si>
  <si>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</si>
  <si>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</si>
  <si>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</si>
  <si>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</si>
  <si>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</si>
  <si>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</si>
  <si>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</si>
  <si>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</si>
  <si>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</si>
  <si>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</si>
  <si>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</si>
  <si>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</si>
  <si>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</si>
  <si>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</si>
  <si>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</si>
  <si>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</si>
  <si>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</si>
  <si>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</si>
  <si>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</si>
  <si>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</si>
  <si>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</si>
  <si>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</si>
  <si>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</si>
  <si>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</si>
  <si>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</si>
  <si>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</si>
  <si>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</si>
  <si>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</si>
  <si>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</si>
  <si>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</si>
  <si>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</si>
  <si>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</si>
  <si>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</si>
  <si>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</si>
  <si>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</si>
  <si>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</si>
  <si>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</si>
  <si>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</si>
  <si>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</si>
  <si>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</si>
  <si>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</si>
  <si>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</si>
  <si>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</si>
  <si>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</si>
  <si>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</si>
  <si>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</si>
  <si>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</si>
  <si>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</si>
  <si>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</si>
  <si>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</si>
  <si>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</si>
  <si>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</si>
  <si>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</si>
  <si>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</si>
  <si>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</si>
  <si>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</si>
  <si>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</si>
  <si>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</si>
  <si>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</si>
  <si>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</si>
  <si>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</si>
  <si>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</si>
  <si>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</si>
  <si>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</si>
  <si>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</si>
  <si>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</si>
  <si>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</si>
  <si>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</si>
  <si>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</si>
  <si>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</si>
  <si>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</si>
  <si>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</si>
  <si>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</si>
  <si>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</si>
  <si>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</si>
  <si>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</si>
  <si>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</si>
  <si>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</si>
  <si>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</si>
  <si>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</si>
  <si>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</si>
  <si>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</si>
  <si>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</si>
  <si>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</si>
  <si>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</si>
  <si>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</si>
  <si>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</si>
  <si>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</si>
  <si>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</si>
  <si>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</si>
  <si>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</si>
  <si>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</si>
  <si>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</si>
  <si>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</si>
  <si>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</si>
  <si>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</si>
  <si>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</si>
  <si>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</si>
  <si>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</si>
  <si>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</si>
  <si>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</si>
  <si>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</si>
  <si>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</si>
  <si>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</si>
  <si>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</si>
  <si>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</si>
  <si>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</si>
  <si>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</si>
  <si>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</si>
  <si>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</si>
  <si>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</si>
  <si>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</si>
  <si>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</si>
  <si>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</si>
  <si>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</si>
  <si>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</si>
  <si>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</si>
  <si>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</si>
  <si>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</si>
  <si>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</si>
  <si>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</si>
  <si>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</si>
  <si>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</si>
  <si>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</si>
  <si>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</si>
  <si>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</si>
  <si>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</si>
  <si>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</si>
  <si>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</si>
  <si>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</si>
  <si>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</si>
  <si>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</si>
  <si>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</si>
  <si>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</si>
  <si>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</si>
  <si>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</si>
  <si>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</si>
  <si>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</si>
  <si>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</si>
  <si>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</si>
  <si>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</si>
  <si>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</si>
  <si>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</si>
  <si>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</si>
  <si>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</si>
  <si>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</si>
  <si>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</si>
  <si>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</si>
  <si>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</si>
  <si>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</si>
  <si>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</si>
  <si>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</si>
  <si>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</si>
  <si>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</si>
  <si>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</si>
  <si>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</si>
  <si>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</si>
  <si>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</si>
  <si>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</si>
  <si>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</si>
  <si>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</si>
  <si>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</si>
  <si>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</si>
  <si>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</si>
  <si>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</si>
  <si>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</si>
  <si>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</si>
  <si>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</si>
  <si>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</si>
  <si>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</si>
  <si>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</si>
  <si>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</si>
  <si>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</si>
  <si>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</si>
  <si>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</si>
  <si>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</si>
  <si>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</si>
  <si>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</si>
  <si>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</si>
  <si>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</si>
  <si>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</si>
  <si>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</si>
  <si>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</si>
  <si>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</si>
  <si>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</si>
  <si>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</si>
  <si>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</si>
  <si>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</si>
  <si>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</si>
  <si>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</si>
  <si>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</si>
  <si>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</si>
  <si>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</si>
  <si>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</si>
  <si>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</si>
  <si>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</si>
  <si>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</si>
  <si>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</si>
  <si>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</si>
  <si>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</si>
  <si>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</si>
  <si>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</si>
  <si>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</si>
  <si>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</si>
  <si>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</si>
  <si>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</si>
  <si>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</si>
  <si>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</si>
  <si>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</si>
  <si>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</si>
  <si>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</si>
  <si>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</si>
  <si>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</si>
  <si>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</si>
  <si>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</si>
  <si>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</si>
  <si>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</si>
  <si>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</si>
  <si>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</si>
  <si>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</si>
  <si>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Jobkeeper wage subsidies for childcare services to be stopped.</t>
  </si>
  <si>
    <t>China releases travel advisory to Chinese students against studying in Australia due to racism</t>
  </si>
  <si>
    <t>Govt suggests increasing cyber attacks on Australian govt and business sites are from a foreign actor (implying China), assumption being that it is related to the increasing tensions with China</t>
  </si>
  <si>
    <t>Victorian govt puts further relaxation of distancing rules on hold as the state sees a spike in new COVID-19 cases, state of emergency to stay in place for another four weeks, other states begin to reconsider their scheduled border reopenings.</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</si>
  <si>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</si>
  <si>
    <t>After it emerged a few days ago that up to one third of returned OS travellers refuse testing and are still let out of quarantine, Vic PM announces that testing will be mandatory on day 11 of quarantine from today.  If they refused, they would need to stay in quarantine for an additional 10 days in line with recent NSW changes to their quarantine regime.</t>
  </si>
  <si>
    <t>The Fed govt announces that it would send 1,000 ADF members to Vic to help with testing, and transport related to testing and quarantining.  By the following day, the request from Vic was modified, and the Fed govt announced that it would only send several hundred personnel.  Both Coles and Woolworths have had to announce limits on various items due to a return to panic buying again across Vic, not just in Melbourne.</t>
  </si>
  <si>
    <t>A couple of days into a testing blitz door to door across LGA hotspots with an aim to test 10,000 people a day across 10 Melbourne suburbs in 10 days, mainly in the north west and south east suburbs, the Vic govt sends out an SMS to residents in the LGAs that COVID-19 teams are door knocking in your area.  Half of all cases were from family events.  No evidence to support any clusters originating from the BLM protests.  There also appears to be widespread indifference in the hotspot communities with respect to COVID-19.</t>
  </si>
  <si>
    <t>Victoria puts 10 postcodes, more than 30 Melbourne suburbs back in lockdown following increased community spread from family gatherings and security officers and their families who had been responsible for quarantining returned visitors in hotels.</t>
  </si>
  <si>
    <t>Cases in Vic begin arising again</t>
  </si>
  <si>
    <t>China's Foreign Ministry has escalated its attacks on Australia, accusing the Federal Government of conducting espionage in China, alleging that Chinese authorities had disrupted an Australian spy operation 2 years ago.</t>
  </si>
  <si>
    <t>$708 billion budgeted for childcare services to replace JobKeeper until 27/9/2020, covering 25% of the fee revenue they received before COVID.  The amount is also meant to cover other services that will begin winding back JobKeeper support from 13/7/2020</t>
  </si>
  <si>
    <t>A new study of Chinese students show 40% who had intended to study overseas still plan to, while just under 5-% of those who had studied overseas plan to return to their studies after the borders reopen.  Many students in relation to plans related to study Australia cited among other reasons, Chinese media reports of Chinese being discriminated against and abused in Australia and deterioration in Sino-Australian relations.</t>
  </si>
  <si>
    <t>DFAT issues a travel advisory warning that Australians at risk of arbitrary arrest in China stating that Chinese Govt authorities have detained foreigners because they were allegedly "endangering national security", with the Australian govt warning that the Chinese govt could engage in "hostage diplomacy".</t>
  </si>
  <si>
    <t>Victoria locks down several public housing high rise apartment blocks and a couple more postocdes as new case numbers continue to rise.</t>
  </si>
  <si>
    <t>Childcare fees return as Victorian students from prep to year 10 to return to remote learning.</t>
  </si>
  <si>
    <t>Victoria goes back into lockdown, NSW and SA close their borders to Victoria. Australia to allow international university students to return before all state borders open, this was a previous criteria for accepting international students again.  QLD lifts its borders for all states except VIC.  Court challenges of QLD border closures have been adjourned to a future date while Clive Palmer's challenge of the WA border closure to return to court on 13 - 14th July.</t>
  </si>
  <si>
    <t>PM Scott Morrison pleads with Australians to stop embracing each other - even in their own homes to prevent another wave of COVID-19 from spreading across Australia.  Morrison also announced a new limit on the number of Australian citizens and permanent residents permitted to return from overseas of 4000 per week, down from 8000.</t>
  </si>
  <si>
    <t>NSW tightens restrictions on border with Vic</t>
  </si>
  <si>
    <t>Wearing face masks in public becomes mandatory in Melbourne and Mitchell Shire, state of emergency to extend by another four weeks.</t>
  </si>
  <si>
    <t>Chinese authorities have ratcheted up their travel advice for Australia, alleging Australian law enforcement agencies have been "arbitrarily" searching Chinese citizens and seizing their possessions, days after DFAT had upgraded its travel warnings to China "Authorities have detained foreigners because they're 'endangering national security'. Australians may also be at risk of arbitrary detention."  The Chinese travel advisory was potentially in response to the DFAT advisory as well as a move by China in response to Australia tearing up an extradition treaty with Hong Kong and offering some of its citizens the possibility of permanent residency in Australia following China's decision to impose new national security laws in the city as well as to Australia's new defence strategy calling out China as a regional threat, on top of Australia's call for an investigation into China's handling of the COVID-19 outbreak.</t>
  </si>
  <si>
    <t>The next Fed Parliament sitting scheduled for Aug 4 has been cancelled because of growing coronavirus case numbers in VIC and NSW despite the irony of Fed politicians encouraging people to get back to work amid the virus while not willing to put themselves at risk.</t>
  </si>
  <si>
    <t>https://www.abc.net.au/news/2020-03-17/coronavirus-cases-data-reveals-how-covid-19-spreads-in-australia/12060704?nw=0</t>
  </si>
  <si>
    <t>Cases in Vic peak 12/8</t>
  </si>
  <si>
    <t>Outdoor gatherings &lt; 500, VIC declares State of Emergency</t>
  </si>
  <si>
    <t>SA, WA, NT borders closed.</t>
  </si>
  <si>
    <t>Stage 2 Shutdown. Non-essential businesses closed</t>
  </si>
  <si>
    <t>A number of public housing high rise apartment blocks are cleared after testing, others with COVID-19 cases to have those "strongly encouraged" to move to a hotel to quarantine.  Lockdown expanded to metropolitan Melbourne and Mitchell Shire in Vic</t>
  </si>
  <si>
    <t>Curfew and 5km travel restrictions for metropolitan Melbourne</t>
  </si>
  <si>
    <t>Melbourne begins relaxing restrictions</t>
  </si>
  <si>
    <t>Melbourne's lockdown partially lifted, ending 112 days under lockdown restrictions.  25 km travel limit in place and some types of business still unable to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</si>
</sst>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right style="dotted">
        <color auto="1"/>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2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0" fontId="9" fillId="0" borderId="0" xfId="0" applyFont="1" applyFill="1"/>
    <xf numFmtId="14" fontId="9" fillId="0" borderId="16"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0" fontId="9" fillId="0" borderId="0" xfId="0" applyFont="1"/>
    <xf numFmtId="14" fontId="11" fillId="10" borderId="18" xfId="0" applyNumberFormat="1" applyFont="1" applyFill="1" applyBorder="1"/>
    <xf numFmtId="14" fontId="11" fillId="10" borderId="19" xfId="0" applyNumberFormat="1" applyFont="1" applyFill="1" applyBorder="1"/>
    <xf numFmtId="14" fontId="11" fillId="15" borderId="19" xfId="0" applyNumberFormat="1" applyFont="1" applyFill="1" applyBorder="1"/>
    <xf numFmtId="14" fontId="11" fillId="4" borderId="19" xfId="0" applyNumberFormat="1" applyFont="1" applyFill="1" applyBorder="1"/>
    <xf numFmtId="14" fontId="11" fillId="8" borderId="19" xfId="0" applyNumberFormat="1" applyFont="1" applyFill="1" applyBorder="1"/>
    <xf numFmtId="3" fontId="0" fillId="8" borderId="0" xfId="0" applyNumberFormat="1" applyFill="1" applyBorder="1"/>
    <xf numFmtId="3" fontId="0" fillId="8" borderId="3" xfId="0" applyNumberFormat="1" applyFill="1" applyBorder="1"/>
    <xf numFmtId="164" fontId="0" fillId="0" borderId="4" xfId="0" applyNumberFormat="1" applyBorder="1"/>
    <xf numFmtId="10" fontId="0" fillId="0" borderId="4" xfId="0" applyNumberFormat="1" applyBorder="1"/>
    <xf numFmtId="170" fontId="0" fillId="0" borderId="0" xfId="0" applyNumberFormat="1" applyBorder="1"/>
    <xf numFmtId="164" fontId="0" fillId="3" borderId="7" xfId="0" applyNumberFormat="1" applyFill="1" applyBorder="1"/>
    <xf numFmtId="0" fontId="0" fillId="0" borderId="7" xfId="0" applyFill="1" applyBorder="1"/>
    <xf numFmtId="0" fontId="0" fillId="0" borderId="0" xfId="0" applyFont="1" applyBorder="1"/>
    <xf numFmtId="0" fontId="11" fillId="0" borderId="0" xfId="0" applyFont="1"/>
    <xf numFmtId="14" fontId="11" fillId="0" borderId="0" xfId="0" applyNumberFormat="1" applyFont="1"/>
    <xf numFmtId="14" fontId="11" fillId="0" borderId="19" xfId="0" applyNumberFormat="1" applyFont="1" applyFill="1" applyBorder="1"/>
    <xf numFmtId="0" fontId="11" fillId="3" borderId="0" xfId="0" applyFont="1" applyFill="1"/>
    <xf numFmtId="14" fontId="11" fillId="3" borderId="0" xfId="0" applyNumberFormat="1" applyFont="1" applyFill="1"/>
    <xf numFmtId="0" fontId="5" fillId="0" borderId="0" xfId="1"/>
    <xf numFmtId="3" fontId="9" fillId="8" borderId="14" xfId="0" applyNumberFormat="1" applyFont="1" applyFill="1" applyBorder="1"/>
    <xf numFmtId="3" fontId="9" fillId="2" borderId="14" xfId="0" applyNumberFormat="1" applyFont="1" applyFill="1" applyBorder="1"/>
    <xf numFmtId="1" fontId="0" fillId="0" borderId="0" xfId="0" applyNumberFormat="1"/>
    <xf numFmtId="171" fontId="0" fillId="4" borderId="3" xfId="0" applyNumberFormat="1" applyFill="1" applyBorder="1"/>
    <xf numFmtId="171" fontId="0" fillId="4" borderId="0" xfId="0" applyNumberFormat="1" applyFill="1" applyBorder="1"/>
    <xf numFmtId="171" fontId="0" fillId="0" borderId="0" xfId="0" applyNumberFormat="1" applyFill="1" applyBorder="1"/>
    <xf numFmtId="171" fontId="0" fillId="0" borderId="3" xfId="0" applyNumberFormat="1" applyFill="1" applyBorder="1"/>
    <xf numFmtId="171" fontId="9" fillId="4" borderId="3" xfId="0" applyNumberFormat="1" applyFont="1" applyFill="1" applyBorder="1"/>
    <xf numFmtId="171" fontId="9" fillId="0" borderId="21" xfId="0" applyNumberFormat="1" applyFont="1" applyFill="1" applyBorder="1"/>
    <xf numFmtId="171" fontId="0" fillId="2" borderId="13" xfId="0" applyNumberFormat="1" applyFill="1" applyBorder="1"/>
    <xf numFmtId="171" fontId="0" fillId="2" borderId="14" xfId="0" applyNumberFormat="1" applyFill="1" applyBorder="1"/>
    <xf numFmtId="171" fontId="0" fillId="2" borderId="15" xfId="0" applyNumberFormat="1" applyFill="1" applyBorder="1"/>
    <xf numFmtId="171" fontId="9" fillId="4" borderId="15" xfId="0" applyNumberFormat="1" applyFont="1" applyFill="1" applyBorder="1"/>
    <xf numFmtId="171" fontId="0" fillId="0" borderId="4" xfId="0" applyNumberFormat="1" applyFill="1" applyBorder="1"/>
    <xf numFmtId="14" fontId="9" fillId="8" borderId="14" xfId="0" applyNumberFormat="1" applyFont="1" applyFill="1" applyBorder="1"/>
    <xf numFmtId="14" fontId="11" fillId="8" borderId="20"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4-8BCC-427B-903C-670C749E04E9}"/>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50BE-40C1-B679-81AF0BCE3FCD}"/>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0-A3C2-4B4C-996C-CDB1A252886F}"/>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1-A3C2-4B4C-996C-CDB1A252886F}"/>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2-A3C2-4B4C-996C-CDB1A252886F}"/>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A3C2-4B4C-996C-CDB1A252886F}"/>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7972-43AB-83E8-C2C99B4277B0}"/>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1-7972-43AB-83E8-C2C99B4277B0}"/>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2-7972-43AB-83E8-C2C99B4277B0}"/>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3-7972-43AB-83E8-C2C99B4277B0}"/>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4-7972-43AB-83E8-C2C99B4277B0}"/>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5-7972-43AB-83E8-C2C99B4277B0}"/>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6-7972-43AB-83E8-C2C99B4277B0}"/>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7-7972-43AB-83E8-C2C99B4277B0}"/>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0-FE50-482D-905D-7C3B099138E4}"/>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1-FE50-482D-905D-7C3B099138E4}"/>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2-FE50-482D-905D-7C3B099138E4}"/>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3-FE50-482D-905D-7C3B099138E4}"/>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4-FE50-482D-905D-7C3B099138E4}"/>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5-FE50-482D-905D-7C3B099138E4}"/>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6-FE50-482D-905D-7C3B099138E4}"/>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7-FE50-482D-905D-7C3B099138E4}"/>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00-C5BA-4495-93D4-AC4CA8674604}"/>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01-C5BA-4495-93D4-AC4CA8674604}"/>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02-C5BA-4495-93D4-AC4CA8674604}"/>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03-C5BA-4495-93D4-AC4CA8674604}"/>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04-C5BA-4495-93D4-AC4CA8674604}"/>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0-5E66-4AF0-A3CA-7CF12153AA8E}"/>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1-5E66-4AF0-A3CA-7CF12153AA8E}"/>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2-5E66-4AF0-A3CA-7CF12153AA8E}"/>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5E66-4AF0-A3CA-7CF12153AA8E}"/>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0-9DE3-43B6-B60B-9B4AA4851702}"/>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FE1B-4946-A476-7952C5C71231}"/>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44178.892302199078</c:v>
                </c:pt>
                <c:pt idx="1">
                  <c:v>44181.892302199078</c:v>
                </c:pt>
                <c:pt idx="2">
                  <c:v>44184.892302199078</c:v>
                </c:pt>
                <c:pt idx="3">
                  <c:v>44187.892302199078</c:v>
                </c:pt>
                <c:pt idx="4">
                  <c:v>44190.892302199078</c:v>
                </c:pt>
                <c:pt idx="5">
                  <c:v>44193.892302199078</c:v>
                </c:pt>
                <c:pt idx="6">
                  <c:v>44196.892302199078</c:v>
                </c:pt>
                <c:pt idx="7">
                  <c:v>44199.892302199078</c:v>
                </c:pt>
                <c:pt idx="8">
                  <c:v>44202.892302199078</c:v>
                </c:pt>
                <c:pt idx="9">
                  <c:v>44205.892302199078</c:v>
                </c:pt>
                <c:pt idx="10">
                  <c:v>44208.892302199078</c:v>
                </c:pt>
                <c:pt idx="11">
                  <c:v>44211.892302199078</c:v>
                </c:pt>
                <c:pt idx="12">
                  <c:v>44214.892302199078</c:v>
                </c:pt>
                <c:pt idx="13">
                  <c:v>44217.892302199078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3-5231-4BE2-97ED-54F0C3DB105C}"/>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2-9381-4A4E-BB43-DCD8EC2F4E00}"/>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0-9381-4A4E-BB43-DCD8EC2F4E00}"/>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9381-4A4E-BB43-DCD8EC2F4E00}"/>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04B6-450D-AD81-6BF382C059D1}"/>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2-04B6-450D-AD81-6BF382C059D1}"/>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4-04B6-450D-AD81-6BF382C059D1}"/>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6-04B6-450D-AD81-6BF382C059D1}"/>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8-04B6-450D-AD81-6BF382C059D1}"/>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A-04B6-450D-AD81-6BF382C059D1}"/>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C-04B6-450D-AD81-6BF382C059D1}"/>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E-04B6-450D-AD81-6BF382C059D1}"/>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1-EBAD-48A5-9277-83F388186C0C}"/>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3-EBAD-48A5-9277-83F388186C0C}"/>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5-EBAD-48A5-9277-83F388186C0C}"/>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7-EBAD-48A5-9277-83F388186C0C}"/>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9-EBAD-48A5-9277-83F388186C0C}"/>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B-EBAD-48A5-9277-83F388186C0C}"/>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D-EBAD-48A5-9277-83F388186C0C}"/>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F-EBAD-48A5-9277-83F388186C0C}"/>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1E-05DD-4DD4-A5B5-12D162507280}"/>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1C-05DD-4DD4-A5B5-12D162507280}"/>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22-05DD-4DD4-A5B5-12D162507280}"/>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18-05DD-4DD4-A5B5-12D162507280}"/>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1A-05DD-4DD4-A5B5-12D162507280}"/>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7-65B4-47F9-9B97-64FB989C8893}"/>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5-65B4-47F9-9B97-64FB989C8893}"/>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1-65B4-47F9-9B97-64FB989C8893}"/>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65B4-47F9-9B97-64FB989C8893}"/>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46</xdr:col>
      <xdr:colOff>581026</xdr:colOff>
      <xdr:row>67</xdr:row>
      <xdr:rowOff>66675</xdr:rowOff>
    </xdr:from>
    <xdr:to>
      <xdr:col>58</xdr:col>
      <xdr:colOff>409575</xdr:colOff>
      <xdr:row>98</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545955</xdr:colOff>
      <xdr:row>138</xdr:row>
      <xdr:rowOff>82014</xdr:rowOff>
    </xdr:from>
    <xdr:to>
      <xdr:col>58</xdr:col>
      <xdr:colOff>438150</xdr:colOff>
      <xdr:row>161</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574531</xdr:colOff>
      <xdr:row>162</xdr:row>
      <xdr:rowOff>86776</xdr:rowOff>
    </xdr:from>
    <xdr:to>
      <xdr:col>58</xdr:col>
      <xdr:colOff>447675</xdr:colOff>
      <xdr:row>179</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550717</xdr:colOff>
      <xdr:row>180</xdr:row>
      <xdr:rowOff>67725</xdr:rowOff>
    </xdr:from>
    <xdr:to>
      <xdr:col>58</xdr:col>
      <xdr:colOff>457199</xdr:colOff>
      <xdr:row>196</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550719</xdr:colOff>
      <xdr:row>197</xdr:row>
      <xdr:rowOff>86775</xdr:rowOff>
    </xdr:from>
    <xdr:to>
      <xdr:col>58</xdr:col>
      <xdr:colOff>438150</xdr:colOff>
      <xdr:row>216</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547687</xdr:colOff>
      <xdr:row>100</xdr:row>
      <xdr:rowOff>80962</xdr:rowOff>
    </xdr:from>
    <xdr:to>
      <xdr:col>58</xdr:col>
      <xdr:colOff>438150</xdr:colOff>
      <xdr:row>120</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549728</xdr:colOff>
      <xdr:row>121</xdr:row>
      <xdr:rowOff>78921</xdr:rowOff>
    </xdr:from>
    <xdr:to>
      <xdr:col>58</xdr:col>
      <xdr:colOff>400050</xdr:colOff>
      <xdr:row>137</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59</xdr:col>
      <xdr:colOff>419101</xdr:colOff>
      <xdr:row>67</xdr:row>
      <xdr:rowOff>66675</xdr:rowOff>
    </xdr:from>
    <xdr:to>
      <xdr:col>71</xdr:col>
      <xdr:colOff>581025</xdr:colOff>
      <xdr:row>98</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59</xdr:col>
      <xdr:colOff>417367</xdr:colOff>
      <xdr:row>138</xdr:row>
      <xdr:rowOff>62964</xdr:rowOff>
    </xdr:from>
    <xdr:to>
      <xdr:col>72</xdr:col>
      <xdr:colOff>19050</xdr:colOff>
      <xdr:row>161</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59</xdr:col>
      <xdr:colOff>407843</xdr:colOff>
      <xdr:row>162</xdr:row>
      <xdr:rowOff>77251</xdr:rowOff>
    </xdr:from>
    <xdr:to>
      <xdr:col>72</xdr:col>
      <xdr:colOff>9525</xdr:colOff>
      <xdr:row>179</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59</xdr:col>
      <xdr:colOff>422129</xdr:colOff>
      <xdr:row>180</xdr:row>
      <xdr:rowOff>67725</xdr:rowOff>
    </xdr:from>
    <xdr:to>
      <xdr:col>72</xdr:col>
      <xdr:colOff>28574</xdr:colOff>
      <xdr:row>196</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59</xdr:col>
      <xdr:colOff>441181</xdr:colOff>
      <xdr:row>197</xdr:row>
      <xdr:rowOff>86775</xdr:rowOff>
    </xdr:from>
    <xdr:to>
      <xdr:col>72</xdr:col>
      <xdr:colOff>38100</xdr:colOff>
      <xdr:row>216</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59</xdr:col>
      <xdr:colOff>409574</xdr:colOff>
      <xdr:row>100</xdr:row>
      <xdr:rowOff>90487</xdr:rowOff>
    </xdr:from>
    <xdr:to>
      <xdr:col>72</xdr:col>
      <xdr:colOff>9525</xdr:colOff>
      <xdr:row>120</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59</xdr:col>
      <xdr:colOff>416378</xdr:colOff>
      <xdr:row>121</xdr:row>
      <xdr:rowOff>78921</xdr:rowOff>
    </xdr:from>
    <xdr:to>
      <xdr:col>71</xdr:col>
      <xdr:colOff>581025</xdr:colOff>
      <xdr:row>137</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bc.net.au/news/2020-03-17/coronavirus-cases-data-reveals-how-covid-19-spreads-in-australia/12060704?nw=0"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topLeftCell="A10"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161</v>
      </c>
    </row>
    <row r="3" spans="2:2" x14ac:dyDescent="0.25">
      <c r="B3" t="s">
        <v>146</v>
      </c>
    </row>
    <row r="4" spans="2:2" x14ac:dyDescent="0.25">
      <c r="B4" t="s">
        <v>158</v>
      </c>
    </row>
    <row r="5" spans="2:2" x14ac:dyDescent="0.25">
      <c r="B5" t="s">
        <v>162</v>
      </c>
    </row>
    <row r="6" spans="2:2" x14ac:dyDescent="0.25">
      <c r="B6" t="s">
        <v>163</v>
      </c>
    </row>
    <row r="7" spans="2:2" x14ac:dyDescent="0.25">
      <c r="B7" t="s">
        <v>149</v>
      </c>
    </row>
    <row r="11" spans="2:2" x14ac:dyDescent="0.25">
      <c r="B11" t="s">
        <v>170</v>
      </c>
    </row>
    <row r="12" spans="2:2" x14ac:dyDescent="0.25">
      <c r="B12" t="s">
        <v>183</v>
      </c>
    </row>
    <row r="13" spans="2:2" x14ac:dyDescent="0.25">
      <c r="B13" t="s">
        <v>185</v>
      </c>
    </row>
    <row r="14" spans="2:2" x14ac:dyDescent="0.25">
      <c r="B14" t="s">
        <v>184</v>
      </c>
    </row>
    <row r="15" spans="2:2" x14ac:dyDescent="0.25">
      <c r="B15" t="s">
        <v>191</v>
      </c>
    </row>
    <row r="17" spans="1:43" x14ac:dyDescent="0.25">
      <c r="A17" t="s">
        <v>189</v>
      </c>
      <c r="B17" s="115">
        <f>(AP25/E31) /Projections!B57</f>
        <v>100.00000000000001</v>
      </c>
      <c r="C17" s="116"/>
      <c r="D17" s="117"/>
      <c r="E17" s="111">
        <f>B17*2</f>
        <v>200.00000000000003</v>
      </c>
      <c r="F17" s="116"/>
      <c r="G17" s="111"/>
      <c r="H17" s="111">
        <f>E17*2</f>
        <v>400.00000000000006</v>
      </c>
      <c r="I17" s="116"/>
      <c r="J17" s="117"/>
      <c r="K17" s="108">
        <f>H17*2</f>
        <v>800.00000000000011</v>
      </c>
      <c r="L17" s="106"/>
      <c r="M17" s="107"/>
      <c r="N17" s="108">
        <f>K17*2</f>
        <v>1600.0000000000002</v>
      </c>
      <c r="O17" s="106"/>
      <c r="P17" s="107"/>
      <c r="Q17" s="108">
        <f>N17*2</f>
        <v>3200.0000000000005</v>
      </c>
      <c r="R17" s="106"/>
      <c r="S17" s="107"/>
      <c r="T17" s="108">
        <f>Q17*2</f>
        <v>6400.0000000000009</v>
      </c>
      <c r="U17" s="106"/>
      <c r="V17" s="107"/>
      <c r="W17" s="108">
        <f>T17*2</f>
        <v>12800.000000000002</v>
      </c>
      <c r="X17" s="106"/>
      <c r="Y17" s="107"/>
      <c r="Z17" s="108">
        <f>W17*2</f>
        <v>25600.000000000004</v>
      </c>
      <c r="AA17" s="106"/>
      <c r="AB17" s="107"/>
      <c r="AC17" s="108">
        <f>Z17*2</f>
        <v>51200.000000000007</v>
      </c>
      <c r="AD17" s="106"/>
      <c r="AE17" s="107"/>
      <c r="AF17" s="108">
        <f>AC17*2</f>
        <v>102400.00000000001</v>
      </c>
      <c r="AG17" s="106"/>
      <c r="AH17" s="107"/>
      <c r="AI17" s="108">
        <f>AF17*2</f>
        <v>204800.00000000003</v>
      </c>
      <c r="AJ17" s="106"/>
      <c r="AK17" s="107"/>
      <c r="AL17" s="108">
        <f>AI17*2</f>
        <v>409600.00000000006</v>
      </c>
      <c r="AM17" s="106"/>
      <c r="AN17" s="107"/>
      <c r="AO17" s="108">
        <f>AL17*2</f>
        <v>819200.00000000012</v>
      </c>
      <c r="AP17" s="111"/>
      <c r="AQ17" t="s">
        <v>189</v>
      </c>
    </row>
    <row r="18" spans="1:43" s="81" customFormat="1" x14ac:dyDescent="0.25">
      <c r="A18" s="81" t="s">
        <v>272</v>
      </c>
      <c r="B18" s="100">
        <f>B17*$E$34</f>
        <v>68.253968253968267</v>
      </c>
      <c r="C18" s="118"/>
      <c r="D18" s="118"/>
      <c r="E18" s="118">
        <f>E17*$E$34</f>
        <v>136.50793650793653</v>
      </c>
      <c r="F18" s="118"/>
      <c r="G18" s="45"/>
      <c r="H18" s="118">
        <f>H17*$E$34</f>
        <v>273.01587301587307</v>
      </c>
      <c r="I18" s="118"/>
      <c r="J18" s="118"/>
      <c r="K18" s="118">
        <f>K17*$E$34</f>
        <v>546.03174603174614</v>
      </c>
      <c r="L18" s="118"/>
      <c r="M18" s="118"/>
      <c r="N18" s="118">
        <f>N17*$E$34</f>
        <v>1092.0634920634923</v>
      </c>
      <c r="O18" s="118"/>
      <c r="P18" s="118"/>
      <c r="Q18" s="118">
        <f>Q17*$E$34</f>
        <v>2184.1269841269846</v>
      </c>
      <c r="R18" s="118"/>
      <c r="S18" s="118"/>
      <c r="T18" s="118">
        <f>T17*$E$34</f>
        <v>4368.2539682539691</v>
      </c>
      <c r="U18" s="118"/>
      <c r="V18" s="118"/>
      <c r="W18" s="118">
        <f>W17*$E$34</f>
        <v>8736.5079365079382</v>
      </c>
      <c r="X18" s="118"/>
      <c r="Y18" s="118"/>
      <c r="Z18" s="118">
        <f>Z17*$E$34</f>
        <v>17473.015873015876</v>
      </c>
      <c r="AA18" s="118"/>
      <c r="AB18" s="118"/>
      <c r="AC18" s="118">
        <f>AC17*$E$34</f>
        <v>34946.031746031753</v>
      </c>
      <c r="AD18" s="118"/>
      <c r="AE18" s="118"/>
      <c r="AF18" s="118">
        <f>AF17*$E$34</f>
        <v>69892.063492063506</v>
      </c>
      <c r="AG18" s="118"/>
      <c r="AH18" s="118"/>
      <c r="AI18" s="118">
        <f>AI17*$E$34</f>
        <v>139784.12698412701</v>
      </c>
      <c r="AJ18" s="118"/>
      <c r="AK18" s="118"/>
      <c r="AL18" s="118">
        <f>AL17*$E$34</f>
        <v>279568.25396825402</v>
      </c>
      <c r="AM18" s="118"/>
      <c r="AN18" s="118"/>
      <c r="AO18" s="118">
        <f>AO17*$E$34</f>
        <v>559136.50793650805</v>
      </c>
      <c r="AP18" s="45"/>
      <c r="AQ18" s="81" t="s">
        <v>272</v>
      </c>
    </row>
    <row r="19" spans="1:43" s="81" customFormat="1" x14ac:dyDescent="0.25">
      <c r="A19" s="59" t="s">
        <v>274</v>
      </c>
      <c r="B19" s="98">
        <f>B18</f>
        <v>68.253968253968267</v>
      </c>
      <c r="C19" s="99"/>
      <c r="D19" s="99"/>
      <c r="E19" s="99">
        <f>E18</f>
        <v>136.50793650793653</v>
      </c>
      <c r="F19" s="99"/>
      <c r="G19" s="46"/>
      <c r="H19" s="99">
        <f>H18</f>
        <v>273.01587301587307</v>
      </c>
      <c r="I19" s="99"/>
      <c r="J19" s="99"/>
      <c r="K19" s="99">
        <f>K18</f>
        <v>546.03174603174614</v>
      </c>
      <c r="L19" s="99"/>
      <c r="M19" s="99"/>
      <c r="N19" s="99">
        <f>N18</f>
        <v>1092.0634920634923</v>
      </c>
      <c r="O19" s="99"/>
      <c r="P19" s="99"/>
      <c r="Q19" s="99">
        <f>Q18</f>
        <v>2184.1269841269846</v>
      </c>
      <c r="R19" s="99"/>
      <c r="S19" s="99"/>
      <c r="T19" s="99">
        <f>T18</f>
        <v>4368.2539682539691</v>
      </c>
      <c r="U19" s="99"/>
      <c r="V19" s="99"/>
      <c r="W19" s="135">
        <f>W18-B18</f>
        <v>8668.25396825397</v>
      </c>
      <c r="X19" s="135"/>
      <c r="Y19" s="135"/>
      <c r="Z19" s="135">
        <f>Z18-E18</f>
        <v>17336.50793650794</v>
      </c>
      <c r="AA19" s="135"/>
      <c r="AB19" s="135"/>
      <c r="AC19" s="135">
        <f>AC18-H18</f>
        <v>34673.01587301588</v>
      </c>
      <c r="AD19" s="135"/>
      <c r="AE19" s="135"/>
      <c r="AF19" s="135">
        <f>AF18-K18</f>
        <v>69346.03174603176</v>
      </c>
      <c r="AG19" s="135"/>
      <c r="AH19" s="135"/>
      <c r="AI19" s="135">
        <f>AI18-N18</f>
        <v>138692.06349206352</v>
      </c>
      <c r="AJ19" s="135"/>
      <c r="AK19" s="135"/>
      <c r="AL19" s="135">
        <f>AL18-Q18</f>
        <v>277384.12698412704</v>
      </c>
      <c r="AM19" s="135"/>
      <c r="AN19" s="135"/>
      <c r="AO19" s="135">
        <f>AO18-T18</f>
        <v>554768.25396825408</v>
      </c>
      <c r="AP19" s="136"/>
      <c r="AQ19" s="59" t="s">
        <v>274</v>
      </c>
    </row>
    <row r="20" spans="1:43" s="81" customFormat="1" x14ac:dyDescent="0.25">
      <c r="A20" t="s">
        <v>190</v>
      </c>
      <c r="B20" s="100"/>
      <c r="C20" s="118"/>
      <c r="D20" s="118"/>
      <c r="E20" s="118"/>
      <c r="F20" s="118"/>
      <c r="G20" s="45"/>
      <c r="H20" s="119"/>
      <c r="I20" s="120"/>
      <c r="J20" s="121"/>
      <c r="K20" s="145">
        <f>B17*(1-E34)</f>
        <v>31.74603174603175</v>
      </c>
      <c r="L20" s="142"/>
      <c r="M20" s="143"/>
      <c r="N20" s="144">
        <f>E17*(1-E34)</f>
        <v>63.492063492063501</v>
      </c>
      <c r="O20" s="142"/>
      <c r="P20" s="143"/>
      <c r="Q20" s="144">
        <f>H17*(1-E34)</f>
        <v>126.984126984127</v>
      </c>
      <c r="R20" s="142"/>
      <c r="S20" s="143"/>
      <c r="T20" s="144">
        <f>K17*(1-E34)</f>
        <v>253.968253968254</v>
      </c>
      <c r="U20" s="142"/>
      <c r="V20" s="143"/>
      <c r="W20" s="144">
        <f>N17*(1-E34)</f>
        <v>507.93650793650801</v>
      </c>
      <c r="X20" s="142"/>
      <c r="Y20" s="143"/>
      <c r="Z20" s="144">
        <f>Q17*(1-E34)</f>
        <v>1015.873015873016</v>
      </c>
      <c r="AA20" s="142"/>
      <c r="AB20" s="143"/>
      <c r="AC20" s="144">
        <f>T17*(1-E34)</f>
        <v>2031.746031746032</v>
      </c>
      <c r="AD20" s="142"/>
      <c r="AE20" s="143"/>
      <c r="AF20" s="144">
        <f>W17*(1-E34)</f>
        <v>4063.4920634920641</v>
      </c>
      <c r="AG20" s="142"/>
      <c r="AH20" s="143"/>
      <c r="AI20" s="144">
        <f>Z17*(1-E34)</f>
        <v>8126.9841269841281</v>
      </c>
      <c r="AJ20" s="142"/>
      <c r="AK20" s="143"/>
      <c r="AL20" s="144">
        <f>AC17*(1-E34)</f>
        <v>16253.968253968256</v>
      </c>
      <c r="AM20" s="142"/>
      <c r="AN20" s="143"/>
      <c r="AO20" s="144">
        <f>AF17*(1-E34)</f>
        <v>32507.936507936512</v>
      </c>
      <c r="AP20" s="91"/>
      <c r="AQ20" t="s">
        <v>190</v>
      </c>
    </row>
    <row r="21" spans="1:43" s="81" customFormat="1" x14ac:dyDescent="0.25">
      <c r="A21" s="81" t="s">
        <v>171</v>
      </c>
      <c r="B21" s="92"/>
      <c r="C21" s="93"/>
      <c r="D21" s="93"/>
      <c r="E21" s="93"/>
      <c r="F21" s="93"/>
      <c r="G21" s="94"/>
      <c r="H21" s="137">
        <f>B17-B18</f>
        <v>31.746031746031747</v>
      </c>
      <c r="I21" s="137"/>
      <c r="J21" s="137"/>
      <c r="K21" s="137">
        <f>E17-E18</f>
        <v>63.492063492063494</v>
      </c>
      <c r="L21" s="137"/>
      <c r="M21" s="137"/>
      <c r="N21" s="137">
        <f>(H17-H18)*$E$35</f>
        <v>116.82539682539684</v>
      </c>
      <c r="O21" s="137"/>
      <c r="P21" s="137"/>
      <c r="Q21" s="137">
        <f>(K17-K18)*$E$35</f>
        <v>233.65079365079367</v>
      </c>
      <c r="R21" s="137"/>
      <c r="S21" s="137"/>
      <c r="T21" s="137">
        <f>(N17-N18)*$E$35</f>
        <v>467.30158730158735</v>
      </c>
      <c r="U21" s="137"/>
      <c r="V21" s="137"/>
      <c r="W21" s="137">
        <f>((Q17-Q18)*$E$35)-(H21*$E$35)</f>
        <v>905.39682539682553</v>
      </c>
      <c r="X21" s="137"/>
      <c r="Y21" s="137"/>
      <c r="Z21" s="137">
        <f>((T17-T18)*$E$35)-(K21*$E$35)</f>
        <v>1810.7936507936511</v>
      </c>
      <c r="AA21" s="137"/>
      <c r="AB21" s="137"/>
      <c r="AC21" s="137">
        <f>((W17-W18)*$E$35)-N21</f>
        <v>3621.5873015873021</v>
      </c>
      <c r="AD21" s="137"/>
      <c r="AE21" s="137"/>
      <c r="AF21" s="137">
        <f>((Z17-Z18)*$E$35)-Q21</f>
        <v>7243.1746031746043</v>
      </c>
      <c r="AG21" s="137"/>
      <c r="AH21" s="137"/>
      <c r="AI21" s="137">
        <f>((AC17-AC18)*$E$35)-T21</f>
        <v>14486.349206349209</v>
      </c>
      <c r="AJ21" s="137"/>
      <c r="AK21" s="137"/>
      <c r="AL21" s="137">
        <f>((AF17-AF18)*$E$35)-W21</f>
        <v>29001.904761904763</v>
      </c>
      <c r="AM21" s="137"/>
      <c r="AN21" s="137"/>
      <c r="AO21" s="137">
        <f>((AI17-AI18)*$E$35)-Z21</f>
        <v>58003.809523809527</v>
      </c>
      <c r="AP21" s="138"/>
      <c r="AQ21" s="81" t="s">
        <v>171</v>
      </c>
    </row>
    <row r="22" spans="1:43" s="81" customFormat="1" x14ac:dyDescent="0.25">
      <c r="A22" s="81" t="s">
        <v>172</v>
      </c>
      <c r="B22" s="92"/>
      <c r="C22" s="93"/>
      <c r="D22" s="93"/>
      <c r="E22" s="93"/>
      <c r="F22" s="93"/>
      <c r="G22" s="94"/>
      <c r="H22" s="120"/>
      <c r="I22" s="120"/>
      <c r="J22" s="120"/>
      <c r="K22" s="120"/>
      <c r="L22" s="120"/>
      <c r="M22" s="121"/>
      <c r="N22" s="139">
        <f>(H17-H18)*($E$36+$E$37)</f>
        <v>10.15873015873016</v>
      </c>
      <c r="O22" s="139"/>
      <c r="P22" s="139"/>
      <c r="Q22" s="139">
        <f>(K17-K18)*($E$36+$E$37)</f>
        <v>20.31746031746032</v>
      </c>
      <c r="R22" s="139"/>
      <c r="S22" s="139"/>
      <c r="T22" s="139">
        <f>(N17-N18)*$E$36</f>
        <v>25.396825396825399</v>
      </c>
      <c r="U22" s="139"/>
      <c r="V22" s="139"/>
      <c r="W22" s="139">
        <f>(Q17-Q18)*$E$36</f>
        <v>50.793650793650798</v>
      </c>
      <c r="X22" s="139"/>
      <c r="Y22" s="139"/>
      <c r="Z22" s="139">
        <f>(T17-T18)*$E$36</f>
        <v>101.5873015873016</v>
      </c>
      <c r="AA22" s="139"/>
      <c r="AB22" s="139"/>
      <c r="AC22" s="139">
        <f>(W17-W18)*$E$36</f>
        <v>203.17460317460319</v>
      </c>
      <c r="AD22" s="139"/>
      <c r="AE22" s="139"/>
      <c r="AF22" s="139">
        <f>(Z17-Z18)*$E$36</f>
        <v>406.34920634920638</v>
      </c>
      <c r="AG22" s="139"/>
      <c r="AH22" s="139"/>
      <c r="AI22" s="139">
        <f>(AC17-AC18)*$E$36</f>
        <v>812.69841269841277</v>
      </c>
      <c r="AJ22" s="139"/>
      <c r="AK22" s="139"/>
      <c r="AL22" s="139">
        <f>(AF17-AF18)*$E$36</f>
        <v>1625.3968253968255</v>
      </c>
      <c r="AM22" s="139"/>
      <c r="AN22" s="139"/>
      <c r="AO22" s="139">
        <f>(AI17-AI18)*$E$36</f>
        <v>3250.7936507936511</v>
      </c>
      <c r="AP22" s="140"/>
      <c r="AQ22" s="81" t="s">
        <v>172</v>
      </c>
    </row>
    <row r="23" spans="1:43" s="81" customFormat="1" x14ac:dyDescent="0.25">
      <c r="A23" s="59" t="s">
        <v>173</v>
      </c>
      <c r="B23" s="92"/>
      <c r="C23" s="93"/>
      <c r="D23" s="93"/>
      <c r="E23" s="93"/>
      <c r="F23" s="93"/>
      <c r="G23" s="94"/>
      <c r="H23" s="99"/>
      <c r="I23" s="99"/>
      <c r="J23" s="99"/>
      <c r="K23" s="99"/>
      <c r="L23" s="99"/>
      <c r="M23" s="99"/>
      <c r="N23" s="120"/>
      <c r="O23" s="120"/>
      <c r="P23" s="120"/>
      <c r="Q23" s="120"/>
      <c r="R23" s="120"/>
      <c r="S23" s="121"/>
      <c r="T23" s="52">
        <f>(N17-N18)*$E$37</f>
        <v>15.238095238095237</v>
      </c>
      <c r="U23" s="52"/>
      <c r="V23" s="52"/>
      <c r="W23" s="52">
        <f>(Q17-Q18)*$E$37</f>
        <v>30.476190476190474</v>
      </c>
      <c r="X23" s="52"/>
      <c r="Y23" s="52"/>
      <c r="Z23" s="52">
        <f>(T17-T18)*$E$37</f>
        <v>60.952380952380949</v>
      </c>
      <c r="AA23" s="52"/>
      <c r="AB23" s="52"/>
      <c r="AC23" s="52">
        <f>(W17-W18)*$E$37</f>
        <v>121.9047619047619</v>
      </c>
      <c r="AD23" s="52"/>
      <c r="AE23" s="52"/>
      <c r="AF23" s="52">
        <f>(Z17-Z18)*$E$37</f>
        <v>243.8095238095238</v>
      </c>
      <c r="AG23" s="52"/>
      <c r="AH23" s="52"/>
      <c r="AI23" s="52">
        <f>(AC17-AC18)*$E$37</f>
        <v>487.61904761904759</v>
      </c>
      <c r="AJ23" s="52"/>
      <c r="AK23" s="52"/>
      <c r="AL23" s="52">
        <f>(AF17-AF18)*$E$37</f>
        <v>975.23809523809518</v>
      </c>
      <c r="AM23" s="52"/>
      <c r="AN23" s="52"/>
      <c r="AO23" s="52">
        <f>(AI17-AI18)*$E$37</f>
        <v>1950.4761904761904</v>
      </c>
      <c r="AP23" s="141"/>
      <c r="AQ23" s="59" t="s">
        <v>173</v>
      </c>
    </row>
    <row r="24" spans="1:43" s="81" customFormat="1" x14ac:dyDescent="0.25">
      <c r="A24" s="59" t="s">
        <v>178</v>
      </c>
      <c r="B24" s="98"/>
      <c r="C24" s="99"/>
      <c r="D24" s="99"/>
      <c r="E24" s="99"/>
      <c r="F24" s="99"/>
      <c r="G24" s="46"/>
      <c r="H24" s="99"/>
      <c r="I24" s="99"/>
      <c r="J24" s="99"/>
      <c r="K24" s="99"/>
      <c r="L24" s="99"/>
      <c r="M24" s="99"/>
      <c r="N24" s="99"/>
      <c r="O24" s="99"/>
      <c r="P24" s="99"/>
      <c r="Q24" s="99"/>
      <c r="R24" s="99"/>
      <c r="S24" s="99"/>
      <c r="T24" s="120"/>
      <c r="U24" s="121"/>
      <c r="V24" s="122">
        <f>H21*$E$35</f>
        <v>29.206349206349209</v>
      </c>
      <c r="W24" s="122"/>
      <c r="X24" s="122"/>
      <c r="Y24" s="122">
        <f>K21*$E$35</f>
        <v>58.412698412698418</v>
      </c>
      <c r="Z24" s="122"/>
      <c r="AA24" s="122"/>
      <c r="AB24" s="122">
        <f>N21</f>
        <v>116.82539682539684</v>
      </c>
      <c r="AC24" s="122"/>
      <c r="AD24" s="122"/>
      <c r="AE24" s="122">
        <f>Q21</f>
        <v>233.65079365079367</v>
      </c>
      <c r="AF24" s="122"/>
      <c r="AG24" s="122"/>
      <c r="AH24" s="122">
        <f>T21</f>
        <v>467.30158730158735</v>
      </c>
      <c r="AI24" s="122"/>
      <c r="AJ24" s="122"/>
      <c r="AK24" s="122">
        <f>W21</f>
        <v>905.39682539682553</v>
      </c>
      <c r="AL24" s="122"/>
      <c r="AM24" s="122"/>
      <c r="AN24" s="122">
        <f>Z21</f>
        <v>1810.7936507936511</v>
      </c>
      <c r="AO24" s="122"/>
      <c r="AP24" s="123"/>
      <c r="AQ24" s="59" t="s">
        <v>178</v>
      </c>
    </row>
    <row r="25" spans="1:43" x14ac:dyDescent="0.25">
      <c r="A25" s="59" t="s">
        <v>167</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167</v>
      </c>
    </row>
    <row r="26" spans="1:43" x14ac:dyDescent="0.25">
      <c r="A26" s="147" t="s">
        <v>195</v>
      </c>
      <c r="B26" s="102">
        <f t="shared" ref="B26:G26" ca="1" si="0">C26-1</f>
        <v>44178.892302199078</v>
      </c>
      <c r="C26" s="103">
        <f t="shared" ca="1" si="0"/>
        <v>44179.892302199078</v>
      </c>
      <c r="D26" s="103">
        <f t="shared" ca="1" si="0"/>
        <v>44180.892302199078</v>
      </c>
      <c r="E26" s="103">
        <f t="shared" ca="1" si="0"/>
        <v>44181.892302199078</v>
      </c>
      <c r="F26" s="103">
        <f t="shared" ca="1" si="0"/>
        <v>44182.892302199078</v>
      </c>
      <c r="G26" s="104">
        <f t="shared" ca="1" si="0"/>
        <v>44183.892302199078</v>
      </c>
      <c r="H26" s="103">
        <f t="shared" ref="H26:U26" ca="1" si="1">I26-1</f>
        <v>44184.892302199078</v>
      </c>
      <c r="I26" s="103">
        <f t="shared" ca="1" si="1"/>
        <v>44185.892302199078</v>
      </c>
      <c r="J26" s="103">
        <f t="shared" ca="1" si="1"/>
        <v>44186.892302199078</v>
      </c>
      <c r="K26" s="103">
        <f t="shared" ca="1" si="1"/>
        <v>44187.892302199078</v>
      </c>
      <c r="L26" s="103">
        <f t="shared" ca="1" si="1"/>
        <v>44188.892302199078</v>
      </c>
      <c r="M26" s="103">
        <f t="shared" ca="1" si="1"/>
        <v>44189.892302199078</v>
      </c>
      <c r="N26" s="104">
        <f t="shared" ca="1" si="1"/>
        <v>44190.892302199078</v>
      </c>
      <c r="O26" s="102">
        <f t="shared" ca="1" si="1"/>
        <v>44191.892302199078</v>
      </c>
      <c r="P26" s="103">
        <f t="shared" ca="1" si="1"/>
        <v>44192.892302199078</v>
      </c>
      <c r="Q26" s="103">
        <f t="shared" ca="1" si="1"/>
        <v>44193.892302199078</v>
      </c>
      <c r="R26" s="103">
        <f t="shared" ca="1" si="1"/>
        <v>44194.892302199078</v>
      </c>
      <c r="S26" s="103">
        <f t="shared" ca="1" si="1"/>
        <v>44195.892302199078</v>
      </c>
      <c r="T26" s="103">
        <f t="shared" ca="1" si="1"/>
        <v>44196.892302199078</v>
      </c>
      <c r="U26" s="104">
        <f t="shared" ca="1" si="1"/>
        <v>44197.892302199078</v>
      </c>
      <c r="V26" s="102">
        <f t="shared" ref="V26:AN26" ca="1" si="2">W26-1</f>
        <v>44198.892302199078</v>
      </c>
      <c r="W26" s="103">
        <f t="shared" ca="1" si="2"/>
        <v>44199.892302199078</v>
      </c>
      <c r="X26" s="103">
        <f t="shared" ca="1" si="2"/>
        <v>44200.892302199078</v>
      </c>
      <c r="Y26" s="103">
        <f t="shared" ca="1" si="2"/>
        <v>44201.892302199078</v>
      </c>
      <c r="Z26" s="103">
        <f t="shared" ca="1" si="2"/>
        <v>44202.892302199078</v>
      </c>
      <c r="AA26" s="103">
        <f t="shared" ca="1" si="2"/>
        <v>44203.892302199078</v>
      </c>
      <c r="AB26" s="104">
        <f t="shared" ca="1" si="2"/>
        <v>44204.892302199078</v>
      </c>
      <c r="AC26" s="102">
        <f t="shared" ca="1" si="2"/>
        <v>44205.892302199078</v>
      </c>
      <c r="AD26" s="103">
        <f t="shared" ca="1" si="2"/>
        <v>44206.892302199078</v>
      </c>
      <c r="AE26" s="103">
        <f t="shared" ca="1" si="2"/>
        <v>44207.892302199078</v>
      </c>
      <c r="AF26" s="103">
        <f t="shared" ca="1" si="2"/>
        <v>44208.892302199078</v>
      </c>
      <c r="AG26" s="103">
        <f t="shared" ca="1" si="2"/>
        <v>44209.892302199078</v>
      </c>
      <c r="AH26" s="103">
        <f t="shared" ca="1" si="2"/>
        <v>44210.892302199078</v>
      </c>
      <c r="AI26" s="104">
        <f t="shared" ca="1" si="2"/>
        <v>44211.892302199078</v>
      </c>
      <c r="AJ26" s="102">
        <f t="shared" ca="1" si="2"/>
        <v>44212.892302199078</v>
      </c>
      <c r="AK26" s="103">
        <f t="shared" ca="1" si="2"/>
        <v>44213.892302199078</v>
      </c>
      <c r="AL26" s="103">
        <f t="shared" ca="1" si="2"/>
        <v>44214.892302199078</v>
      </c>
      <c r="AM26" s="103">
        <f t="shared" ca="1" si="2"/>
        <v>44215.892302199078</v>
      </c>
      <c r="AN26" s="103">
        <f t="shared" ca="1" si="2"/>
        <v>44216.892302199078</v>
      </c>
      <c r="AO26" s="103">
        <f ca="1">AP26-1</f>
        <v>44217.892302199078</v>
      </c>
      <c r="AP26" s="124">
        <f ca="1">NOW()</f>
        <v>44218.892302199078</v>
      </c>
    </row>
    <row r="27" spans="1:43" x14ac:dyDescent="0.25">
      <c r="A27" s="148" t="s">
        <v>196</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197</v>
      </c>
      <c r="B28" s="319" t="s">
        <v>165</v>
      </c>
      <c r="C28" s="320"/>
      <c r="D28" s="320"/>
      <c r="E28" s="320"/>
      <c r="F28" s="320"/>
      <c r="G28" s="321"/>
      <c r="H28" s="325" t="s">
        <v>153</v>
      </c>
      <c r="I28" s="325"/>
      <c r="J28" s="325"/>
      <c r="K28" s="325"/>
      <c r="L28" s="325"/>
      <c r="M28" s="325"/>
      <c r="N28" s="326"/>
      <c r="O28" s="324" t="s">
        <v>154</v>
      </c>
      <c r="P28" s="325"/>
      <c r="Q28" s="325"/>
      <c r="R28" s="325"/>
      <c r="S28" s="325"/>
      <c r="T28" s="325"/>
      <c r="U28" s="326"/>
      <c r="V28" s="324" t="s">
        <v>155</v>
      </c>
      <c r="W28" s="325"/>
      <c r="X28" s="325"/>
      <c r="Y28" s="325"/>
      <c r="Z28" s="325"/>
      <c r="AA28" s="325"/>
      <c r="AB28" s="326"/>
      <c r="AC28" s="324" t="s">
        <v>156</v>
      </c>
      <c r="AD28" s="325"/>
      <c r="AE28" s="325"/>
      <c r="AF28" s="325"/>
      <c r="AG28" s="325"/>
      <c r="AH28" s="325"/>
      <c r="AI28" s="326"/>
      <c r="AJ28" s="324" t="s">
        <v>157</v>
      </c>
      <c r="AK28" s="325"/>
      <c r="AL28" s="325"/>
      <c r="AM28" s="325"/>
      <c r="AN28" s="325"/>
      <c r="AO28" s="325"/>
      <c r="AP28" s="326"/>
    </row>
    <row r="29" spans="1:43" x14ac:dyDescent="0.25">
      <c r="B29" s="63" t="s">
        <v>177</v>
      </c>
      <c r="C29" s="109"/>
      <c r="D29" s="109"/>
      <c r="E29" s="109"/>
      <c r="F29" s="109"/>
      <c r="G29" s="110"/>
      <c r="H29" s="322" t="s">
        <v>164</v>
      </c>
      <c r="I29" s="322"/>
      <c r="J29" s="322"/>
      <c r="K29" s="322"/>
      <c r="L29" s="322"/>
      <c r="M29" s="322"/>
      <c r="N29" s="322"/>
      <c r="O29" s="322"/>
      <c r="P29" s="322"/>
      <c r="Q29" s="322"/>
      <c r="R29" s="322"/>
      <c r="S29" s="322"/>
      <c r="T29" s="322"/>
      <c r="U29" s="322"/>
      <c r="V29" s="322"/>
      <c r="W29" s="322"/>
      <c r="X29" s="322"/>
      <c r="Y29" s="322"/>
      <c r="Z29" s="322"/>
      <c r="AA29" s="322"/>
      <c r="AB29" s="322"/>
      <c r="AC29" s="322"/>
      <c r="AD29" s="322"/>
      <c r="AE29" s="322"/>
      <c r="AF29" s="322"/>
      <c r="AG29" s="322"/>
      <c r="AH29" s="322"/>
      <c r="AI29" s="322"/>
      <c r="AJ29" s="322"/>
      <c r="AK29" s="322"/>
      <c r="AL29" s="322"/>
      <c r="AM29" s="322"/>
      <c r="AN29" s="322"/>
      <c r="AO29" s="322"/>
      <c r="AP29" s="323"/>
    </row>
    <row r="31" spans="1:43" x14ac:dyDescent="0.25">
      <c r="B31" s="69" t="s">
        <v>166</v>
      </c>
      <c r="C31" s="152" t="s">
        <v>286</v>
      </c>
      <c r="D31" s="21"/>
      <c r="E31" s="97">
        <f>VLOOKUP(C31,B43:C54,2,FALSE)</f>
        <v>3.15E-2</v>
      </c>
      <c r="F31" s="21"/>
      <c r="G31" s="21"/>
      <c r="H31" s="21"/>
      <c r="I31" s="17"/>
    </row>
    <row r="32" spans="1:43" x14ac:dyDescent="0.25">
      <c r="B32" s="53" t="s">
        <v>194</v>
      </c>
      <c r="C32" s="28"/>
      <c r="D32" s="28"/>
      <c r="E32" s="153">
        <v>1</v>
      </c>
      <c r="F32" s="28"/>
      <c r="G32" s="28"/>
      <c r="H32" s="28"/>
      <c r="I32" s="29"/>
    </row>
    <row r="33" spans="2:9" x14ac:dyDescent="0.25">
      <c r="B33" s="53" t="s">
        <v>168</v>
      </c>
      <c r="C33" s="28"/>
      <c r="D33" s="28"/>
      <c r="E33" s="28">
        <v>3</v>
      </c>
      <c r="F33" s="28" t="s">
        <v>169</v>
      </c>
      <c r="G33" s="28"/>
      <c r="H33" s="28"/>
      <c r="I33" s="29"/>
    </row>
    <row r="34" spans="2:9" x14ac:dyDescent="0.25">
      <c r="B34" s="53" t="s">
        <v>285</v>
      </c>
      <c r="C34" s="28"/>
      <c r="D34" s="28"/>
      <c r="E34" s="154">
        <f>1-Projections!B57</f>
        <v>0.68253968253968256</v>
      </c>
      <c r="F34" s="28" t="s">
        <v>192</v>
      </c>
      <c r="G34" s="28"/>
      <c r="H34" s="28"/>
      <c r="I34" s="29"/>
    </row>
    <row r="35" spans="2:9" x14ac:dyDescent="0.25">
      <c r="B35" s="53" t="s">
        <v>174</v>
      </c>
      <c r="C35" s="28"/>
      <c r="D35" s="28"/>
      <c r="E35" s="154">
        <v>0.92</v>
      </c>
      <c r="F35" s="28" t="s">
        <v>193</v>
      </c>
      <c r="G35" s="28"/>
      <c r="H35" s="28"/>
      <c r="I35" s="29"/>
    </row>
    <row r="36" spans="2:9" x14ac:dyDescent="0.25">
      <c r="B36" s="53" t="s">
        <v>175</v>
      </c>
      <c r="C36" s="28"/>
      <c r="D36" s="28"/>
      <c r="E36" s="154">
        <v>0.05</v>
      </c>
      <c r="F36" s="28" t="s">
        <v>193</v>
      </c>
      <c r="G36" s="28"/>
      <c r="H36" s="28"/>
      <c r="I36" s="29"/>
    </row>
    <row r="37" spans="2:9" x14ac:dyDescent="0.25">
      <c r="B37" s="53" t="s">
        <v>176</v>
      </c>
      <c r="C37" s="28"/>
      <c r="D37" s="28"/>
      <c r="E37" s="154">
        <v>0.03</v>
      </c>
      <c r="F37" s="28" t="s">
        <v>193</v>
      </c>
      <c r="G37" s="28"/>
      <c r="H37" s="28"/>
      <c r="I37" s="29"/>
    </row>
    <row r="38" spans="2:9" x14ac:dyDescent="0.25">
      <c r="B38" s="53" t="s">
        <v>179</v>
      </c>
      <c r="C38" s="28"/>
      <c r="D38" s="28"/>
      <c r="E38" s="150">
        <v>2</v>
      </c>
      <c r="F38" s="28" t="s">
        <v>180</v>
      </c>
      <c r="G38" s="28"/>
      <c r="H38" s="28"/>
      <c r="I38" s="29"/>
    </row>
    <row r="39" spans="2:9" x14ac:dyDescent="0.25">
      <c r="B39" s="49" t="s">
        <v>181</v>
      </c>
      <c r="C39" s="151"/>
      <c r="D39" s="51"/>
      <c r="E39" s="130">
        <v>4</v>
      </c>
      <c r="F39" s="51" t="s">
        <v>180</v>
      </c>
      <c r="G39" s="51" t="s">
        <v>182</v>
      </c>
      <c r="H39" s="51"/>
      <c r="I39" s="75"/>
    </row>
    <row r="42" spans="2:9" x14ac:dyDescent="0.25">
      <c r="B42" t="s">
        <v>188</v>
      </c>
    </row>
    <row r="43" spans="2:9" x14ac:dyDescent="0.25">
      <c r="B43" s="16" t="s">
        <v>187</v>
      </c>
      <c r="C43" s="129">
        <v>3.5000000000000003E-2</v>
      </c>
    </row>
    <row r="44" spans="2:9" x14ac:dyDescent="0.25">
      <c r="B44" s="53" t="s">
        <v>186</v>
      </c>
      <c r="C44" s="39">
        <v>2.3E-2</v>
      </c>
    </row>
    <row r="45" spans="2:9" x14ac:dyDescent="0.25">
      <c r="B45" s="53" t="s">
        <v>286</v>
      </c>
      <c r="C45" s="39">
        <f>Projections!B64</f>
        <v>3.15E-2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W136"/>
  <sheetViews>
    <sheetView tabSelected="1" topLeftCell="M57" zoomScale="85" zoomScaleNormal="85" workbookViewId="0">
      <selection activeCell="AI97" sqref="AI97"/>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9" width="13.5703125" customWidth="1"/>
    <col min="10" max="10" width="10.7109375" bestFit="1" customWidth="1"/>
    <col min="11"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24" width="11" customWidth="1"/>
    <col min="25" max="29" width="10.7109375" customWidth="1"/>
    <col min="30" max="30" width="10.85546875" bestFit="1" customWidth="1"/>
    <col min="31" max="34" width="10.85546875" customWidth="1"/>
    <col min="35" max="35" width="10.85546875" bestFit="1" customWidth="1"/>
    <col min="36" max="36" width="10.85546875" customWidth="1"/>
    <col min="37" max="37" width="10.7109375" bestFit="1" customWidth="1"/>
    <col min="38" max="38" width="10.85546875" bestFit="1" customWidth="1"/>
    <col min="39" max="39" width="11.28515625" customWidth="1"/>
    <col min="40" max="41" width="10.7109375" bestFit="1" customWidth="1"/>
    <col min="42" max="42" width="10.7109375" customWidth="1"/>
    <col min="43" max="43" width="11.28515625" customWidth="1"/>
    <col min="44" max="44" width="10.85546875" bestFit="1" customWidth="1"/>
    <col min="45" max="45" width="11.28515625" bestFit="1" customWidth="1"/>
    <col min="46" max="46" width="10.5703125" style="81" bestFit="1" customWidth="1"/>
    <col min="47" max="47" width="11.140625" bestFit="1" customWidth="1"/>
    <col min="48" max="48" width="12.140625" bestFit="1" customWidth="1"/>
  </cols>
  <sheetData>
    <row r="1" spans="10:24" x14ac:dyDescent="0.25">
      <c r="J1" t="s">
        <v>217</v>
      </c>
    </row>
    <row r="2" spans="10:24" x14ac:dyDescent="0.25">
      <c r="J2" s="173">
        <v>43862</v>
      </c>
      <c r="K2" s="174" t="s">
        <v>264</v>
      </c>
      <c r="L2" s="173">
        <f>J2+14</f>
        <v>43876</v>
      </c>
    </row>
    <row r="3" spans="10:24" x14ac:dyDescent="0.25">
      <c r="K3" s="173">
        <v>43891</v>
      </c>
      <c r="L3" s="174" t="s">
        <v>265</v>
      </c>
      <c r="M3" s="174"/>
      <c r="N3" s="174"/>
      <c r="O3" s="173">
        <f>K3+14</f>
        <v>43905</v>
      </c>
    </row>
    <row r="4" spans="10:24" x14ac:dyDescent="0.25">
      <c r="L4" s="173">
        <v>43895</v>
      </c>
      <c r="M4" s="174" t="s">
        <v>266</v>
      </c>
      <c r="N4" s="174"/>
      <c r="O4" s="174"/>
      <c r="P4" s="173">
        <f>L4+14</f>
        <v>43909</v>
      </c>
    </row>
    <row r="5" spans="10:24" x14ac:dyDescent="0.25">
      <c r="N5" s="173">
        <v>43901</v>
      </c>
      <c r="O5" s="174" t="s">
        <v>268</v>
      </c>
      <c r="P5" s="174"/>
      <c r="Q5" s="174"/>
      <c r="R5" s="173">
        <f>N5+14</f>
        <v>43915</v>
      </c>
    </row>
    <row r="6" spans="10:24" x14ac:dyDescent="0.25">
      <c r="O6" s="173">
        <v>43906</v>
      </c>
      <c r="P6" s="174" t="s">
        <v>343</v>
      </c>
      <c r="Q6" s="174"/>
      <c r="R6" s="174"/>
      <c r="S6" s="173">
        <f>O6+14</f>
        <v>43920</v>
      </c>
      <c r="T6" s="181"/>
    </row>
    <row r="7" spans="10:24" x14ac:dyDescent="0.25">
      <c r="P7" s="173">
        <v>43908</v>
      </c>
      <c r="Q7" s="207" t="s">
        <v>267</v>
      </c>
      <c r="R7" s="207"/>
      <c r="S7" s="173">
        <f>P7+14</f>
        <v>43922</v>
      </c>
      <c r="T7" s="181"/>
    </row>
    <row r="8" spans="10:24" x14ac:dyDescent="0.25">
      <c r="P8" s="173">
        <v>43909</v>
      </c>
      <c r="Q8" s="174" t="s">
        <v>288</v>
      </c>
      <c r="R8" s="174"/>
      <c r="S8" s="173">
        <v>43923</v>
      </c>
    </row>
    <row r="9" spans="10:24" x14ac:dyDescent="0.25">
      <c r="Q9" s="173">
        <v>43911</v>
      </c>
      <c r="R9" s="174" t="s">
        <v>290</v>
      </c>
      <c r="S9" s="173">
        <f>Q9+14</f>
        <v>43925</v>
      </c>
      <c r="T9" s="181"/>
      <c r="U9" s="181"/>
      <c r="V9" s="181"/>
    </row>
    <row r="10" spans="10:24" x14ac:dyDescent="0.25">
      <c r="Q10" s="173">
        <v>43913</v>
      </c>
      <c r="R10" s="174" t="s">
        <v>215</v>
      </c>
      <c r="S10" s="173">
        <f>Q10+14</f>
        <v>43927</v>
      </c>
      <c r="T10" s="181"/>
      <c r="U10" s="181"/>
      <c r="V10" s="181"/>
    </row>
    <row r="11" spans="10:24" x14ac:dyDescent="0.25">
      <c r="R11" s="175">
        <v>43914</v>
      </c>
      <c r="S11" s="207" t="s">
        <v>344</v>
      </c>
      <c r="T11" s="175">
        <v>43928</v>
      </c>
    </row>
    <row r="12" spans="10:24" x14ac:dyDescent="0.25">
      <c r="Q12" s="28"/>
      <c r="R12" s="175">
        <v>43915</v>
      </c>
      <c r="S12" s="207" t="s">
        <v>289</v>
      </c>
      <c r="T12" s="175">
        <v>43929</v>
      </c>
    </row>
    <row r="13" spans="10:24" x14ac:dyDescent="0.25">
      <c r="R13" s="175">
        <v>43915</v>
      </c>
      <c r="S13" s="207" t="s">
        <v>345</v>
      </c>
      <c r="T13" s="175">
        <f>R13+14</f>
        <v>43929</v>
      </c>
      <c r="U13" s="81"/>
      <c r="V13" s="81"/>
      <c r="W13" s="81"/>
    </row>
    <row r="14" spans="10:24" x14ac:dyDescent="0.25">
      <c r="S14" s="173">
        <v>43920</v>
      </c>
      <c r="T14" s="174" t="s">
        <v>216</v>
      </c>
      <c r="U14" s="173">
        <f>S14+14</f>
        <v>43934</v>
      </c>
      <c r="V14" s="181"/>
      <c r="W14" s="181"/>
    </row>
    <row r="15" spans="10:24" x14ac:dyDescent="0.25">
      <c r="U15" s="267">
        <v>43948</v>
      </c>
      <c r="V15" t="s">
        <v>294</v>
      </c>
    </row>
    <row r="16" spans="10:24" x14ac:dyDescent="0.25">
      <c r="R16" s="59"/>
      <c r="S16" s="59"/>
      <c r="T16" s="59"/>
      <c r="U16" s="281">
        <v>43949</v>
      </c>
      <c r="V16" s="282" t="s">
        <v>295</v>
      </c>
      <c r="W16" s="59"/>
      <c r="X16" s="181"/>
    </row>
    <row r="17" spans="20:24" x14ac:dyDescent="0.25">
      <c r="U17" s="267">
        <v>43959</v>
      </c>
      <c r="V17" t="s">
        <v>302</v>
      </c>
      <c r="X17" s="181"/>
    </row>
    <row r="18" spans="20:24" x14ac:dyDescent="0.25">
      <c r="T18" s="267"/>
      <c r="U18" s="279">
        <v>43961</v>
      </c>
      <c r="V18" s="280" t="s">
        <v>303</v>
      </c>
      <c r="X18" s="181"/>
    </row>
    <row r="19" spans="20:24" x14ac:dyDescent="0.25">
      <c r="U19" s="267">
        <v>43964</v>
      </c>
      <c r="V19" t="s">
        <v>304</v>
      </c>
    </row>
    <row r="20" spans="20:24" x14ac:dyDescent="0.25">
      <c r="V20" s="267">
        <v>43968</v>
      </c>
      <c r="W20" t="s">
        <v>305</v>
      </c>
    </row>
    <row r="21" spans="20:24" x14ac:dyDescent="0.25">
      <c r="V21" s="267">
        <v>43969</v>
      </c>
      <c r="W21" t="s">
        <v>306</v>
      </c>
    </row>
    <row r="22" spans="20:24" x14ac:dyDescent="0.25">
      <c r="V22" s="267">
        <v>43969</v>
      </c>
      <c r="W22" t="s">
        <v>307</v>
      </c>
    </row>
    <row r="23" spans="20:24" x14ac:dyDescent="0.25">
      <c r="V23" s="267">
        <v>43970</v>
      </c>
      <c r="W23" t="s">
        <v>308</v>
      </c>
      <c r="X23" s="181"/>
    </row>
    <row r="24" spans="20:24" x14ac:dyDescent="0.25">
      <c r="V24" s="267">
        <v>43972</v>
      </c>
      <c r="W24" t="s">
        <v>311</v>
      </c>
      <c r="X24" s="181"/>
    </row>
    <row r="25" spans="20:24" x14ac:dyDescent="0.25">
      <c r="V25" s="267">
        <v>43979</v>
      </c>
      <c r="W25" t="s">
        <v>313</v>
      </c>
      <c r="X25" s="81"/>
    </row>
    <row r="26" spans="20:24" x14ac:dyDescent="0.25">
      <c r="V26" s="267">
        <v>43980</v>
      </c>
      <c r="W26" t="s">
        <v>312</v>
      </c>
      <c r="X26" s="181"/>
    </row>
    <row r="27" spans="20:24" x14ac:dyDescent="0.25">
      <c r="V27" s="267">
        <v>43981</v>
      </c>
      <c r="W27" t="s">
        <v>316</v>
      </c>
    </row>
    <row r="28" spans="20:24" x14ac:dyDescent="0.25">
      <c r="V28" s="279">
        <v>43983</v>
      </c>
      <c r="W28" s="280" t="s">
        <v>314</v>
      </c>
    </row>
    <row r="29" spans="20:24" x14ac:dyDescent="0.25">
      <c r="V29" s="267">
        <v>43987</v>
      </c>
      <c r="W29" t="s">
        <v>315</v>
      </c>
    </row>
    <row r="30" spans="20:24" x14ac:dyDescent="0.25">
      <c r="V30" s="267">
        <v>43988</v>
      </c>
      <c r="W30" t="s">
        <v>317</v>
      </c>
    </row>
    <row r="31" spans="20:24" x14ac:dyDescent="0.25">
      <c r="V31" s="267">
        <v>43990</v>
      </c>
      <c r="W31" t="s">
        <v>320</v>
      </c>
    </row>
    <row r="32" spans="20:24" x14ac:dyDescent="0.25">
      <c r="V32" s="267">
        <v>43991</v>
      </c>
      <c r="W32" t="s">
        <v>318</v>
      </c>
    </row>
    <row r="33" spans="22:29" x14ac:dyDescent="0.25">
      <c r="V33" s="267">
        <v>43995</v>
      </c>
      <c r="W33" t="s">
        <v>323</v>
      </c>
    </row>
    <row r="34" spans="22:29" x14ac:dyDescent="0.25">
      <c r="W34" s="267">
        <v>44001</v>
      </c>
      <c r="X34" t="s">
        <v>321</v>
      </c>
    </row>
    <row r="35" spans="22:29" x14ac:dyDescent="0.25">
      <c r="W35" s="267">
        <v>44002</v>
      </c>
      <c r="X35" t="s">
        <v>322</v>
      </c>
    </row>
    <row r="36" spans="22:29" x14ac:dyDescent="0.25">
      <c r="W36" s="267">
        <v>44006</v>
      </c>
      <c r="X36" t="s">
        <v>325</v>
      </c>
    </row>
    <row r="37" spans="22:29" x14ac:dyDescent="0.25">
      <c r="W37" s="267">
        <v>44009</v>
      </c>
      <c r="X37" t="s">
        <v>326</v>
      </c>
    </row>
    <row r="38" spans="22:29" x14ac:dyDescent="0.25">
      <c r="W38" s="267">
        <v>44010</v>
      </c>
      <c r="X38" t="s">
        <v>324</v>
      </c>
    </row>
    <row r="39" spans="22:29" x14ac:dyDescent="0.25">
      <c r="X39" s="173">
        <v>44013</v>
      </c>
      <c r="Y39" s="174" t="s">
        <v>327</v>
      </c>
    </row>
    <row r="40" spans="22:29" x14ac:dyDescent="0.25">
      <c r="X40" s="267">
        <v>44013</v>
      </c>
      <c r="Y40" t="s">
        <v>329</v>
      </c>
      <c r="AA40" s="283"/>
      <c r="AB40" s="283"/>
      <c r="AC40" s="283"/>
    </row>
    <row r="41" spans="22:29" x14ac:dyDescent="0.25">
      <c r="Y41" s="173">
        <v>44016</v>
      </c>
      <c r="Z41" s="300" t="s">
        <v>333</v>
      </c>
      <c r="AA41" s="283"/>
      <c r="AB41" s="283"/>
      <c r="AC41" s="283"/>
    </row>
    <row r="42" spans="22:29" x14ac:dyDescent="0.25">
      <c r="Y42" s="267">
        <v>44018</v>
      </c>
      <c r="Z42" t="s">
        <v>331</v>
      </c>
    </row>
    <row r="43" spans="22:29" x14ac:dyDescent="0.25">
      <c r="Y43" s="267">
        <v>44019</v>
      </c>
      <c r="Z43" t="s">
        <v>332</v>
      </c>
    </row>
    <row r="44" spans="22:29" x14ac:dyDescent="0.25">
      <c r="Y44" s="301">
        <v>44019</v>
      </c>
      <c r="Z44" s="300" t="s">
        <v>335</v>
      </c>
    </row>
    <row r="45" spans="22:29" x14ac:dyDescent="0.25">
      <c r="Y45" s="267">
        <v>44021</v>
      </c>
      <c r="Z45" t="s">
        <v>346</v>
      </c>
    </row>
    <row r="46" spans="22:29" x14ac:dyDescent="0.25">
      <c r="Z46" s="267">
        <v>44023</v>
      </c>
      <c r="AA46" t="s">
        <v>336</v>
      </c>
    </row>
    <row r="47" spans="22:29" x14ac:dyDescent="0.25">
      <c r="Z47" s="298">
        <v>44024</v>
      </c>
      <c r="AA47" s="297" t="s">
        <v>334</v>
      </c>
    </row>
    <row r="48" spans="22:29" x14ac:dyDescent="0.25">
      <c r="Z48" s="298">
        <v>44025</v>
      </c>
      <c r="AA48" s="297" t="s">
        <v>330</v>
      </c>
    </row>
    <row r="49" spans="1:44" x14ac:dyDescent="0.25">
      <c r="Z49" s="267">
        <v>44026</v>
      </c>
      <c r="AA49" s="297" t="s">
        <v>339</v>
      </c>
    </row>
    <row r="50" spans="1:44" x14ac:dyDescent="0.25">
      <c r="AA50" s="267">
        <v>44030</v>
      </c>
      <c r="AB50" s="297" t="s">
        <v>340</v>
      </c>
    </row>
    <row r="51" spans="1:44" x14ac:dyDescent="0.25">
      <c r="AA51" s="298">
        <v>44032</v>
      </c>
      <c r="AB51" s="297" t="s">
        <v>319</v>
      </c>
    </row>
    <row r="52" spans="1:44" x14ac:dyDescent="0.25">
      <c r="AA52" s="173">
        <v>44033</v>
      </c>
      <c r="AB52" s="300" t="s">
        <v>337</v>
      </c>
    </row>
    <row r="53" spans="1:44" x14ac:dyDescent="0.25">
      <c r="AB53" s="173">
        <v>44034</v>
      </c>
      <c r="AC53" s="300" t="s">
        <v>338</v>
      </c>
    </row>
    <row r="54" spans="1:44" x14ac:dyDescent="0.25">
      <c r="AD54" s="173">
        <v>44045</v>
      </c>
      <c r="AE54" s="174" t="s">
        <v>347</v>
      </c>
      <c r="AF54" s="174"/>
      <c r="AG54" s="181"/>
      <c r="AH54" s="181"/>
      <c r="AI54" s="81"/>
    </row>
    <row r="55" spans="1:44" x14ac:dyDescent="0.25">
      <c r="A55" s="16" t="s">
        <v>0</v>
      </c>
      <c r="B55" s="169">
        <v>25634000</v>
      </c>
      <c r="C55" t="s">
        <v>151</v>
      </c>
      <c r="AH55" s="267">
        <v>44124</v>
      </c>
      <c r="AI55" t="s">
        <v>348</v>
      </c>
    </row>
    <row r="56" spans="1:44" x14ac:dyDescent="0.25">
      <c r="A56" s="69" t="s">
        <v>309</v>
      </c>
      <c r="B56" s="277">
        <v>0.01</v>
      </c>
      <c r="AH56" s="267">
        <v>44132</v>
      </c>
      <c r="AI56" t="s">
        <v>349</v>
      </c>
    </row>
    <row r="57" spans="1:44" x14ac:dyDescent="0.25">
      <c r="A57" s="16" t="s">
        <v>212</v>
      </c>
      <c r="B57" s="170">
        <f>B56/B64</f>
        <v>0.31746031746031744</v>
      </c>
      <c r="C57" t="s">
        <v>310</v>
      </c>
    </row>
    <row r="58" spans="1:44" x14ac:dyDescent="0.25">
      <c r="A58" s="49" t="s">
        <v>214</v>
      </c>
      <c r="B58" s="128">
        <v>0.2</v>
      </c>
    </row>
    <row r="59" spans="1:44" x14ac:dyDescent="0.25">
      <c r="A59" s="53" t="s">
        <v>144</v>
      </c>
      <c r="B59" s="125">
        <v>2.6</v>
      </c>
      <c r="C59" s="76">
        <f>(B55/1000)*B59</f>
        <v>66648.400000000009</v>
      </c>
      <c r="Q59" s="164"/>
    </row>
    <row r="60" spans="1:44" x14ac:dyDescent="0.25">
      <c r="A60" s="53" t="s">
        <v>145</v>
      </c>
      <c r="B60" s="125">
        <v>7.4</v>
      </c>
      <c r="C60" s="73">
        <f>(B55/100000)*B60</f>
        <v>1896.9159999999999</v>
      </c>
      <c r="T60" s="191"/>
      <c r="U60" s="191"/>
      <c r="V60" s="191"/>
      <c r="AI60" s="305"/>
      <c r="AK60" s="134"/>
      <c r="AL60" s="267"/>
    </row>
    <row r="61" spans="1:44" x14ac:dyDescent="0.25">
      <c r="A61" s="16" t="s">
        <v>171</v>
      </c>
      <c r="B61" s="126">
        <v>0.81</v>
      </c>
      <c r="C61" s="2" t="s">
        <v>283</v>
      </c>
      <c r="T61" s="267"/>
      <c r="U61" s="267"/>
      <c r="V61" s="267"/>
      <c r="W61" s="267"/>
      <c r="X61" s="267"/>
      <c r="Y61" s="267"/>
      <c r="AJ61" s="267"/>
      <c r="AK61" s="267"/>
      <c r="AN61" s="267"/>
    </row>
    <row r="62" spans="1:44" x14ac:dyDescent="0.25">
      <c r="A62" s="53" t="s">
        <v>172</v>
      </c>
      <c r="B62" s="127">
        <v>0.14000000000000001</v>
      </c>
      <c r="C62" s="2" t="s">
        <v>282</v>
      </c>
      <c r="AE62" s="267"/>
      <c r="AF62" s="267"/>
      <c r="AG62" s="267"/>
      <c r="AK62" s="134"/>
      <c r="AL62" s="267"/>
      <c r="AM62" s="267"/>
    </row>
    <row r="63" spans="1:44" x14ac:dyDescent="0.25">
      <c r="A63" s="49" t="s">
        <v>208</v>
      </c>
      <c r="B63" s="128">
        <v>0.01</v>
      </c>
      <c r="C63" s="2" t="s">
        <v>281</v>
      </c>
      <c r="D63" s="227" t="s">
        <v>276</v>
      </c>
      <c r="E63" s="227"/>
      <c r="F63" s="227"/>
      <c r="G63" s="227"/>
      <c r="H63" s="227"/>
      <c r="I63" s="227"/>
      <c r="P63" s="164"/>
      <c r="T63" s="191"/>
      <c r="U63" s="191"/>
      <c r="V63" s="191"/>
      <c r="X63" s="59"/>
      <c r="Y63" s="81"/>
      <c r="Z63" s="166"/>
      <c r="AA63" s="166"/>
      <c r="AB63" s="166"/>
      <c r="AC63" s="166"/>
      <c r="AD63" s="81"/>
      <c r="AE63" s="81"/>
      <c r="AF63" s="81"/>
      <c r="AG63" s="81"/>
      <c r="AH63" s="81"/>
      <c r="AR63" s="191"/>
    </row>
    <row r="64" spans="1:44" x14ac:dyDescent="0.25">
      <c r="A64" s="49" t="s">
        <v>213</v>
      </c>
      <c r="B64" s="77">
        <v>3.15E-2</v>
      </c>
      <c r="C64" s="2"/>
      <c r="D64" s="194" t="s">
        <v>263</v>
      </c>
      <c r="E64" s="28"/>
      <c r="F64" s="28"/>
      <c r="G64" s="28"/>
      <c r="H64" s="28"/>
      <c r="I64" s="28"/>
      <c r="P64" s="164"/>
      <c r="Q64" s="59"/>
      <c r="R64" s="59"/>
      <c r="S64" s="59"/>
      <c r="U64" s="59"/>
      <c r="V64" s="59"/>
      <c r="W64" s="59"/>
      <c r="X64" s="164"/>
      <c r="Y64" s="81"/>
      <c r="Z64" s="81"/>
      <c r="AA64" s="81"/>
      <c r="AB64" s="81"/>
      <c r="AC64" s="81"/>
      <c r="AD64" s="81"/>
      <c r="AE64" s="81"/>
      <c r="AF64" s="81"/>
      <c r="AG64" s="81"/>
      <c r="AH64" s="81"/>
      <c r="AQ64" s="192"/>
    </row>
    <row r="65" spans="1:49" x14ac:dyDescent="0.25">
      <c r="A65" s="167" t="s">
        <v>201</v>
      </c>
      <c r="B65" s="168">
        <v>43855</v>
      </c>
      <c r="C65" s="2"/>
      <c r="D65" s="242">
        <f>(AQ68-L68)/(LOG(AQ69/L69)/LOG(2))</f>
        <v>273.33333333333331</v>
      </c>
      <c r="E65" s="293"/>
      <c r="F65" s="293"/>
      <c r="G65" s="293"/>
      <c r="H65" s="293"/>
      <c r="I65" s="293"/>
      <c r="J65" s="191"/>
      <c r="O65" s="28"/>
      <c r="P65" s="59"/>
      <c r="Q65" s="59"/>
      <c r="R65" s="59"/>
      <c r="S65" s="59"/>
      <c r="T65" s="59" t="s">
        <v>277</v>
      </c>
      <c r="U65" s="59"/>
      <c r="V65" s="59"/>
      <c r="W65" s="59"/>
      <c r="X65" s="59"/>
      <c r="Y65" s="81"/>
      <c r="Z65" s="81"/>
      <c r="AA65" s="81"/>
      <c r="AB65" s="81"/>
      <c r="AC65" s="81"/>
      <c r="AD65" s="81"/>
      <c r="AE65" s="81"/>
      <c r="AF65" s="81"/>
      <c r="AG65" s="81"/>
      <c r="AH65" s="81"/>
    </row>
    <row r="66" spans="1:49" x14ac:dyDescent="0.25">
      <c r="A66" s="28"/>
      <c r="B66" s="62" t="s">
        <v>150</v>
      </c>
      <c r="C66" s="22"/>
      <c r="D66" s="28"/>
      <c r="E66" s="28"/>
      <c r="F66" s="28"/>
      <c r="G66" s="28"/>
      <c r="H66" s="28"/>
      <c r="I66" s="28"/>
      <c r="J66" s="28"/>
      <c r="K66" s="28"/>
      <c r="L66" s="28"/>
      <c r="M66" s="28"/>
      <c r="N66" s="28"/>
      <c r="O66" s="28"/>
      <c r="P66" s="59"/>
      <c r="Q66" s="59"/>
      <c r="R66" t="s">
        <v>292</v>
      </c>
      <c r="S66" s="59"/>
      <c r="U66" s="59"/>
      <c r="V66" s="59" t="s">
        <v>293</v>
      </c>
      <c r="W66" s="59"/>
      <c r="X66" s="59"/>
      <c r="Y66" s="59"/>
      <c r="Z66" s="59"/>
      <c r="AA66" s="59"/>
      <c r="AB66" s="59"/>
      <c r="AC66" s="59"/>
      <c r="AD66" s="59"/>
      <c r="AE66" s="59"/>
      <c r="AF66" s="59"/>
      <c r="AG66" s="59"/>
      <c r="AH66" s="59"/>
      <c r="AI66" s="28"/>
      <c r="AJ66" s="28"/>
      <c r="AK66" s="28"/>
      <c r="AL66" s="28"/>
      <c r="AM66" s="28"/>
      <c r="AN66" s="28"/>
      <c r="AO66" s="28"/>
      <c r="AP66" s="28"/>
      <c r="AQ66" s="227" t="s">
        <v>278</v>
      </c>
      <c r="AT66" s="166"/>
    </row>
    <row r="67" spans="1:49" x14ac:dyDescent="0.25">
      <c r="A67" s="65" t="s">
        <v>133</v>
      </c>
      <c r="B67" s="206">
        <v>43892</v>
      </c>
      <c r="C67" s="206">
        <v>43908</v>
      </c>
      <c r="D67" s="206">
        <v>43914</v>
      </c>
      <c r="E67" s="206">
        <v>43919</v>
      </c>
      <c r="F67" s="206">
        <v>44014</v>
      </c>
      <c r="G67" s="206">
        <v>44042</v>
      </c>
      <c r="H67" s="206"/>
      <c r="I67" s="206"/>
      <c r="J67" s="206"/>
      <c r="K67" s="206"/>
      <c r="L67" s="147" t="s">
        <v>160</v>
      </c>
      <c r="M67" s="28"/>
      <c r="N67" s="28"/>
      <c r="O67" s="28"/>
      <c r="P67" s="59"/>
      <c r="Q67" s="59"/>
      <c r="R67" s="59"/>
      <c r="S67" s="278"/>
      <c r="T67" s="194" t="s">
        <v>291</v>
      </c>
      <c r="U67" s="197"/>
      <c r="V67" s="197"/>
      <c r="W67" s="296" t="s">
        <v>328</v>
      </c>
      <c r="X67" s="28"/>
      <c r="Y67" s="28"/>
      <c r="Z67" s="28"/>
      <c r="AA67" s="28"/>
      <c r="AB67" s="28"/>
      <c r="AC67" s="28"/>
      <c r="AD67" s="28"/>
      <c r="AE67" s="28"/>
      <c r="AF67" s="28" t="s">
        <v>342</v>
      </c>
      <c r="AG67" s="28"/>
      <c r="AH67" s="28"/>
      <c r="AJ67" s="28"/>
      <c r="AN67" s="28"/>
      <c r="AO67" s="28"/>
      <c r="AP67" s="28"/>
      <c r="AT67" s="240" t="s">
        <v>284</v>
      </c>
    </row>
    <row r="68" spans="1:49" x14ac:dyDescent="0.25">
      <c r="A68" s="16" t="s">
        <v>12</v>
      </c>
      <c r="B68" s="171">
        <v>4</v>
      </c>
      <c r="C68" s="172">
        <v>3</v>
      </c>
      <c r="D68" s="96">
        <v>5</v>
      </c>
      <c r="E68" s="21">
        <v>95</v>
      </c>
      <c r="F68" s="295">
        <v>28</v>
      </c>
      <c r="G68" s="21">
        <v>530</v>
      </c>
      <c r="H68" s="21"/>
      <c r="J68" s="21"/>
      <c r="K68" s="21"/>
      <c r="L68" s="284">
        <v>43892</v>
      </c>
      <c r="M68" s="285">
        <f t="shared" ref="M68:S68" si="0">L68+HLOOKUP(L68+1, $B$67:$K$68,2,TRUE)</f>
        <v>43896</v>
      </c>
      <c r="N68" s="285">
        <f t="shared" si="0"/>
        <v>43900</v>
      </c>
      <c r="O68" s="285">
        <f t="shared" si="0"/>
        <v>43904</v>
      </c>
      <c r="P68" s="285">
        <f t="shared" si="0"/>
        <v>43908</v>
      </c>
      <c r="Q68" s="286">
        <f t="shared" si="0"/>
        <v>43911</v>
      </c>
      <c r="R68" s="286">
        <f t="shared" si="0"/>
        <v>43914</v>
      </c>
      <c r="S68" s="287">
        <f t="shared" si="0"/>
        <v>43919</v>
      </c>
      <c r="T68" s="288">
        <f>$S$68+(($Y$68-$S$68)*0.11)</f>
        <v>43929.45</v>
      </c>
      <c r="U68" s="288">
        <f>$S$68+(($Y$68-$S$68)*0.23)</f>
        <v>43940.85</v>
      </c>
      <c r="V68" s="288">
        <f>$S$68+(($Y$68-$S$68)*0.5)</f>
        <v>43966.5</v>
      </c>
      <c r="W68" s="288">
        <f>$S$68+(($Y$68-$S$68)*0.87)</f>
        <v>44001.65</v>
      </c>
      <c r="X68" s="288">
        <f>$S$68+(($Y$68-$S$68)*0.97)</f>
        <v>44011.15</v>
      </c>
      <c r="Y68" s="299">
        <f>S68+HLOOKUP(S68+1, $B$67:$K$68,2,TRUE)</f>
        <v>44014</v>
      </c>
      <c r="Z68" s="288">
        <f>$Y$68+(($AD$68-$Y$68)*0.33)</f>
        <v>44023.24</v>
      </c>
      <c r="AA68" s="288">
        <f>$Y$68+(($AD$68-$Y$68)*0.55)</f>
        <v>44029.4</v>
      </c>
      <c r="AB68" s="288">
        <f>$Y$68+(($AD$68-$Y$68)*0.72)</f>
        <v>44034.16</v>
      </c>
      <c r="AC68" s="288">
        <f>$Y$68+(($AD$68-$Y$68)*0.86)</f>
        <v>44038.080000000002</v>
      </c>
      <c r="AD68" s="299">
        <f>Y68+HLOOKUP(Y68+1, $B$67:$K$68,2,TRUE)</f>
        <v>44042</v>
      </c>
      <c r="AE68" s="288">
        <f>$AD$68+(($AI$68-$AD$68)*0.013)</f>
        <v>44048.89</v>
      </c>
      <c r="AF68" s="288">
        <f>$AD$68+(($AI$68-$AD$68)*0.028)</f>
        <v>44056.84</v>
      </c>
      <c r="AG68" s="318">
        <f>$AD$68+(($AI$68-$AD$68)*0.058)</f>
        <v>44072.74</v>
      </c>
      <c r="AH68" s="317">
        <f>$AD$68+(($AI$68-$AD$68)*0.8)</f>
        <v>44466</v>
      </c>
      <c r="AI68" s="268">
        <f>AD68+HLOOKUP(AD68+1, $B$67:$K$68,2,TRUE)</f>
        <v>44572</v>
      </c>
      <c r="AJ68" s="268">
        <f t="shared" ref="AJ68:AS68" si="1">AI68+HLOOKUP(AI68+1, $B$67:$K$68,2,TRUE)</f>
        <v>45102</v>
      </c>
      <c r="AK68" s="268">
        <f t="shared" si="1"/>
        <v>45632</v>
      </c>
      <c r="AL68" s="268">
        <f t="shared" si="1"/>
        <v>46162</v>
      </c>
      <c r="AM68" s="268">
        <f t="shared" si="1"/>
        <v>46692</v>
      </c>
      <c r="AN68" s="268">
        <f t="shared" si="1"/>
        <v>47222</v>
      </c>
      <c r="AO68" s="268">
        <f t="shared" si="1"/>
        <v>47752</v>
      </c>
      <c r="AP68" s="268">
        <f t="shared" si="1"/>
        <v>48282</v>
      </c>
      <c r="AQ68" s="269">
        <f t="shared" si="1"/>
        <v>48812</v>
      </c>
      <c r="AR68" s="270">
        <f t="shared" si="1"/>
        <v>49342</v>
      </c>
      <c r="AS68" s="271">
        <f t="shared" si="1"/>
        <v>49872</v>
      </c>
      <c r="AT68" s="241">
        <f>AS68+(7*8)</f>
        <v>49928</v>
      </c>
      <c r="AU68" s="82"/>
      <c r="AV68" s="82"/>
      <c r="AW68" s="81"/>
    </row>
    <row r="69" spans="1:49" x14ac:dyDescent="0.25">
      <c r="A69" s="53" t="s">
        <v>206</v>
      </c>
      <c r="B69" s="28"/>
      <c r="C69" s="28"/>
      <c r="D69" s="28"/>
      <c r="E69" s="28"/>
      <c r="F69" s="28"/>
      <c r="G69" s="28"/>
      <c r="H69" s="28"/>
      <c r="I69" s="28"/>
      <c r="J69" s="28"/>
      <c r="K69" s="28"/>
      <c r="L69" s="263">
        <v>31.25</v>
      </c>
      <c r="M69" s="264">
        <f>L69*2</f>
        <v>62.5</v>
      </c>
      <c r="N69" s="264">
        <f t="shared" ref="N69:AO69" si="2">M69*2</f>
        <v>125</v>
      </c>
      <c r="O69" s="264">
        <f t="shared" si="2"/>
        <v>250</v>
      </c>
      <c r="P69" s="265">
        <f t="shared" si="2"/>
        <v>500</v>
      </c>
      <c r="Q69" s="266">
        <f t="shared" si="2"/>
        <v>1000</v>
      </c>
      <c r="R69" s="264">
        <f t="shared" si="2"/>
        <v>2000</v>
      </c>
      <c r="S69" s="264">
        <f t="shared" si="2"/>
        <v>4000</v>
      </c>
      <c r="T69" s="266">
        <f>$S$69+(($Y$69-$S$69)*0.5)</f>
        <v>6000</v>
      </c>
      <c r="U69" s="264">
        <f>$S$69+(($Y$69-$S$69)*0.65)</f>
        <v>6600</v>
      </c>
      <c r="V69" s="264">
        <f>$S$69+(($Y$69-$S$69)*0.75)</f>
        <v>7000</v>
      </c>
      <c r="W69" s="264">
        <f>$S$69+(($Y$69-$S$69)*0.85)</f>
        <v>7400</v>
      </c>
      <c r="X69" s="264">
        <f>$S$69+(($Y$69-$S$69)*0.95)</f>
        <v>7800</v>
      </c>
      <c r="Y69" s="265">
        <f>S69*2</f>
        <v>8000</v>
      </c>
      <c r="Z69" s="264">
        <f>$Y$69+(($AD$69-$Y$69)*0.2)</f>
        <v>9600</v>
      </c>
      <c r="AA69" s="264">
        <f>$Y$69+(($AD$69-$Y$69)*0.4)</f>
        <v>11200</v>
      </c>
      <c r="AB69" s="264">
        <f>$Y$69+(($AD$69-$Y$69)*0.6)</f>
        <v>12800</v>
      </c>
      <c r="AC69" s="264">
        <f>$Y$69+(($AD$69-$Y$69)*0.8)</f>
        <v>14400</v>
      </c>
      <c r="AD69" s="264">
        <f>Y69*2</f>
        <v>16000</v>
      </c>
      <c r="AE69" s="264">
        <f>$AD$69+(($AI$69-$AD$69)*0.2)</f>
        <v>19200</v>
      </c>
      <c r="AF69" s="264">
        <f>$AD$69+(($AI$69-$AD$69)*0.4)</f>
        <v>22400</v>
      </c>
      <c r="AG69" s="264">
        <f>$AD$69+(($AI$69-$AD$69)*0.6)</f>
        <v>25600</v>
      </c>
      <c r="AH69" s="264">
        <f>$AD$69+(($AI$69-$AD$69)*0.8)</f>
        <v>28800</v>
      </c>
      <c r="AI69" s="264">
        <f>AD69*2</f>
        <v>32000</v>
      </c>
      <c r="AJ69" s="264">
        <f>AI69*2</f>
        <v>64000</v>
      </c>
      <c r="AK69" s="264">
        <f>AJ69*2</f>
        <v>128000</v>
      </c>
      <c r="AL69" s="264">
        <f t="shared" si="2"/>
        <v>256000</v>
      </c>
      <c r="AM69" s="264">
        <f t="shared" si="2"/>
        <v>512000</v>
      </c>
      <c r="AN69" s="264">
        <f t="shared" si="2"/>
        <v>1024000</v>
      </c>
      <c r="AO69" s="264">
        <f t="shared" si="2"/>
        <v>2048000</v>
      </c>
      <c r="AP69" s="264">
        <f>AO69*2</f>
        <v>4096000</v>
      </c>
      <c r="AQ69" s="265">
        <f>AP69*2</f>
        <v>8192000</v>
      </c>
      <c r="AR69" s="256">
        <f>AQ69*2</f>
        <v>16384000</v>
      </c>
      <c r="AS69" s="222">
        <f>B55</f>
        <v>25634000</v>
      </c>
      <c r="AT69" s="235">
        <f>B55*AT70</f>
        <v>5126800</v>
      </c>
      <c r="AU69" s="57"/>
      <c r="AV69" s="57"/>
      <c r="AW69" s="81"/>
    </row>
    <row r="70" spans="1:49" x14ac:dyDescent="0.25">
      <c r="A70" s="53" t="s">
        <v>207</v>
      </c>
      <c r="B70" s="28"/>
      <c r="C70" s="28"/>
      <c r="D70" s="28"/>
      <c r="E70" s="28"/>
      <c r="F70" s="28"/>
      <c r="G70" s="28"/>
      <c r="H70" s="28"/>
      <c r="I70" s="28"/>
      <c r="J70" s="28"/>
      <c r="K70" s="28"/>
      <c r="L70" s="210">
        <f t="shared" ref="L70:AO70" si="3">L69/$B$55</f>
        <v>1.2190840290239525E-6</v>
      </c>
      <c r="M70" s="211">
        <f t="shared" si="3"/>
        <v>2.438168058047905E-6</v>
      </c>
      <c r="N70" s="78">
        <f t="shared" si="3"/>
        <v>4.87633611609581E-6</v>
      </c>
      <c r="O70" s="48">
        <f t="shared" si="3"/>
        <v>9.7526722321916199E-6</v>
      </c>
      <c r="P70" s="209">
        <f t="shared" si="3"/>
        <v>1.950534446438324E-5</v>
      </c>
      <c r="Q70" s="101">
        <f t="shared" si="3"/>
        <v>3.901068892876648E-5</v>
      </c>
      <c r="R70" s="48">
        <f t="shared" si="3"/>
        <v>7.8021377857532959E-5</v>
      </c>
      <c r="S70" s="48">
        <f t="shared" si="3"/>
        <v>1.5604275571506592E-4</v>
      </c>
      <c r="T70" s="101">
        <f t="shared" ref="T70:X70" si="4">T69/$B$55</f>
        <v>2.3406413357259889E-4</v>
      </c>
      <c r="U70" s="48">
        <f t="shared" si="4"/>
        <v>2.5747054692985876E-4</v>
      </c>
      <c r="V70" s="48">
        <f t="shared" ref="V70:W70" si="5">V69/$B$55</f>
        <v>2.7307482250136535E-4</v>
      </c>
      <c r="W70" s="48">
        <f t="shared" si="5"/>
        <v>2.8867909807287195E-4</v>
      </c>
      <c r="X70" s="48">
        <f t="shared" si="4"/>
        <v>3.0428337364437854E-4</v>
      </c>
      <c r="Y70" s="292">
        <f t="shared" si="3"/>
        <v>3.1208551143013184E-4</v>
      </c>
      <c r="Z70" s="26">
        <f t="shared" si="3"/>
        <v>3.7450261371615822E-4</v>
      </c>
      <c r="AA70" s="26">
        <f t="shared" si="3"/>
        <v>4.3691971600218459E-4</v>
      </c>
      <c r="AB70" s="26">
        <f t="shared" si="3"/>
        <v>4.9933681828821092E-4</v>
      </c>
      <c r="AC70" s="26">
        <f>AC69/$B$55</f>
        <v>5.617539205742373E-4</v>
      </c>
      <c r="AD70" s="26">
        <f>AD69/$B$55</f>
        <v>6.2417102286026367E-4</v>
      </c>
      <c r="AE70" s="26">
        <f t="shared" ref="AE70:AH70" si="6">AE69/$B$55</f>
        <v>7.4900522743231643E-4</v>
      </c>
      <c r="AF70" s="26">
        <f t="shared" si="6"/>
        <v>8.7383943200436919E-4</v>
      </c>
      <c r="AG70" s="26">
        <f t="shared" si="6"/>
        <v>9.9867363657642184E-4</v>
      </c>
      <c r="AH70" s="26">
        <f t="shared" si="6"/>
        <v>1.1235078411484746E-3</v>
      </c>
      <c r="AI70" s="26">
        <f>AI69/$B$55</f>
        <v>1.2483420457205273E-3</v>
      </c>
      <c r="AJ70" s="26">
        <f>AJ69/$B$55</f>
        <v>2.4966840914410547E-3</v>
      </c>
      <c r="AK70" s="27">
        <f>AK69/$B$55</f>
        <v>4.9933681828821094E-3</v>
      </c>
      <c r="AL70" s="87">
        <f t="shared" si="3"/>
        <v>9.9867363657642188E-3</v>
      </c>
      <c r="AM70" s="87">
        <f t="shared" si="3"/>
        <v>1.9973472731528438E-2</v>
      </c>
      <c r="AN70" s="87">
        <f t="shared" si="3"/>
        <v>3.9946945463056875E-2</v>
      </c>
      <c r="AO70" s="87">
        <f t="shared" si="3"/>
        <v>7.989389092611375E-2</v>
      </c>
      <c r="AP70" s="87">
        <f>AP69/$B$55</f>
        <v>0.1597877818522275</v>
      </c>
      <c r="AQ70" s="260">
        <f>AQ69/$B$55</f>
        <v>0.319575563704455</v>
      </c>
      <c r="AR70" s="257">
        <f>AR69/$B$55</f>
        <v>0.63915112740891</v>
      </c>
      <c r="AS70" s="193">
        <f>AS69/$B$55</f>
        <v>1</v>
      </c>
      <c r="AT70" s="236">
        <f>B58</f>
        <v>0.2</v>
      </c>
      <c r="AU70" s="37"/>
      <c r="AV70" s="37"/>
      <c r="AW70" s="81"/>
    </row>
    <row r="71" spans="1:49" x14ac:dyDescent="0.25">
      <c r="A71" s="53" t="s">
        <v>259</v>
      </c>
      <c r="B71" s="28"/>
      <c r="C71" s="28"/>
      <c r="D71" s="28"/>
      <c r="E71" s="28"/>
      <c r="F71" s="28"/>
      <c r="G71" s="28"/>
      <c r="H71" s="28"/>
      <c r="I71" s="28"/>
      <c r="J71" s="28"/>
      <c r="K71" s="28"/>
      <c r="L71" s="243">
        <f t="shared" ref="L71:AD71" si="7">MAX(L69-(L77-L78)-(L79-L80)-(L81-L82),0)</f>
        <v>24.130883226557515</v>
      </c>
      <c r="M71" s="244">
        <f t="shared" si="7"/>
        <v>52.110616301973671</v>
      </c>
      <c r="N71" s="244">
        <f t="shared" si="7"/>
        <v>109.83810603760882</v>
      </c>
      <c r="O71" s="244">
        <f t="shared" si="7"/>
        <v>227.87327571986157</v>
      </c>
      <c r="P71" s="245">
        <f t="shared" si="7"/>
        <v>464.42145089197237</v>
      </c>
      <c r="Q71" s="243">
        <f t="shared" si="7"/>
        <v>933.19738854315824</v>
      </c>
      <c r="R71" s="244">
        <f t="shared" si="7"/>
        <v>1891.0227272727273</v>
      </c>
      <c r="S71" s="244">
        <f t="shared" si="7"/>
        <v>3734.9559198133607</v>
      </c>
      <c r="T71" s="243">
        <f t="shared" ref="T71:X71" si="8">MAX(T69-(T77-T78)-(T79-T80)-(T81-T82),0)</f>
        <v>3587.972056983629</v>
      </c>
      <c r="U71" s="244">
        <f t="shared" si="8"/>
        <v>1174.7598280214165</v>
      </c>
      <c r="V71" s="244">
        <f t="shared" ref="V71:W71" si="9">MAX(V69-(V77-V78)-(V79-V80)-(V81-V82),0)</f>
        <v>279.99999999999989</v>
      </c>
      <c r="W71" s="244">
        <f t="shared" si="9"/>
        <v>302.81101321620804</v>
      </c>
      <c r="X71" s="244">
        <f t="shared" si="8"/>
        <v>312</v>
      </c>
      <c r="Y71" s="245">
        <f>MAX(Y69-(Y77-Y78)-(Y79-Y80)-(Y81-Y82),0)</f>
        <v>320</v>
      </c>
      <c r="Z71" s="244">
        <f t="shared" ref="Z71:AC71" si="10">MAX(Z69-(Z77-Z78)-(Z79-Z80)-(Z81-Z82),0)</f>
        <v>383.99999999999886</v>
      </c>
      <c r="AA71" s="244">
        <f t="shared" si="10"/>
        <v>2983.7300342326562</v>
      </c>
      <c r="AB71" s="244">
        <f t="shared" si="10"/>
        <v>2782.1513285104102</v>
      </c>
      <c r="AC71" s="244">
        <f t="shared" si="10"/>
        <v>4710.4053286181925</v>
      </c>
      <c r="AD71" s="244">
        <f t="shared" si="7"/>
        <v>4668.6244410969275</v>
      </c>
      <c r="AE71" s="244">
        <f t="shared" ref="AE71:AH71" si="11">MAX(AE69-(AE77-AE78)-(AE79-AE80)-(AE81-AE82),0)</f>
        <v>7536.0455553000629</v>
      </c>
      <c r="AF71" s="244">
        <f t="shared" si="11"/>
        <v>8127.2576227257405</v>
      </c>
      <c r="AG71" s="244">
        <f t="shared" si="11"/>
        <v>5279.6107311395508</v>
      </c>
      <c r="AH71" s="244">
        <f t="shared" si="11"/>
        <v>1151.9999999999995</v>
      </c>
      <c r="AI71" s="244">
        <f>MAX(AI69-(AI77-AI78)-(AI79-AI80)-(AI81-AI82),0)</f>
        <v>1280</v>
      </c>
      <c r="AJ71" s="244">
        <f t="shared" ref="AJ71:AS71" si="12">MAX(AJ69-(AJ77-AJ78)-(AJ79-AJ80)-(AJ81-AJ82),0)</f>
        <v>2560</v>
      </c>
      <c r="AK71" s="244">
        <f t="shared" si="12"/>
        <v>5120</v>
      </c>
      <c r="AL71" s="244">
        <f t="shared" si="12"/>
        <v>10240</v>
      </c>
      <c r="AM71" s="244">
        <f t="shared" si="12"/>
        <v>20480</v>
      </c>
      <c r="AN71" s="244">
        <f t="shared" si="12"/>
        <v>40960</v>
      </c>
      <c r="AO71" s="244">
        <f t="shared" si="12"/>
        <v>81920</v>
      </c>
      <c r="AP71" s="244">
        <f t="shared" si="12"/>
        <v>163840</v>
      </c>
      <c r="AQ71" s="245">
        <f t="shared" si="12"/>
        <v>327680</v>
      </c>
      <c r="AR71" s="258">
        <f t="shared" si="12"/>
        <v>655360</v>
      </c>
      <c r="AS71" s="215">
        <f t="shared" si="12"/>
        <v>1025359.9999999995</v>
      </c>
      <c r="AT71" s="237"/>
      <c r="AU71" s="57"/>
      <c r="AV71" s="57"/>
      <c r="AW71" s="81"/>
    </row>
    <row r="72" spans="1:49" x14ac:dyDescent="0.25">
      <c r="A72" s="53" t="s">
        <v>279</v>
      </c>
      <c r="B72" s="28"/>
      <c r="C72" s="28"/>
      <c r="D72" s="28"/>
      <c r="E72" s="28"/>
      <c r="F72" s="28"/>
      <c r="G72" s="28"/>
      <c r="H72" s="28"/>
      <c r="I72" s="28"/>
      <c r="J72" s="28"/>
      <c r="K72" s="28"/>
      <c r="L72" s="98">
        <f>L69-L71</f>
        <v>7.1191167734424852</v>
      </c>
      <c r="M72" s="99">
        <f t="shared" ref="M72:AS72" si="13">M69-M71</f>
        <v>10.389383698026329</v>
      </c>
      <c r="N72" s="99">
        <f t="shared" si="13"/>
        <v>15.161893962391176</v>
      </c>
      <c r="O72" s="99">
        <f t="shared" si="13"/>
        <v>22.126724280138433</v>
      </c>
      <c r="P72" s="136">
        <f t="shared" si="13"/>
        <v>35.57854910802763</v>
      </c>
      <c r="Q72" s="261">
        <f t="shared" si="13"/>
        <v>66.80261145684176</v>
      </c>
      <c r="R72" s="135">
        <f t="shared" si="13"/>
        <v>108.97727272727275</v>
      </c>
      <c r="S72" s="135">
        <f t="shared" si="13"/>
        <v>265.04408018663935</v>
      </c>
      <c r="T72" s="290">
        <f t="shared" ref="T72:X72" si="14">T69-T71</f>
        <v>2412.027943016371</v>
      </c>
      <c r="U72" s="289">
        <f t="shared" si="14"/>
        <v>5425.240171978583</v>
      </c>
      <c r="V72" s="289">
        <f t="shared" ref="V72:W72" si="15">V69-V71</f>
        <v>6720</v>
      </c>
      <c r="W72" s="289">
        <f t="shared" si="15"/>
        <v>7097.1889867837917</v>
      </c>
      <c r="X72" s="289">
        <f t="shared" si="14"/>
        <v>7488</v>
      </c>
      <c r="Y72" s="136">
        <f>Y69-Y71</f>
        <v>7680</v>
      </c>
      <c r="Z72" s="135">
        <f t="shared" ref="Z72:AC72" si="16">Z69-Z71</f>
        <v>9216.0000000000018</v>
      </c>
      <c r="AA72" s="135">
        <f t="shared" si="16"/>
        <v>8216.2699657673438</v>
      </c>
      <c r="AB72" s="135">
        <f t="shared" si="16"/>
        <v>10017.84867148959</v>
      </c>
      <c r="AC72" s="135">
        <f t="shared" si="16"/>
        <v>9689.5946713818084</v>
      </c>
      <c r="AD72" s="135">
        <f t="shared" si="13"/>
        <v>11331.375558903073</v>
      </c>
      <c r="AE72" s="135">
        <f t="shared" ref="AE72:AH72" si="17">AE69-AE71</f>
        <v>11663.954444699937</v>
      </c>
      <c r="AF72" s="135">
        <f t="shared" si="17"/>
        <v>14272.742377274259</v>
      </c>
      <c r="AG72" s="135">
        <f t="shared" si="17"/>
        <v>20320.38926886045</v>
      </c>
      <c r="AH72" s="135">
        <f t="shared" si="17"/>
        <v>27648</v>
      </c>
      <c r="AI72" s="135">
        <f t="shared" si="13"/>
        <v>30720</v>
      </c>
      <c r="AJ72" s="135">
        <f t="shared" si="13"/>
        <v>61440</v>
      </c>
      <c r="AK72" s="135">
        <f t="shared" si="13"/>
        <v>122880</v>
      </c>
      <c r="AL72" s="135">
        <f t="shared" si="13"/>
        <v>245760</v>
      </c>
      <c r="AM72" s="135">
        <f t="shared" si="13"/>
        <v>491520</v>
      </c>
      <c r="AN72" s="135">
        <f t="shared" si="13"/>
        <v>983040</v>
      </c>
      <c r="AO72" s="135">
        <f t="shared" si="13"/>
        <v>1966080</v>
      </c>
      <c r="AP72" s="135">
        <f t="shared" si="13"/>
        <v>3932160</v>
      </c>
      <c r="AQ72" s="136">
        <f t="shared" si="13"/>
        <v>7864320</v>
      </c>
      <c r="AR72" s="229">
        <f t="shared" si="13"/>
        <v>15728640</v>
      </c>
      <c r="AS72" s="228">
        <f t="shared" si="13"/>
        <v>24608640</v>
      </c>
      <c r="AT72" s="238"/>
      <c r="AU72" s="37"/>
      <c r="AV72" s="37"/>
      <c r="AW72" s="81"/>
    </row>
    <row r="73" spans="1:49" x14ac:dyDescent="0.25">
      <c r="A73" s="16" t="s">
        <v>271</v>
      </c>
      <c r="B73" s="21"/>
      <c r="C73" s="21"/>
      <c r="D73" s="21"/>
      <c r="E73" s="21"/>
      <c r="F73" s="21"/>
      <c r="G73" s="21"/>
      <c r="H73" s="21"/>
      <c r="I73" s="21"/>
      <c r="J73" s="21"/>
      <c r="K73" s="21"/>
      <c r="L73" s="225">
        <f t="shared" ref="L73:AQ73" si="18">L69/$B$57</f>
        <v>98.4375</v>
      </c>
      <c r="M73" s="226">
        <f t="shared" si="18"/>
        <v>196.875</v>
      </c>
      <c r="N73" s="226">
        <f t="shared" si="18"/>
        <v>393.75</v>
      </c>
      <c r="O73" s="226">
        <f t="shared" si="18"/>
        <v>787.5</v>
      </c>
      <c r="P73" s="226">
        <f t="shared" si="18"/>
        <v>1575</v>
      </c>
      <c r="Q73" s="225">
        <f t="shared" si="18"/>
        <v>3150</v>
      </c>
      <c r="R73" s="226">
        <f t="shared" si="18"/>
        <v>6300</v>
      </c>
      <c r="S73" s="226">
        <f t="shared" si="18"/>
        <v>12600</v>
      </c>
      <c r="T73" s="225">
        <f t="shared" ref="T73:U73" si="19">T69/$B$57</f>
        <v>18900</v>
      </c>
      <c r="U73" s="226">
        <f t="shared" si="19"/>
        <v>20790</v>
      </c>
      <c r="V73" s="226">
        <f t="shared" ref="V73:W73" si="20">V69/$B$57</f>
        <v>22050</v>
      </c>
      <c r="W73" s="226">
        <f t="shared" si="20"/>
        <v>23310</v>
      </c>
      <c r="X73" s="226">
        <f>X69/$B$57</f>
        <v>24570</v>
      </c>
      <c r="Y73" s="234">
        <f t="shared" si="18"/>
        <v>25200</v>
      </c>
      <c r="Z73" s="226">
        <f t="shared" ref="Z73:AC73" si="21">Z69/$B$57</f>
        <v>30240</v>
      </c>
      <c r="AA73" s="226">
        <f t="shared" si="21"/>
        <v>35280</v>
      </c>
      <c r="AB73" s="226">
        <f t="shared" si="21"/>
        <v>40320</v>
      </c>
      <c r="AC73" s="226">
        <f t="shared" si="21"/>
        <v>45360</v>
      </c>
      <c r="AD73" s="226">
        <f t="shared" si="18"/>
        <v>50400</v>
      </c>
      <c r="AE73" s="226">
        <f t="shared" ref="AE73:AH73" si="22">AE69/$B$57</f>
        <v>60480</v>
      </c>
      <c r="AF73" s="226">
        <f t="shared" si="22"/>
        <v>70560</v>
      </c>
      <c r="AG73" s="226">
        <f t="shared" si="22"/>
        <v>80640</v>
      </c>
      <c r="AH73" s="226">
        <f t="shared" si="22"/>
        <v>90720</v>
      </c>
      <c r="AI73" s="226">
        <f t="shared" si="18"/>
        <v>100800</v>
      </c>
      <c r="AJ73" s="226">
        <f t="shared" si="18"/>
        <v>201600</v>
      </c>
      <c r="AK73" s="226">
        <f t="shared" si="18"/>
        <v>403200</v>
      </c>
      <c r="AL73" s="226">
        <f t="shared" si="18"/>
        <v>806400</v>
      </c>
      <c r="AM73" s="226">
        <f t="shared" si="18"/>
        <v>1612800</v>
      </c>
      <c r="AN73" s="226">
        <f t="shared" si="18"/>
        <v>3225600</v>
      </c>
      <c r="AO73" s="226">
        <f t="shared" si="18"/>
        <v>6451200</v>
      </c>
      <c r="AP73" s="226">
        <f t="shared" si="18"/>
        <v>12902400</v>
      </c>
      <c r="AQ73" s="234">
        <f t="shared" si="18"/>
        <v>25804800</v>
      </c>
      <c r="AR73" s="258">
        <f>AR69/$B$57</f>
        <v>51609600</v>
      </c>
      <c r="AS73" s="215">
        <f>AS69</f>
        <v>25634000</v>
      </c>
      <c r="AT73" s="237">
        <f>($B$55*$B$58)/$B$57</f>
        <v>16149420</v>
      </c>
      <c r="AU73" s="37"/>
      <c r="AV73" s="37"/>
      <c r="AW73" s="81"/>
    </row>
    <row r="74" spans="1:49" x14ac:dyDescent="0.25">
      <c r="A74" s="53" t="s">
        <v>211</v>
      </c>
      <c r="B74" s="28"/>
      <c r="C74" s="28"/>
      <c r="D74" s="28"/>
      <c r="E74" s="28"/>
      <c r="F74" s="28"/>
      <c r="G74" s="28"/>
      <c r="H74" s="28"/>
      <c r="I74" s="28"/>
      <c r="J74" s="28"/>
      <c r="K74" s="28"/>
      <c r="L74" s="210">
        <f>L73/$B$55</f>
        <v>3.8401146914254502E-6</v>
      </c>
      <c r="M74" s="78">
        <f t="shared" ref="M74:AQ74" si="23">M73/$B$55</f>
        <v>7.6802293828509003E-6</v>
      </c>
      <c r="N74" s="78">
        <f t="shared" si="23"/>
        <v>1.5360458765701801E-5</v>
      </c>
      <c r="O74" s="48">
        <f t="shared" si="23"/>
        <v>3.0720917531403601E-5</v>
      </c>
      <c r="P74" s="48">
        <f t="shared" si="23"/>
        <v>6.1441835062807203E-5</v>
      </c>
      <c r="Q74" s="101">
        <f t="shared" si="23"/>
        <v>1.2288367012561441E-4</v>
      </c>
      <c r="R74" s="48">
        <f t="shared" si="23"/>
        <v>2.4576734025122881E-4</v>
      </c>
      <c r="S74" s="26">
        <f t="shared" si="23"/>
        <v>4.9153468050245762E-4</v>
      </c>
      <c r="T74" s="18">
        <f t="shared" ref="T74:X74" si="24">T73/$B$55</f>
        <v>7.3730202075368654E-4</v>
      </c>
      <c r="U74" s="26">
        <f t="shared" si="24"/>
        <v>8.1103222282905517E-4</v>
      </c>
      <c r="V74" s="26">
        <f t="shared" ref="V74:W74" si="25">V73/$B$55</f>
        <v>8.6018569087930089E-4</v>
      </c>
      <c r="W74" s="26">
        <f t="shared" si="25"/>
        <v>9.0933915892954672E-4</v>
      </c>
      <c r="X74" s="26">
        <f t="shared" si="24"/>
        <v>9.5849262697979244E-4</v>
      </c>
      <c r="Y74" s="291">
        <f t="shared" si="23"/>
        <v>9.8306936100491524E-4</v>
      </c>
      <c r="Z74" s="27">
        <f t="shared" ref="Z74:AC74" si="26">Z73/$B$55</f>
        <v>1.1796832332058983E-3</v>
      </c>
      <c r="AA74" s="27">
        <f t="shared" si="26"/>
        <v>1.3762971054068814E-3</v>
      </c>
      <c r="AB74" s="27">
        <f t="shared" si="26"/>
        <v>1.5729109776078645E-3</v>
      </c>
      <c r="AC74" s="27">
        <f t="shared" si="26"/>
        <v>1.7695248498088476E-3</v>
      </c>
      <c r="AD74" s="27">
        <f t="shared" si="23"/>
        <v>1.9661387220098305E-3</v>
      </c>
      <c r="AE74" s="27">
        <f t="shared" ref="AE74:AH74" si="27">AE73/$B$55</f>
        <v>2.3593664664117967E-3</v>
      </c>
      <c r="AF74" s="27">
        <f t="shared" si="27"/>
        <v>2.7525942108137628E-3</v>
      </c>
      <c r="AG74" s="27">
        <f t="shared" si="27"/>
        <v>3.145821955215729E-3</v>
      </c>
      <c r="AH74" s="27">
        <f t="shared" si="27"/>
        <v>3.5390496996176952E-3</v>
      </c>
      <c r="AI74" s="27">
        <f t="shared" si="23"/>
        <v>3.932277444019661E-3</v>
      </c>
      <c r="AJ74" s="27">
        <f t="shared" si="23"/>
        <v>7.8645548880393219E-3</v>
      </c>
      <c r="AK74" s="27">
        <f t="shared" si="23"/>
        <v>1.5729109776078644E-2</v>
      </c>
      <c r="AL74" s="87">
        <f t="shared" si="23"/>
        <v>3.1458219552157288E-2</v>
      </c>
      <c r="AM74" s="87">
        <f t="shared" si="23"/>
        <v>6.2916439104314575E-2</v>
      </c>
      <c r="AN74" s="87">
        <f t="shared" si="23"/>
        <v>0.12583287820862915</v>
      </c>
      <c r="AO74" s="87">
        <f t="shared" si="23"/>
        <v>0.2516657564172583</v>
      </c>
      <c r="AP74" s="87">
        <f t="shared" si="23"/>
        <v>0.5033315128345166</v>
      </c>
      <c r="AQ74" s="260">
        <f t="shared" si="23"/>
        <v>1.0066630256690332</v>
      </c>
      <c r="AR74" s="257">
        <f>AR73/$B$55</f>
        <v>2.0133260513380664</v>
      </c>
      <c r="AS74" s="193">
        <v>1</v>
      </c>
      <c r="AT74" s="236">
        <f>AT73/B55</f>
        <v>0.63</v>
      </c>
      <c r="AU74" s="37"/>
      <c r="AV74" s="37"/>
      <c r="AW74" s="81"/>
    </row>
    <row r="75" spans="1:49" x14ac:dyDescent="0.25">
      <c r="A75" s="53" t="s">
        <v>269</v>
      </c>
      <c r="B75" s="28"/>
      <c r="C75" s="28"/>
      <c r="D75" s="28"/>
      <c r="E75" s="28"/>
      <c r="F75" s="28"/>
      <c r="G75" s="28"/>
      <c r="H75" s="28"/>
      <c r="I75" s="28"/>
      <c r="J75" s="28"/>
      <c r="K75" s="28"/>
      <c r="L75" s="212">
        <f t="shared" ref="L75:AQ75" si="28">L73-L69</f>
        <v>67.1875</v>
      </c>
      <c r="M75" s="213">
        <f t="shared" si="28"/>
        <v>134.375</v>
      </c>
      <c r="N75" s="213">
        <f t="shared" si="28"/>
        <v>268.75</v>
      </c>
      <c r="O75" s="213">
        <f t="shared" si="28"/>
        <v>537.5</v>
      </c>
      <c r="P75" s="213">
        <f t="shared" si="28"/>
        <v>1075</v>
      </c>
      <c r="Q75" s="212">
        <f t="shared" si="28"/>
        <v>2150</v>
      </c>
      <c r="R75" s="213">
        <f t="shared" si="28"/>
        <v>4300</v>
      </c>
      <c r="S75" s="213">
        <f t="shared" si="28"/>
        <v>8600</v>
      </c>
      <c r="T75" s="212">
        <f t="shared" ref="T75:U75" si="29">T73-T69</f>
        <v>12900</v>
      </c>
      <c r="U75" s="213">
        <f t="shared" si="29"/>
        <v>14190</v>
      </c>
      <c r="V75" s="213">
        <f t="shared" ref="V75:W75" si="30">V73-V69</f>
        <v>15050</v>
      </c>
      <c r="W75" s="213">
        <f t="shared" si="30"/>
        <v>15910</v>
      </c>
      <c r="X75" s="213">
        <f>X73-X69</f>
        <v>16770</v>
      </c>
      <c r="Y75" s="214">
        <f t="shared" si="28"/>
        <v>17200</v>
      </c>
      <c r="Z75" s="213">
        <f t="shared" ref="Z75:AC75" si="31">Z73-Z69</f>
        <v>20640</v>
      </c>
      <c r="AA75" s="213">
        <f t="shared" si="31"/>
        <v>24080</v>
      </c>
      <c r="AB75" s="213">
        <f t="shared" si="31"/>
        <v>27520</v>
      </c>
      <c r="AC75" s="213">
        <f t="shared" si="31"/>
        <v>30960</v>
      </c>
      <c r="AD75" s="213">
        <f t="shared" si="28"/>
        <v>34400</v>
      </c>
      <c r="AE75" s="213">
        <f t="shared" ref="AE75:AH75" si="32">AE73-AE69</f>
        <v>41280</v>
      </c>
      <c r="AF75" s="213">
        <f t="shared" si="32"/>
        <v>48160</v>
      </c>
      <c r="AG75" s="213">
        <f t="shared" si="32"/>
        <v>55040</v>
      </c>
      <c r="AH75" s="213">
        <f t="shared" si="32"/>
        <v>61920</v>
      </c>
      <c r="AI75" s="213">
        <f t="shared" si="28"/>
        <v>68800</v>
      </c>
      <c r="AJ75" s="213">
        <f t="shared" si="28"/>
        <v>137600</v>
      </c>
      <c r="AK75" s="213">
        <f>AK73-AK69</f>
        <v>275200</v>
      </c>
      <c r="AL75" s="213">
        <f t="shared" si="28"/>
        <v>550400</v>
      </c>
      <c r="AM75" s="213">
        <f t="shared" si="28"/>
        <v>1100800</v>
      </c>
      <c r="AN75" s="213">
        <f t="shared" si="28"/>
        <v>2201600</v>
      </c>
      <c r="AO75" s="213">
        <f t="shared" si="28"/>
        <v>4403200</v>
      </c>
      <c r="AP75" s="213">
        <f t="shared" si="28"/>
        <v>8806400</v>
      </c>
      <c r="AQ75" s="214">
        <f t="shared" si="28"/>
        <v>17612800</v>
      </c>
      <c r="AR75" s="258">
        <f>AR73</f>
        <v>51609600</v>
      </c>
      <c r="AS75" s="215">
        <f>AS73</f>
        <v>25634000</v>
      </c>
      <c r="AT75" s="239">
        <f>AT73-AT69</f>
        <v>11022620</v>
      </c>
      <c r="AU75" s="37"/>
      <c r="AV75" s="37"/>
      <c r="AW75" s="81"/>
    </row>
    <row r="76" spans="1:49" x14ac:dyDescent="0.25">
      <c r="A76" s="49" t="s">
        <v>270</v>
      </c>
      <c r="B76" s="51"/>
      <c r="C76" s="51"/>
      <c r="D76" s="51"/>
      <c r="E76" s="51"/>
      <c r="F76" s="51"/>
      <c r="G76" s="51"/>
      <c r="H76" s="51"/>
      <c r="I76" s="51"/>
      <c r="J76" s="51"/>
      <c r="K76" s="51"/>
      <c r="L76" s="216">
        <f>MIN((1/$B$57)*(2^(((L68 - 14) - $B$65)/$L$93)),L75)</f>
        <v>27.685454118942992</v>
      </c>
      <c r="M76" s="217">
        <f>MIN((1/$B$57)*(2^(((M68 - 14) - $B$65)/$L$93)),M75)</f>
        <v>40.403158825657947</v>
      </c>
      <c r="N76" s="217">
        <f>MIN((1/$B$57)*(2^(((N68 - 14) - $B$65)/$L$93)),N75)</f>
        <v>58.962920964854554</v>
      </c>
      <c r="O76" s="217">
        <f>MIN((1/$B$57)*(2^(((O68 - 14) - $B$65)/$L$93)),O75)</f>
        <v>86.048372200538381</v>
      </c>
      <c r="P76" s="219">
        <f t="shared" ref="P76:AS76" si="33">MIN(($L$69/$B$57)*(2^(((P68 - 14) - $L$68)/HLOOKUP((P68-14)-$B$65,$L$91:$AT$93,3,TRUE))),P75)</f>
        <v>118.91657986455181</v>
      </c>
      <c r="Q76" s="220">
        <f t="shared" si="33"/>
        <v>220.8990445543846</v>
      </c>
      <c r="R76" s="219">
        <f t="shared" si="33"/>
        <v>346.02272727272725</v>
      </c>
      <c r="S76" s="219">
        <f t="shared" si="33"/>
        <v>875.17142294804205</v>
      </c>
      <c r="T76" s="220">
        <f t="shared" si="33"/>
        <v>9146.7753339525552</v>
      </c>
      <c r="U76" s="219">
        <f t="shared" si="33"/>
        <v>14190</v>
      </c>
      <c r="V76" s="219">
        <f t="shared" si="33"/>
        <v>15050</v>
      </c>
      <c r="W76" s="219">
        <f t="shared" si="33"/>
        <v>15910</v>
      </c>
      <c r="X76" s="219">
        <f t="shared" si="33"/>
        <v>16770</v>
      </c>
      <c r="Y76" s="218">
        <f t="shared" si="33"/>
        <v>17200</v>
      </c>
      <c r="Z76" s="219">
        <f t="shared" si="33"/>
        <v>20640</v>
      </c>
      <c r="AA76" s="219">
        <f t="shared" si="33"/>
        <v>24080</v>
      </c>
      <c r="AB76" s="219">
        <f t="shared" si="33"/>
        <v>27520</v>
      </c>
      <c r="AC76" s="219">
        <f t="shared" si="33"/>
        <v>29548.947684471728</v>
      </c>
      <c r="AD76" s="219">
        <f t="shared" si="33"/>
        <v>34400</v>
      </c>
      <c r="AE76" s="219">
        <f t="shared" si="33"/>
        <v>39665.362777390837</v>
      </c>
      <c r="AF76" s="219">
        <f t="shared" si="33"/>
        <v>48160</v>
      </c>
      <c r="AG76" s="219">
        <f t="shared" si="33"/>
        <v>55040</v>
      </c>
      <c r="AH76" s="219">
        <f t="shared" si="33"/>
        <v>61920</v>
      </c>
      <c r="AI76" s="219">
        <f t="shared" si="33"/>
        <v>68800</v>
      </c>
      <c r="AJ76" s="219">
        <f t="shared" si="33"/>
        <v>137600</v>
      </c>
      <c r="AK76" s="219">
        <f t="shared" si="33"/>
        <v>275200</v>
      </c>
      <c r="AL76" s="219">
        <f t="shared" si="33"/>
        <v>550400</v>
      </c>
      <c r="AM76" s="219">
        <f t="shared" si="33"/>
        <v>1100800</v>
      </c>
      <c r="AN76" s="219">
        <f t="shared" si="33"/>
        <v>2201600</v>
      </c>
      <c r="AO76" s="219">
        <f t="shared" si="33"/>
        <v>4403200</v>
      </c>
      <c r="AP76" s="219">
        <f t="shared" si="33"/>
        <v>8806400</v>
      </c>
      <c r="AQ76" s="218">
        <f t="shared" si="33"/>
        <v>17612800</v>
      </c>
      <c r="AR76" s="258">
        <f t="shared" si="33"/>
        <v>51609600</v>
      </c>
      <c r="AS76" s="221">
        <f t="shared" si="33"/>
        <v>25634000</v>
      </c>
      <c r="AT76" s="239"/>
      <c r="AU76" s="37"/>
      <c r="AV76" s="37"/>
      <c r="AW76" s="81"/>
    </row>
    <row r="77" spans="1:49" x14ac:dyDescent="0.25">
      <c r="A77" s="53" t="s">
        <v>262</v>
      </c>
      <c r="B77" s="28"/>
      <c r="C77" s="28"/>
      <c r="D77" s="28"/>
      <c r="E77" s="28"/>
      <c r="F77" s="28"/>
      <c r="G77" s="28"/>
      <c r="H77" s="28"/>
      <c r="I77" s="28"/>
      <c r="J77" s="28"/>
      <c r="K77" s="28"/>
      <c r="L77" s="230">
        <f t="shared" ref="L77:AS77" si="34">L69*$B$61</f>
        <v>25.3125</v>
      </c>
      <c r="M77" s="231">
        <f t="shared" si="34"/>
        <v>50.625</v>
      </c>
      <c r="N77" s="231">
        <f>N69*$B$61</f>
        <v>101.25</v>
      </c>
      <c r="O77" s="231">
        <f t="shared" si="34"/>
        <v>202.5</v>
      </c>
      <c r="P77" s="231">
        <f t="shared" si="34"/>
        <v>405</v>
      </c>
      <c r="Q77" s="230">
        <f t="shared" si="34"/>
        <v>810</v>
      </c>
      <c r="R77" s="231">
        <f t="shared" si="34"/>
        <v>1620</v>
      </c>
      <c r="S77" s="231">
        <f t="shared" si="34"/>
        <v>3240</v>
      </c>
      <c r="T77" s="230">
        <f t="shared" ref="T77:X77" si="35">T69*$B$61</f>
        <v>4860</v>
      </c>
      <c r="U77" s="231">
        <f t="shared" si="35"/>
        <v>5346</v>
      </c>
      <c r="V77" s="231">
        <f t="shared" ref="V77:W77" si="36">V69*$B$61</f>
        <v>5670</v>
      </c>
      <c r="W77" s="231">
        <f t="shared" si="36"/>
        <v>5994</v>
      </c>
      <c r="X77" s="231">
        <f t="shared" si="35"/>
        <v>6318</v>
      </c>
      <c r="Y77" s="262">
        <f t="shared" si="34"/>
        <v>6480</v>
      </c>
      <c r="Z77" s="231">
        <f t="shared" ref="Z77:AC77" si="37">Z69*$B$61</f>
        <v>7776.0000000000009</v>
      </c>
      <c r="AA77" s="231">
        <f t="shared" si="37"/>
        <v>9072</v>
      </c>
      <c r="AB77" s="231">
        <f t="shared" si="37"/>
        <v>10368</v>
      </c>
      <c r="AC77" s="231">
        <f t="shared" si="37"/>
        <v>11664</v>
      </c>
      <c r="AD77" s="231">
        <f t="shared" si="34"/>
        <v>12960</v>
      </c>
      <c r="AE77" s="231">
        <f t="shared" ref="AE77:AH77" si="38">AE69*$B$61</f>
        <v>15552.000000000002</v>
      </c>
      <c r="AF77" s="231">
        <f t="shared" si="38"/>
        <v>18144</v>
      </c>
      <c r="AG77" s="231">
        <f t="shared" si="38"/>
        <v>20736</v>
      </c>
      <c r="AH77" s="231">
        <f t="shared" si="38"/>
        <v>23328</v>
      </c>
      <c r="AI77" s="231">
        <f t="shared" si="34"/>
        <v>25920</v>
      </c>
      <c r="AJ77" s="231">
        <f t="shared" si="34"/>
        <v>51840</v>
      </c>
      <c r="AK77" s="231">
        <f t="shared" si="34"/>
        <v>103680</v>
      </c>
      <c r="AL77" s="231">
        <f t="shared" si="34"/>
        <v>207360</v>
      </c>
      <c r="AM77" s="231">
        <f t="shared" si="34"/>
        <v>414720</v>
      </c>
      <c r="AN77" s="231">
        <f t="shared" si="34"/>
        <v>829440</v>
      </c>
      <c r="AO77" s="231">
        <f t="shared" si="34"/>
        <v>1658880</v>
      </c>
      <c r="AP77" s="231">
        <f t="shared" si="34"/>
        <v>3317760</v>
      </c>
      <c r="AQ77" s="262">
        <f t="shared" si="34"/>
        <v>6635520</v>
      </c>
      <c r="AR77" s="256">
        <f t="shared" si="34"/>
        <v>13271040</v>
      </c>
      <c r="AS77" s="215">
        <f t="shared" si="34"/>
        <v>20763540</v>
      </c>
      <c r="AT77" s="239">
        <f>AT69*B61</f>
        <v>4152708.0000000005</v>
      </c>
      <c r="AU77" s="37"/>
      <c r="AV77" s="37"/>
      <c r="AW77" s="81"/>
    </row>
    <row r="78" spans="1:49" x14ac:dyDescent="0.25">
      <c r="A78" s="53" t="s">
        <v>280</v>
      </c>
      <c r="B78" s="28"/>
      <c r="C78" s="28"/>
      <c r="D78" s="28"/>
      <c r="E78" s="28"/>
      <c r="F78" s="28"/>
      <c r="G78" s="28"/>
      <c r="H78" s="28"/>
      <c r="I78" s="28"/>
      <c r="J78" s="28"/>
      <c r="K78" s="28"/>
      <c r="L78" s="306">
        <f>L77-(1*$B$61)*(2^(((L68 - 14) - $B$65)/$L$93))</f>
        <v>18.193383226557515</v>
      </c>
      <c r="M78" s="307">
        <f>M77-(1*$B$61)*(2^(((M68 - 14) - $B$65)/$L$93))</f>
        <v>40.235616301973671</v>
      </c>
      <c r="N78" s="307">
        <f>N77-(1*$B$61)*(2^(((N68 - 14) - $B$65)/$L$93))</f>
        <v>86.088106037608824</v>
      </c>
      <c r="O78" s="307">
        <f>O77-(1*$B$61)*(2^(((O68 - 14) - $B$65)/$L$93))</f>
        <v>180.37327571986157</v>
      </c>
      <c r="P78" s="308">
        <f t="shared" ref="P78:AS78" si="39">MAX(P77-(($L$69*$B$61)*(2^(((P68 -14) - $L$68)/HLOOKUP((P68-14)-$B$65,$L$91:$AT$93,3,TRUE)))),0)</f>
        <v>374.42145089197237</v>
      </c>
      <c r="Q78" s="224">
        <f t="shared" si="39"/>
        <v>753.19738854315824</v>
      </c>
      <c r="R78" s="223">
        <f t="shared" si="39"/>
        <v>1531.0227272727273</v>
      </c>
      <c r="S78" s="223">
        <f t="shared" si="39"/>
        <v>3014.9559198133607</v>
      </c>
      <c r="T78" s="309">
        <f t="shared" si="39"/>
        <v>2507.9720569836286</v>
      </c>
      <c r="U78" s="308">
        <f t="shared" si="39"/>
        <v>0</v>
      </c>
      <c r="V78" s="308">
        <f t="shared" si="39"/>
        <v>0</v>
      </c>
      <c r="W78" s="308">
        <f t="shared" si="39"/>
        <v>0</v>
      </c>
      <c r="X78" s="308">
        <f t="shared" si="39"/>
        <v>0</v>
      </c>
      <c r="Y78" s="316">
        <f t="shared" si="39"/>
        <v>0</v>
      </c>
      <c r="Z78" s="223">
        <f t="shared" si="39"/>
        <v>0</v>
      </c>
      <c r="AA78" s="223">
        <f t="shared" si="39"/>
        <v>2535.7300342326562</v>
      </c>
      <c r="AB78" s="223">
        <f t="shared" si="39"/>
        <v>2270.1513285104102</v>
      </c>
      <c r="AC78" s="223">
        <f t="shared" si="39"/>
        <v>4065.6991668501269</v>
      </c>
      <c r="AD78" s="223">
        <f t="shared" si="39"/>
        <v>3959.9971997141674</v>
      </c>
      <c r="AE78" s="223">
        <f t="shared" si="39"/>
        <v>5352.335285813786</v>
      </c>
      <c r="AF78" s="223">
        <f t="shared" si="39"/>
        <v>5196.8658077538894</v>
      </c>
      <c r="AG78" s="223">
        <f t="shared" si="39"/>
        <v>2248.2459396598024</v>
      </c>
      <c r="AH78" s="223">
        <f t="shared" si="39"/>
        <v>0</v>
      </c>
      <c r="AI78" s="223">
        <f t="shared" si="39"/>
        <v>0</v>
      </c>
      <c r="AJ78" s="223">
        <f t="shared" si="39"/>
        <v>0</v>
      </c>
      <c r="AK78" s="223">
        <f t="shared" si="39"/>
        <v>0</v>
      </c>
      <c r="AL78" s="223">
        <f t="shared" si="39"/>
        <v>0</v>
      </c>
      <c r="AM78" s="223">
        <f t="shared" si="39"/>
        <v>0</v>
      </c>
      <c r="AN78" s="223">
        <f t="shared" si="39"/>
        <v>0</v>
      </c>
      <c r="AO78" s="223">
        <f t="shared" si="39"/>
        <v>0</v>
      </c>
      <c r="AP78" s="223">
        <f t="shared" si="39"/>
        <v>0</v>
      </c>
      <c r="AQ78" s="232">
        <f t="shared" si="39"/>
        <v>0</v>
      </c>
      <c r="AR78" s="259">
        <f t="shared" si="39"/>
        <v>0</v>
      </c>
      <c r="AS78" s="221">
        <f t="shared" si="39"/>
        <v>0</v>
      </c>
      <c r="AT78" s="237"/>
      <c r="AU78" s="37"/>
      <c r="AV78" s="37"/>
      <c r="AW78" s="81"/>
    </row>
    <row r="79" spans="1:49" x14ac:dyDescent="0.25">
      <c r="A79" s="74" t="s">
        <v>209</v>
      </c>
      <c r="B79" s="21"/>
      <c r="C79" s="21"/>
      <c r="D79" s="21"/>
      <c r="E79" s="21"/>
      <c r="F79" s="21"/>
      <c r="G79" s="21"/>
      <c r="H79" s="21"/>
      <c r="I79" s="21"/>
      <c r="J79" s="21"/>
      <c r="K79" s="21"/>
      <c r="L79" s="230">
        <f>L69*$B$62</f>
        <v>4.375</v>
      </c>
      <c r="M79" s="231">
        <f t="shared" ref="M79:P79" si="40">M69*$B$62</f>
        <v>8.75</v>
      </c>
      <c r="N79" s="231">
        <f t="shared" si="40"/>
        <v>17.5</v>
      </c>
      <c r="O79" s="231">
        <f t="shared" si="40"/>
        <v>35</v>
      </c>
      <c r="P79" s="262">
        <f t="shared" si="40"/>
        <v>70</v>
      </c>
      <c r="Q79" s="225">
        <f>Q69*$B$62</f>
        <v>140</v>
      </c>
      <c r="R79" s="226">
        <f t="shared" ref="R79:AS79" si="41">R69*$B$62</f>
        <v>280</v>
      </c>
      <c r="S79" s="226">
        <f t="shared" si="41"/>
        <v>560</v>
      </c>
      <c r="T79" s="225">
        <f t="shared" si="41"/>
        <v>840.00000000000011</v>
      </c>
      <c r="U79" s="226">
        <f t="shared" si="41"/>
        <v>924.00000000000011</v>
      </c>
      <c r="V79" s="226">
        <f t="shared" si="41"/>
        <v>980.00000000000011</v>
      </c>
      <c r="W79" s="226">
        <f t="shared" si="41"/>
        <v>1036</v>
      </c>
      <c r="X79" s="226">
        <f t="shared" si="41"/>
        <v>1092</v>
      </c>
      <c r="Y79" s="234">
        <f t="shared" si="41"/>
        <v>1120</v>
      </c>
      <c r="Z79" s="226">
        <f t="shared" si="41"/>
        <v>1344.0000000000002</v>
      </c>
      <c r="AA79" s="226">
        <f t="shared" si="41"/>
        <v>1568.0000000000002</v>
      </c>
      <c r="AB79" s="226">
        <f t="shared" si="41"/>
        <v>1792.0000000000002</v>
      </c>
      <c r="AC79" s="226">
        <f t="shared" si="41"/>
        <v>2016.0000000000002</v>
      </c>
      <c r="AD79" s="226">
        <f t="shared" si="41"/>
        <v>2240</v>
      </c>
      <c r="AE79" s="226">
        <f t="shared" ref="AE79:AH79" si="42">AE69*$B$62</f>
        <v>2688.0000000000005</v>
      </c>
      <c r="AF79" s="226">
        <f t="shared" si="42"/>
        <v>3136.0000000000005</v>
      </c>
      <c r="AG79" s="226">
        <f t="shared" si="42"/>
        <v>3584.0000000000005</v>
      </c>
      <c r="AH79" s="226">
        <f t="shared" si="42"/>
        <v>4032.0000000000005</v>
      </c>
      <c r="AI79" s="226">
        <f t="shared" si="41"/>
        <v>4480</v>
      </c>
      <c r="AJ79" s="226">
        <f t="shared" si="41"/>
        <v>8960</v>
      </c>
      <c r="AK79" s="226">
        <f t="shared" si="41"/>
        <v>17920</v>
      </c>
      <c r="AL79" s="226">
        <f t="shared" si="41"/>
        <v>35840</v>
      </c>
      <c r="AM79" s="226">
        <f t="shared" si="41"/>
        <v>71680</v>
      </c>
      <c r="AN79" s="226">
        <f t="shared" si="41"/>
        <v>143360</v>
      </c>
      <c r="AO79" s="226">
        <f t="shared" si="41"/>
        <v>286720</v>
      </c>
      <c r="AP79" s="226">
        <f t="shared" si="41"/>
        <v>573440</v>
      </c>
      <c r="AQ79" s="234">
        <f t="shared" si="41"/>
        <v>1146880</v>
      </c>
      <c r="AR79" s="256">
        <f t="shared" si="41"/>
        <v>2293760</v>
      </c>
      <c r="AS79" s="256">
        <f t="shared" si="41"/>
        <v>3588760.0000000005</v>
      </c>
      <c r="AT79" s="237">
        <f>AT69*(B62+B63)</f>
        <v>769020.00000000012</v>
      </c>
      <c r="AU79" s="57"/>
      <c r="AV79" s="57"/>
      <c r="AW79" s="81"/>
    </row>
    <row r="80" spans="1:49" x14ac:dyDescent="0.25">
      <c r="A80" s="49" t="s">
        <v>260</v>
      </c>
      <c r="B80" s="50"/>
      <c r="C80" s="51"/>
      <c r="D80" s="51"/>
      <c r="E80" s="51"/>
      <c r="F80" s="51"/>
      <c r="G80" s="51"/>
      <c r="H80" s="51"/>
      <c r="I80" s="51"/>
      <c r="J80" s="51"/>
      <c r="K80" s="51"/>
      <c r="L80" s="306">
        <f t="shared" ref="L80:O80" si="43">L79</f>
        <v>4.375</v>
      </c>
      <c r="M80" s="307">
        <f t="shared" si="43"/>
        <v>8.75</v>
      </c>
      <c r="N80" s="213">
        <f t="shared" si="43"/>
        <v>17.5</v>
      </c>
      <c r="O80" s="213">
        <f t="shared" si="43"/>
        <v>35</v>
      </c>
      <c r="P80" s="214">
        <f>P79-P82</f>
        <v>65</v>
      </c>
      <c r="Q80" s="212">
        <f t="shared" ref="Q80:R80" si="44">Q79-Q82</f>
        <v>130</v>
      </c>
      <c r="R80" s="213">
        <f t="shared" si="44"/>
        <v>260</v>
      </c>
      <c r="S80" s="213">
        <f>S79-S82</f>
        <v>520</v>
      </c>
      <c r="T80" s="220">
        <f t="shared" ref="T80" si="45">T79-T82</f>
        <v>780.39391295948042</v>
      </c>
      <c r="U80" s="219">
        <f t="shared" ref="U80:AS80" si="46">MAX(U79-($L$69*$B$62)*(2^(((U68 - 42) - $L$68)/HLOOKUP((U68-42)-$B$65,$L$91:$AT$93,3,TRUE)))-U82,0)</f>
        <v>847.96482898450097</v>
      </c>
      <c r="V80" s="219">
        <f t="shared" si="46"/>
        <v>0</v>
      </c>
      <c r="W80" s="219">
        <f t="shared" si="46"/>
        <v>0</v>
      </c>
      <c r="X80" s="219">
        <f t="shared" si="46"/>
        <v>0</v>
      </c>
      <c r="Y80" s="218">
        <f t="shared" si="46"/>
        <v>0</v>
      </c>
      <c r="Z80" s="213">
        <f t="shared" si="46"/>
        <v>0</v>
      </c>
      <c r="AA80" s="213">
        <f t="shared" si="46"/>
        <v>0</v>
      </c>
      <c r="AB80" s="213">
        <f t="shared" si="46"/>
        <v>0</v>
      </c>
      <c r="AC80" s="213">
        <f t="shared" si="46"/>
        <v>0</v>
      </c>
      <c r="AD80" s="213">
        <f t="shared" si="46"/>
        <v>0</v>
      </c>
      <c r="AE80" s="213">
        <f t="shared" si="46"/>
        <v>1307.1034302747123</v>
      </c>
      <c r="AF80" s="213">
        <f t="shared" si="46"/>
        <v>1918.2174861529272</v>
      </c>
      <c r="AG80" s="213">
        <f t="shared" si="46"/>
        <v>1893.2913526195023</v>
      </c>
      <c r="AH80" s="213">
        <f t="shared" si="46"/>
        <v>0</v>
      </c>
      <c r="AI80" s="213">
        <f t="shared" si="46"/>
        <v>0</v>
      </c>
      <c r="AJ80" s="213">
        <f t="shared" si="46"/>
        <v>0</v>
      </c>
      <c r="AK80" s="213">
        <f t="shared" si="46"/>
        <v>0</v>
      </c>
      <c r="AL80" s="213">
        <f t="shared" si="46"/>
        <v>0</v>
      </c>
      <c r="AM80" s="213">
        <f t="shared" si="46"/>
        <v>0</v>
      </c>
      <c r="AN80" s="213">
        <f t="shared" si="46"/>
        <v>0</v>
      </c>
      <c r="AO80" s="213">
        <f t="shared" si="46"/>
        <v>0</v>
      </c>
      <c r="AP80" s="213">
        <f t="shared" si="46"/>
        <v>0</v>
      </c>
      <c r="AQ80" s="214">
        <f t="shared" si="46"/>
        <v>0</v>
      </c>
      <c r="AR80" s="259">
        <f t="shared" si="46"/>
        <v>0</v>
      </c>
      <c r="AS80" s="221">
        <f t="shared" si="46"/>
        <v>0</v>
      </c>
      <c r="AT80" s="239"/>
      <c r="AU80" s="57"/>
      <c r="AV80" s="57"/>
      <c r="AW80" s="81"/>
    </row>
    <row r="81" spans="1:49" x14ac:dyDescent="0.25">
      <c r="A81" s="60" t="s">
        <v>210</v>
      </c>
      <c r="C81" s="21"/>
      <c r="D81" s="21"/>
      <c r="E81" s="21"/>
      <c r="F81" s="21"/>
      <c r="G81" s="21"/>
      <c r="H81" s="21"/>
      <c r="I81" s="21"/>
      <c r="J81" s="21"/>
      <c r="K81" s="21"/>
      <c r="L81" s="230">
        <f>L69*$B$63</f>
        <v>0.3125</v>
      </c>
      <c r="M81" s="231">
        <f t="shared" ref="M81:AS81" si="47">M69*$B$63</f>
        <v>0.625</v>
      </c>
      <c r="N81" s="231">
        <f t="shared" si="47"/>
        <v>1.25</v>
      </c>
      <c r="O81" s="231">
        <f t="shared" si="47"/>
        <v>2.5</v>
      </c>
      <c r="P81" s="231">
        <f t="shared" si="47"/>
        <v>5</v>
      </c>
      <c r="Q81" s="230">
        <f t="shared" si="47"/>
        <v>10</v>
      </c>
      <c r="R81" s="231">
        <f t="shared" si="47"/>
        <v>20</v>
      </c>
      <c r="S81" s="231">
        <f t="shared" si="47"/>
        <v>40</v>
      </c>
      <c r="T81" s="309">
        <f t="shared" si="47"/>
        <v>60</v>
      </c>
      <c r="U81" s="308">
        <f t="shared" si="47"/>
        <v>66</v>
      </c>
      <c r="V81" s="308">
        <f t="shared" si="47"/>
        <v>70</v>
      </c>
      <c r="W81" s="308">
        <f t="shared" si="47"/>
        <v>74</v>
      </c>
      <c r="X81" s="308">
        <f t="shared" si="47"/>
        <v>78</v>
      </c>
      <c r="Y81" s="308">
        <f t="shared" si="47"/>
        <v>80</v>
      </c>
      <c r="Z81" s="230">
        <f t="shared" si="47"/>
        <v>96</v>
      </c>
      <c r="AA81" s="231">
        <f t="shared" si="47"/>
        <v>112</v>
      </c>
      <c r="AB81" s="231">
        <f t="shared" si="47"/>
        <v>128</v>
      </c>
      <c r="AC81" s="231">
        <f t="shared" si="47"/>
        <v>144</v>
      </c>
      <c r="AD81" s="231">
        <f t="shared" si="47"/>
        <v>160</v>
      </c>
      <c r="AE81" s="231">
        <f t="shared" ref="AE81:AH81" si="48">AE69*$B$63</f>
        <v>192</v>
      </c>
      <c r="AF81" s="231">
        <f t="shared" si="48"/>
        <v>224</v>
      </c>
      <c r="AG81" s="231">
        <f t="shared" si="48"/>
        <v>256</v>
      </c>
      <c r="AH81" s="231">
        <f t="shared" si="48"/>
        <v>288</v>
      </c>
      <c r="AI81" s="231">
        <f t="shared" si="47"/>
        <v>320</v>
      </c>
      <c r="AJ81" s="231">
        <f t="shared" si="47"/>
        <v>640</v>
      </c>
      <c r="AK81" s="231">
        <f t="shared" si="47"/>
        <v>1280</v>
      </c>
      <c r="AL81" s="231">
        <f t="shared" si="47"/>
        <v>2560</v>
      </c>
      <c r="AM81" s="231">
        <f t="shared" si="47"/>
        <v>5120</v>
      </c>
      <c r="AN81" s="231">
        <f t="shared" si="47"/>
        <v>10240</v>
      </c>
      <c r="AO81" s="231">
        <f t="shared" si="47"/>
        <v>20480</v>
      </c>
      <c r="AP81" s="231">
        <f t="shared" si="47"/>
        <v>40960</v>
      </c>
      <c r="AQ81" s="262">
        <f t="shared" si="47"/>
        <v>81920</v>
      </c>
      <c r="AR81" s="215">
        <f t="shared" si="47"/>
        <v>163840</v>
      </c>
      <c r="AS81" s="310">
        <f t="shared" si="47"/>
        <v>256340</v>
      </c>
      <c r="AT81" s="237">
        <f>AT69*B63</f>
        <v>51268</v>
      </c>
      <c r="AU81" s="57"/>
      <c r="AV81" s="57"/>
      <c r="AW81" s="81"/>
    </row>
    <row r="82" spans="1:49" x14ac:dyDescent="0.25">
      <c r="A82" s="53" t="s">
        <v>261</v>
      </c>
      <c r="B82" s="27"/>
      <c r="C82" s="28"/>
      <c r="D82" s="28"/>
      <c r="E82" s="28"/>
      <c r="F82" s="28"/>
      <c r="G82" s="28"/>
      <c r="H82" s="28"/>
      <c r="I82" s="28"/>
      <c r="J82" s="28"/>
      <c r="K82" s="28"/>
      <c r="L82" s="216">
        <f t="shared" ref="L82:O82" si="49">L81</f>
        <v>0.3125</v>
      </c>
      <c r="M82" s="217">
        <f t="shared" si="49"/>
        <v>0.625</v>
      </c>
      <c r="N82" s="217">
        <f t="shared" si="49"/>
        <v>1.25</v>
      </c>
      <c r="O82" s="217">
        <f t="shared" si="49"/>
        <v>2.5</v>
      </c>
      <c r="P82" s="219">
        <f>P81</f>
        <v>5</v>
      </c>
      <c r="Q82" s="220">
        <f t="shared" ref="Q82:S82" si="50">Q81</f>
        <v>10</v>
      </c>
      <c r="R82" s="219">
        <f t="shared" si="50"/>
        <v>20</v>
      </c>
      <c r="S82" s="219">
        <f t="shared" si="50"/>
        <v>40</v>
      </c>
      <c r="T82" s="224">
        <f t="shared" ref="T82:AS82" si="51">MAX(T81-($L$69*$B$63)*(2^(((T68 - 35) - $L$68)/HLOOKUP((T68-35)-$B$65,$L$91:$AT$93,3,TRUE))),0)</f>
        <v>59.606087040519746</v>
      </c>
      <c r="U82" s="223">
        <f t="shared" si="51"/>
        <v>62.794999036915641</v>
      </c>
      <c r="V82" s="223">
        <f t="shared" si="51"/>
        <v>0</v>
      </c>
      <c r="W82" s="223">
        <f t="shared" si="51"/>
        <v>6.8110132162080248</v>
      </c>
      <c r="X82" s="223">
        <f t="shared" si="51"/>
        <v>0</v>
      </c>
      <c r="Y82" s="223">
        <f t="shared" si="51"/>
        <v>0</v>
      </c>
      <c r="Z82" s="224">
        <f t="shared" si="51"/>
        <v>0</v>
      </c>
      <c r="AA82" s="223">
        <f t="shared" si="51"/>
        <v>0</v>
      </c>
      <c r="AB82" s="223">
        <f t="shared" si="51"/>
        <v>0</v>
      </c>
      <c r="AC82" s="223">
        <f t="shared" si="51"/>
        <v>68.70616176806584</v>
      </c>
      <c r="AD82" s="223">
        <f t="shared" si="51"/>
        <v>68.627241382759635</v>
      </c>
      <c r="AE82" s="223">
        <f t="shared" si="51"/>
        <v>108.60683921156712</v>
      </c>
      <c r="AF82" s="223">
        <f t="shared" si="51"/>
        <v>116.17432881892364</v>
      </c>
      <c r="AG82" s="223">
        <f t="shared" si="51"/>
        <v>114.07343886024699</v>
      </c>
      <c r="AH82" s="223">
        <f t="shared" si="51"/>
        <v>0</v>
      </c>
      <c r="AI82" s="223">
        <f t="shared" si="51"/>
        <v>0</v>
      </c>
      <c r="AJ82" s="223">
        <f t="shared" si="51"/>
        <v>0</v>
      </c>
      <c r="AK82" s="223">
        <f t="shared" si="51"/>
        <v>0</v>
      </c>
      <c r="AL82" s="223">
        <f t="shared" si="51"/>
        <v>0</v>
      </c>
      <c r="AM82" s="223">
        <f t="shared" si="51"/>
        <v>0</v>
      </c>
      <c r="AN82" s="223">
        <f t="shared" si="51"/>
        <v>0</v>
      </c>
      <c r="AO82" s="223">
        <f t="shared" si="51"/>
        <v>0</v>
      </c>
      <c r="AP82" s="223">
        <f t="shared" si="51"/>
        <v>0</v>
      </c>
      <c r="AQ82" s="232">
        <f t="shared" si="51"/>
        <v>0</v>
      </c>
      <c r="AR82" s="259">
        <f t="shared" si="51"/>
        <v>0</v>
      </c>
      <c r="AS82" s="221">
        <f t="shared" si="51"/>
        <v>0</v>
      </c>
      <c r="AT82" s="237"/>
      <c r="AU82" s="57"/>
      <c r="AV82" s="57"/>
      <c r="AW82" s="81"/>
    </row>
    <row r="83" spans="1:49" x14ac:dyDescent="0.25">
      <c r="A83" s="16" t="s">
        <v>152</v>
      </c>
      <c r="B83" s="97"/>
      <c r="C83" s="21"/>
      <c r="D83" s="21"/>
      <c r="E83" s="21"/>
      <c r="F83" s="21"/>
      <c r="G83" s="21"/>
      <c r="H83" s="21"/>
      <c r="I83" s="21"/>
      <c r="J83" s="21"/>
      <c r="K83" s="21"/>
      <c r="L83" s="312">
        <f t="shared" ref="L83:AS83" si="52">L69*$B$64</f>
        <v>0.984375</v>
      </c>
      <c r="M83" s="313">
        <f t="shared" si="52"/>
        <v>1.96875</v>
      </c>
      <c r="N83" s="313">
        <f t="shared" si="52"/>
        <v>3.9375</v>
      </c>
      <c r="O83" s="313">
        <f t="shared" si="52"/>
        <v>7.875</v>
      </c>
      <c r="P83" s="313">
        <f t="shared" si="52"/>
        <v>15.75</v>
      </c>
      <c r="Q83" s="312">
        <f t="shared" si="52"/>
        <v>31.5</v>
      </c>
      <c r="R83" s="313">
        <f t="shared" si="52"/>
        <v>63</v>
      </c>
      <c r="S83" s="313">
        <f t="shared" si="52"/>
        <v>126</v>
      </c>
      <c r="T83" s="312">
        <f t="shared" ref="T83:X83" si="53">T69*$B$64</f>
        <v>189</v>
      </c>
      <c r="U83" s="313">
        <f t="shared" si="53"/>
        <v>207.9</v>
      </c>
      <c r="V83" s="313">
        <f t="shared" ref="V83:W83" si="54">V69*$B$64</f>
        <v>220.5</v>
      </c>
      <c r="W83" s="313">
        <f t="shared" si="54"/>
        <v>233.1</v>
      </c>
      <c r="X83" s="313">
        <f t="shared" si="53"/>
        <v>245.7</v>
      </c>
      <c r="Y83" s="314">
        <f t="shared" si="52"/>
        <v>252</v>
      </c>
      <c r="Z83" s="313">
        <f t="shared" ref="Z83:AC83" si="55">Z69*$B$64</f>
        <v>302.39999999999998</v>
      </c>
      <c r="AA83" s="313">
        <f t="shared" si="55"/>
        <v>352.8</v>
      </c>
      <c r="AB83" s="313">
        <f t="shared" si="55"/>
        <v>403.2</v>
      </c>
      <c r="AC83" s="313">
        <f t="shared" si="55"/>
        <v>453.6</v>
      </c>
      <c r="AD83" s="313">
        <f t="shared" si="52"/>
        <v>504</v>
      </c>
      <c r="AE83" s="313">
        <f t="shared" ref="AE83:AH83" si="56">AE69*$B$64</f>
        <v>604.79999999999995</v>
      </c>
      <c r="AF83" s="313">
        <f t="shared" si="56"/>
        <v>705.6</v>
      </c>
      <c r="AG83" s="313">
        <f t="shared" si="56"/>
        <v>806.4</v>
      </c>
      <c r="AH83" s="313">
        <f t="shared" si="56"/>
        <v>907.2</v>
      </c>
      <c r="AI83" s="313">
        <f t="shared" si="52"/>
        <v>1008</v>
      </c>
      <c r="AJ83" s="313">
        <f t="shared" si="52"/>
        <v>2016</v>
      </c>
      <c r="AK83" s="313">
        <f t="shared" si="52"/>
        <v>4032</v>
      </c>
      <c r="AL83" s="313">
        <f t="shared" si="52"/>
        <v>8064</v>
      </c>
      <c r="AM83" s="313">
        <f t="shared" si="52"/>
        <v>16128</v>
      </c>
      <c r="AN83" s="313">
        <f t="shared" si="52"/>
        <v>32256</v>
      </c>
      <c r="AO83" s="313">
        <f t="shared" si="52"/>
        <v>64512</v>
      </c>
      <c r="AP83" s="313">
        <f t="shared" si="52"/>
        <v>129024</v>
      </c>
      <c r="AQ83" s="314">
        <f t="shared" si="52"/>
        <v>258048</v>
      </c>
      <c r="AR83" s="315">
        <f t="shared" si="52"/>
        <v>516096</v>
      </c>
      <c r="AS83" s="315">
        <f t="shared" si="52"/>
        <v>807471</v>
      </c>
      <c r="AT83" s="311">
        <f>AT69*B64</f>
        <v>161494.20000000001</v>
      </c>
      <c r="AU83" s="57"/>
      <c r="AV83" s="57"/>
      <c r="AW83" s="81"/>
    </row>
    <row r="84" spans="1:49" s="81" customFormat="1" hidden="1" x14ac:dyDescent="0.25">
      <c r="A84" s="60" t="s">
        <v>204</v>
      </c>
      <c r="B84" s="37"/>
      <c r="C84" s="59"/>
      <c r="D84" s="59"/>
      <c r="E84" s="59"/>
      <c r="F84" s="59"/>
      <c r="G84" s="59"/>
      <c r="H84" s="59"/>
      <c r="I84" s="59"/>
      <c r="J84" s="59"/>
      <c r="K84" s="59"/>
      <c r="L84" s="164">
        <f t="shared" ref="L84:S84" si="57">L68-7</f>
        <v>43885</v>
      </c>
      <c r="M84" s="164">
        <f t="shared" si="57"/>
        <v>43889</v>
      </c>
      <c r="N84" s="164">
        <f t="shared" si="57"/>
        <v>43893</v>
      </c>
      <c r="O84" s="164">
        <f t="shared" si="57"/>
        <v>43897</v>
      </c>
      <c r="P84" s="164">
        <f t="shared" si="57"/>
        <v>43901</v>
      </c>
      <c r="Q84" s="164">
        <f t="shared" si="57"/>
        <v>43904</v>
      </c>
      <c r="R84" s="164">
        <f t="shared" si="57"/>
        <v>43907</v>
      </c>
      <c r="S84" s="164">
        <f t="shared" si="57"/>
        <v>43912</v>
      </c>
      <c r="T84" s="164"/>
      <c r="U84" s="164"/>
      <c r="V84" s="164"/>
      <c r="W84" s="164"/>
      <c r="X84" s="164"/>
      <c r="Y84" s="164">
        <f>Y68-7</f>
        <v>44007</v>
      </c>
      <c r="Z84" s="164"/>
      <c r="AA84" s="164"/>
      <c r="AB84" s="164"/>
      <c r="AC84" s="164"/>
      <c r="AD84" s="164">
        <f t="shared" ref="AD84:AS84" si="58">AD68-7</f>
        <v>44035</v>
      </c>
      <c r="AE84" s="164"/>
      <c r="AF84" s="164"/>
      <c r="AG84" s="164"/>
      <c r="AH84" s="164"/>
      <c r="AI84" s="164">
        <f t="shared" si="58"/>
        <v>44565</v>
      </c>
      <c r="AJ84" s="164">
        <f t="shared" si="58"/>
        <v>45095</v>
      </c>
      <c r="AK84" s="164">
        <f t="shared" si="58"/>
        <v>45625</v>
      </c>
      <c r="AL84" s="164">
        <f t="shared" si="58"/>
        <v>46155</v>
      </c>
      <c r="AM84" s="164">
        <f t="shared" si="58"/>
        <v>46685</v>
      </c>
      <c r="AN84" s="164">
        <f t="shared" si="58"/>
        <v>47215</v>
      </c>
      <c r="AO84" s="164">
        <f t="shared" si="58"/>
        <v>47745</v>
      </c>
      <c r="AP84" s="164">
        <f t="shared" si="58"/>
        <v>48275</v>
      </c>
      <c r="AQ84" s="164">
        <f t="shared" si="58"/>
        <v>48805</v>
      </c>
      <c r="AR84" s="164">
        <f t="shared" si="58"/>
        <v>49335</v>
      </c>
      <c r="AS84" s="164">
        <f t="shared" si="58"/>
        <v>49865</v>
      </c>
      <c r="AT84" s="164"/>
      <c r="AU84" s="57"/>
      <c r="AV84" s="57"/>
    </row>
    <row r="85" spans="1:49" s="81" customFormat="1" hidden="1" x14ac:dyDescent="0.25">
      <c r="A85" s="60" t="s">
        <v>202</v>
      </c>
      <c r="B85" s="37"/>
      <c r="C85" s="59"/>
      <c r="D85" s="59"/>
      <c r="E85" s="59"/>
      <c r="F85" s="59"/>
      <c r="G85" s="59"/>
      <c r="H85" s="59"/>
      <c r="I85" s="59"/>
      <c r="J85" s="59"/>
      <c r="K85" s="59"/>
      <c r="L85" s="164">
        <f t="shared" ref="L85:S85" si="59">L68-14</f>
        <v>43878</v>
      </c>
      <c r="M85" s="164">
        <f t="shared" si="59"/>
        <v>43882</v>
      </c>
      <c r="N85" s="164">
        <f t="shared" si="59"/>
        <v>43886</v>
      </c>
      <c r="O85" s="164">
        <f t="shared" si="59"/>
        <v>43890</v>
      </c>
      <c r="P85" s="164">
        <f t="shared" si="59"/>
        <v>43894</v>
      </c>
      <c r="Q85" s="164">
        <f t="shared" si="59"/>
        <v>43897</v>
      </c>
      <c r="R85" s="164">
        <f t="shared" si="59"/>
        <v>43900</v>
      </c>
      <c r="S85" s="164">
        <f t="shared" si="59"/>
        <v>43905</v>
      </c>
      <c r="T85" s="164"/>
      <c r="U85" s="164"/>
      <c r="V85" s="164"/>
      <c r="W85" s="164"/>
      <c r="X85" s="164"/>
      <c r="Y85" s="164">
        <f>Y68-14</f>
        <v>44000</v>
      </c>
      <c r="Z85" s="164"/>
      <c r="AA85" s="164"/>
      <c r="AB85" s="164"/>
      <c r="AC85" s="164"/>
      <c r="AD85" s="164">
        <f t="shared" ref="AD85:AS85" si="60">AD68-14</f>
        <v>44028</v>
      </c>
      <c r="AE85" s="164"/>
      <c r="AF85" s="164"/>
      <c r="AG85" s="164"/>
      <c r="AH85" s="164"/>
      <c r="AI85" s="164">
        <f t="shared" si="60"/>
        <v>44558</v>
      </c>
      <c r="AJ85" s="164">
        <f t="shared" si="60"/>
        <v>45088</v>
      </c>
      <c r="AK85" s="164">
        <f t="shared" si="60"/>
        <v>45618</v>
      </c>
      <c r="AL85" s="164">
        <f t="shared" si="60"/>
        <v>46148</v>
      </c>
      <c r="AM85" s="164">
        <f t="shared" si="60"/>
        <v>46678</v>
      </c>
      <c r="AN85" s="164">
        <f t="shared" si="60"/>
        <v>47208</v>
      </c>
      <c r="AO85" s="164">
        <f t="shared" si="60"/>
        <v>47738</v>
      </c>
      <c r="AP85" s="164">
        <f t="shared" si="60"/>
        <v>48268</v>
      </c>
      <c r="AQ85" s="164">
        <f t="shared" si="60"/>
        <v>48798</v>
      </c>
      <c r="AR85" s="164">
        <f t="shared" si="60"/>
        <v>49328</v>
      </c>
      <c r="AS85" s="164">
        <f t="shared" si="60"/>
        <v>49858</v>
      </c>
      <c r="AT85" s="164"/>
      <c r="AU85" s="57"/>
      <c r="AV85" s="57"/>
    </row>
    <row r="86" spans="1:49" s="81" customFormat="1" hidden="1" x14ac:dyDescent="0.25">
      <c r="A86" s="60" t="s">
        <v>205</v>
      </c>
      <c r="B86" s="37"/>
      <c r="C86" s="59"/>
      <c r="D86" s="59"/>
      <c r="E86" s="59"/>
      <c r="F86" s="59"/>
      <c r="G86" s="59"/>
      <c r="H86" s="59"/>
      <c r="I86" s="59"/>
      <c r="J86" s="59"/>
      <c r="K86" s="59"/>
      <c r="L86" s="164">
        <f t="shared" ref="L86:S86" si="61">L68-(7*5)</f>
        <v>43857</v>
      </c>
      <c r="M86" s="164">
        <f t="shared" si="61"/>
        <v>43861</v>
      </c>
      <c r="N86" s="164">
        <f t="shared" si="61"/>
        <v>43865</v>
      </c>
      <c r="O86" s="164">
        <f t="shared" si="61"/>
        <v>43869</v>
      </c>
      <c r="P86" s="164">
        <f t="shared" si="61"/>
        <v>43873</v>
      </c>
      <c r="Q86" s="164">
        <f t="shared" si="61"/>
        <v>43876</v>
      </c>
      <c r="R86" s="164">
        <f t="shared" si="61"/>
        <v>43879</v>
      </c>
      <c r="S86" s="164">
        <f t="shared" si="61"/>
        <v>43884</v>
      </c>
      <c r="T86" s="164"/>
      <c r="U86" s="164"/>
      <c r="V86" s="164"/>
      <c r="W86" s="164"/>
      <c r="X86" s="164"/>
      <c r="Y86" s="164">
        <f>Y68-(7*5)</f>
        <v>43979</v>
      </c>
      <c r="Z86" s="164"/>
      <c r="AA86" s="164"/>
      <c r="AB86" s="164"/>
      <c r="AC86" s="164"/>
      <c r="AD86" s="164">
        <f t="shared" ref="AD86:AS86" si="62">AD68-(7*5)</f>
        <v>44007</v>
      </c>
      <c r="AE86" s="164"/>
      <c r="AF86" s="164"/>
      <c r="AG86" s="164"/>
      <c r="AH86" s="164"/>
      <c r="AI86" s="164">
        <f t="shared" si="62"/>
        <v>44537</v>
      </c>
      <c r="AJ86" s="164">
        <f t="shared" si="62"/>
        <v>45067</v>
      </c>
      <c r="AK86" s="164">
        <f t="shared" si="62"/>
        <v>45597</v>
      </c>
      <c r="AL86" s="164">
        <f t="shared" si="62"/>
        <v>46127</v>
      </c>
      <c r="AM86" s="164">
        <f t="shared" si="62"/>
        <v>46657</v>
      </c>
      <c r="AN86" s="164">
        <f t="shared" si="62"/>
        <v>47187</v>
      </c>
      <c r="AO86" s="164">
        <f t="shared" si="62"/>
        <v>47717</v>
      </c>
      <c r="AP86" s="164">
        <f t="shared" si="62"/>
        <v>48247</v>
      </c>
      <c r="AQ86" s="164">
        <f t="shared" si="62"/>
        <v>48777</v>
      </c>
      <c r="AR86" s="164">
        <f t="shared" si="62"/>
        <v>49307</v>
      </c>
      <c r="AS86" s="164">
        <f t="shared" si="62"/>
        <v>49837</v>
      </c>
      <c r="AT86" s="164"/>
      <c r="AU86" s="57"/>
      <c r="AV86" s="57"/>
    </row>
    <row r="87" spans="1:49" s="81" customFormat="1" hidden="1" x14ac:dyDescent="0.25">
      <c r="A87" s="60" t="s">
        <v>203</v>
      </c>
      <c r="B87" s="37"/>
      <c r="C87" s="59"/>
      <c r="D87" s="59"/>
      <c r="E87" s="59"/>
      <c r="F87" s="59"/>
      <c r="G87" s="59"/>
      <c r="H87" s="59"/>
      <c r="I87" s="59"/>
      <c r="J87" s="59"/>
      <c r="K87" s="59"/>
      <c r="L87" s="164">
        <f t="shared" ref="L87:S87" si="63">L68-(6*7)</f>
        <v>43850</v>
      </c>
      <c r="M87" s="164">
        <f t="shared" si="63"/>
        <v>43854</v>
      </c>
      <c r="N87" s="164">
        <f t="shared" si="63"/>
        <v>43858</v>
      </c>
      <c r="O87" s="164">
        <f t="shared" si="63"/>
        <v>43862</v>
      </c>
      <c r="P87" s="164">
        <f t="shared" si="63"/>
        <v>43866</v>
      </c>
      <c r="Q87" s="164">
        <f t="shared" si="63"/>
        <v>43869</v>
      </c>
      <c r="R87" s="164">
        <f t="shared" si="63"/>
        <v>43872</v>
      </c>
      <c r="S87" s="164">
        <f t="shared" si="63"/>
        <v>43877</v>
      </c>
      <c r="T87" s="164"/>
      <c r="U87" s="164"/>
      <c r="V87" s="164"/>
      <c r="W87" s="164"/>
      <c r="X87" s="164"/>
      <c r="Y87" s="164">
        <f>Y68-(6*7)</f>
        <v>43972</v>
      </c>
      <c r="Z87" s="164"/>
      <c r="AA87" s="164"/>
      <c r="AB87" s="164"/>
      <c r="AC87" s="164"/>
      <c r="AD87" s="164">
        <f t="shared" ref="AD87:AS87" si="64">AD68-(6*7)</f>
        <v>44000</v>
      </c>
      <c r="AE87" s="164"/>
      <c r="AF87" s="164"/>
      <c r="AG87" s="164"/>
      <c r="AH87" s="164"/>
      <c r="AI87" s="164">
        <f t="shared" si="64"/>
        <v>44530</v>
      </c>
      <c r="AJ87" s="164">
        <f t="shared" si="64"/>
        <v>45060</v>
      </c>
      <c r="AK87" s="164">
        <f t="shared" si="64"/>
        <v>45590</v>
      </c>
      <c r="AL87" s="164">
        <f t="shared" si="64"/>
        <v>46120</v>
      </c>
      <c r="AM87" s="164">
        <f t="shared" si="64"/>
        <v>46650</v>
      </c>
      <c r="AN87" s="164">
        <f t="shared" si="64"/>
        <v>47180</v>
      </c>
      <c r="AO87" s="164">
        <f t="shared" si="64"/>
        <v>47710</v>
      </c>
      <c r="AP87" s="164">
        <f t="shared" si="64"/>
        <v>48240</v>
      </c>
      <c r="AQ87" s="164">
        <f t="shared" si="64"/>
        <v>48770</v>
      </c>
      <c r="AR87" s="164">
        <f t="shared" si="64"/>
        <v>49300</v>
      </c>
      <c r="AS87" s="164">
        <f t="shared" si="64"/>
        <v>49830</v>
      </c>
      <c r="AT87" s="164"/>
      <c r="AU87" s="57"/>
      <c r="AV87" s="57"/>
    </row>
    <row r="89" spans="1:49" x14ac:dyDescent="0.25">
      <c r="A89" s="65" t="s">
        <v>140</v>
      </c>
      <c r="B89" s="27"/>
      <c r="C89" s="28"/>
      <c r="D89" s="28"/>
      <c r="E89" s="28"/>
      <c r="F89" s="28"/>
      <c r="G89" s="28"/>
      <c r="H89" s="28"/>
      <c r="I89" s="28"/>
      <c r="J89" s="28"/>
      <c r="K89" s="28"/>
    </row>
    <row r="90" spans="1:49" s="81" customFormat="1" x14ac:dyDescent="0.25">
      <c r="A90" s="157" t="s">
        <v>200</v>
      </c>
      <c r="B90" s="37"/>
      <c r="C90" s="59"/>
      <c r="D90" s="59"/>
      <c r="E90" s="59"/>
      <c r="F90" s="59"/>
      <c r="G90" s="59"/>
      <c r="H90" s="59"/>
      <c r="I90" s="59"/>
      <c r="J90" s="59"/>
      <c r="K90" s="59"/>
      <c r="L90" s="158">
        <f t="shared" ref="L90:AT90" si="65">(L68-$B$65)/7</f>
        <v>5.2857142857142856</v>
      </c>
      <c r="M90" s="155">
        <f t="shared" si="65"/>
        <v>5.8571428571428568</v>
      </c>
      <c r="N90" s="156">
        <f t="shared" si="65"/>
        <v>6.4285714285714288</v>
      </c>
      <c r="O90" s="158">
        <f t="shared" si="65"/>
        <v>7</v>
      </c>
      <c r="P90" s="155">
        <f t="shared" si="65"/>
        <v>7.5714285714285712</v>
      </c>
      <c r="Q90" s="159">
        <f t="shared" si="65"/>
        <v>8</v>
      </c>
      <c r="R90" s="156">
        <f t="shared" si="65"/>
        <v>8.4285714285714288</v>
      </c>
      <c r="S90" s="158">
        <f t="shared" si="65"/>
        <v>9.1428571428571423</v>
      </c>
      <c r="T90" s="158">
        <f t="shared" si="65"/>
        <v>10.63571428571387</v>
      </c>
      <c r="U90" s="155">
        <f t="shared" si="65"/>
        <v>12.264285714285506</v>
      </c>
      <c r="V90" s="155">
        <f t="shared" si="65"/>
        <v>15.928571428571429</v>
      </c>
      <c r="W90" s="155">
        <f t="shared" si="65"/>
        <v>20.950000000000209</v>
      </c>
      <c r="X90" s="155">
        <f t="shared" si="65"/>
        <v>22.307142857143067</v>
      </c>
      <c r="Y90" s="155">
        <f t="shared" si="65"/>
        <v>22.714285714285715</v>
      </c>
      <c r="Z90" s="155">
        <f t="shared" si="65"/>
        <v>24.034285714285424</v>
      </c>
      <c r="AA90" s="155">
        <f t="shared" si="65"/>
        <v>24.914285714285921</v>
      </c>
      <c r="AB90" s="155">
        <f t="shared" si="65"/>
        <v>25.594285714286212</v>
      </c>
      <c r="AC90" s="155">
        <f t="shared" si="65"/>
        <v>26.154285714285965</v>
      </c>
      <c r="AD90" s="158">
        <f t="shared" si="65"/>
        <v>26.714285714285715</v>
      </c>
      <c r="AE90" s="158">
        <f t="shared" si="65"/>
        <v>27.698571428571345</v>
      </c>
      <c r="AF90" s="158">
        <f t="shared" si="65"/>
        <v>28.834285714285215</v>
      </c>
      <c r="AG90" s="158">
        <f t="shared" si="65"/>
        <v>31.105714285713994</v>
      </c>
      <c r="AH90" s="158">
        <f t="shared" si="65"/>
        <v>87.285714285714292</v>
      </c>
      <c r="AI90" s="156">
        <f t="shared" si="65"/>
        <v>102.42857142857143</v>
      </c>
      <c r="AJ90" s="158">
        <f t="shared" si="65"/>
        <v>178.14285714285714</v>
      </c>
      <c r="AK90" s="158">
        <f t="shared" si="65"/>
        <v>253.85714285714286</v>
      </c>
      <c r="AL90" s="156">
        <f t="shared" si="65"/>
        <v>329.57142857142856</v>
      </c>
      <c r="AM90" s="158">
        <f t="shared" si="65"/>
        <v>405.28571428571428</v>
      </c>
      <c r="AN90" s="158">
        <f t="shared" si="65"/>
        <v>481</v>
      </c>
      <c r="AO90" s="158">
        <f t="shared" si="65"/>
        <v>556.71428571428567</v>
      </c>
      <c r="AP90" s="156">
        <f t="shared" si="65"/>
        <v>632.42857142857144</v>
      </c>
      <c r="AQ90" s="155">
        <f t="shared" si="65"/>
        <v>708.14285714285711</v>
      </c>
      <c r="AR90" s="158">
        <f t="shared" si="65"/>
        <v>783.85714285714289</v>
      </c>
      <c r="AS90" s="158">
        <f t="shared" si="65"/>
        <v>859.57142857142856</v>
      </c>
      <c r="AT90" s="158">
        <f t="shared" si="65"/>
        <v>867.57142857142856</v>
      </c>
    </row>
    <row r="91" spans="1:49" s="81" customFormat="1" x14ac:dyDescent="0.25">
      <c r="A91" s="157" t="s">
        <v>199</v>
      </c>
      <c r="B91" s="37"/>
      <c r="C91" s="59"/>
      <c r="D91" s="59"/>
      <c r="E91" s="59"/>
      <c r="F91" s="59"/>
      <c r="G91" s="59"/>
      <c r="H91" s="59"/>
      <c r="I91" s="59"/>
      <c r="J91" s="59"/>
      <c r="K91" s="59"/>
      <c r="L91" s="249">
        <f>L68-B65</f>
        <v>37</v>
      </c>
      <c r="M91" s="250">
        <f t="shared" ref="M91:AT91" si="66">M68-$B$65</f>
        <v>41</v>
      </c>
      <c r="N91" s="250">
        <f t="shared" si="66"/>
        <v>45</v>
      </c>
      <c r="O91" s="250">
        <f t="shared" si="66"/>
        <v>49</v>
      </c>
      <c r="P91" s="250">
        <f t="shared" si="66"/>
        <v>53</v>
      </c>
      <c r="Q91" s="250">
        <f t="shared" si="66"/>
        <v>56</v>
      </c>
      <c r="R91" s="250">
        <f t="shared" si="66"/>
        <v>59</v>
      </c>
      <c r="S91" s="250">
        <f t="shared" si="66"/>
        <v>64</v>
      </c>
      <c r="T91" s="250">
        <f t="shared" si="66"/>
        <v>74.44999999999709</v>
      </c>
      <c r="U91" s="250">
        <f t="shared" si="66"/>
        <v>85.849999999998545</v>
      </c>
      <c r="V91" s="250">
        <f t="shared" si="66"/>
        <v>111.5</v>
      </c>
      <c r="W91" s="250">
        <f t="shared" si="66"/>
        <v>146.65000000000146</v>
      </c>
      <c r="X91" s="250">
        <f t="shared" si="66"/>
        <v>156.15000000000146</v>
      </c>
      <c r="Y91" s="250">
        <f t="shared" si="66"/>
        <v>159</v>
      </c>
      <c r="Z91" s="250">
        <f t="shared" si="66"/>
        <v>168.23999999999796</v>
      </c>
      <c r="AA91" s="250">
        <f t="shared" si="66"/>
        <v>174.40000000000146</v>
      </c>
      <c r="AB91" s="250">
        <f t="shared" si="66"/>
        <v>179.16000000000349</v>
      </c>
      <c r="AC91" s="250">
        <f t="shared" si="66"/>
        <v>183.08000000000175</v>
      </c>
      <c r="AD91" s="250">
        <f t="shared" si="66"/>
        <v>187</v>
      </c>
      <c r="AE91" s="250">
        <f t="shared" si="66"/>
        <v>193.88999999999942</v>
      </c>
      <c r="AF91" s="250">
        <f t="shared" si="66"/>
        <v>201.83999999999651</v>
      </c>
      <c r="AG91" s="250">
        <f t="shared" si="66"/>
        <v>217.73999999999796</v>
      </c>
      <c r="AH91" s="250">
        <f t="shared" si="66"/>
        <v>611</v>
      </c>
      <c r="AI91" s="250">
        <f t="shared" si="66"/>
        <v>717</v>
      </c>
      <c r="AJ91" s="250">
        <f t="shared" si="66"/>
        <v>1247</v>
      </c>
      <c r="AK91" s="250">
        <f t="shared" si="66"/>
        <v>1777</v>
      </c>
      <c r="AL91" s="250">
        <f t="shared" si="66"/>
        <v>2307</v>
      </c>
      <c r="AM91" s="250">
        <f t="shared" si="66"/>
        <v>2837</v>
      </c>
      <c r="AN91" s="250">
        <f t="shared" si="66"/>
        <v>3367</v>
      </c>
      <c r="AO91" s="250">
        <f t="shared" si="66"/>
        <v>3897</v>
      </c>
      <c r="AP91" s="251">
        <f t="shared" si="66"/>
        <v>4427</v>
      </c>
      <c r="AQ91" s="250">
        <f t="shared" si="66"/>
        <v>4957</v>
      </c>
      <c r="AR91" s="255">
        <f t="shared" si="66"/>
        <v>5487</v>
      </c>
      <c r="AS91" s="248">
        <f t="shared" si="66"/>
        <v>6017</v>
      </c>
      <c r="AT91" s="248">
        <f t="shared" si="66"/>
        <v>6073</v>
      </c>
    </row>
    <row r="92" spans="1:49" x14ac:dyDescent="0.25">
      <c r="A92" s="53" t="s">
        <v>134</v>
      </c>
      <c r="B92" s="28"/>
      <c r="C92" s="28"/>
      <c r="D92" s="28"/>
      <c r="E92" s="28"/>
      <c r="F92" s="28"/>
      <c r="G92" s="28"/>
      <c r="H92" s="28"/>
      <c r="I92" s="28"/>
      <c r="J92" s="28"/>
      <c r="K92" s="28"/>
      <c r="L92" s="160">
        <v>33</v>
      </c>
      <c r="M92" s="161">
        <v>63</v>
      </c>
      <c r="N92" s="162">
        <v>116</v>
      </c>
      <c r="O92" s="162">
        <v>248</v>
      </c>
      <c r="P92" s="162">
        <v>596</v>
      </c>
      <c r="Q92" s="162">
        <v>1072</v>
      </c>
      <c r="R92" s="162">
        <v>2317</v>
      </c>
      <c r="S92" s="162">
        <v>4163</v>
      </c>
      <c r="T92" s="162">
        <v>6052</v>
      </c>
      <c r="U92" s="162">
        <v>6612</v>
      </c>
      <c r="V92" s="162">
        <v>7019</v>
      </c>
      <c r="W92" s="162">
        <v>7409</v>
      </c>
      <c r="X92" s="162">
        <v>7767</v>
      </c>
      <c r="Y92" s="162">
        <v>8001</v>
      </c>
      <c r="Z92" s="162">
        <v>9553</v>
      </c>
      <c r="AA92" s="162">
        <v>11235</v>
      </c>
      <c r="AB92" s="162">
        <v>12896</v>
      </c>
      <c r="AC92" s="162">
        <v>14403</v>
      </c>
      <c r="AD92" s="162">
        <v>16303</v>
      </c>
      <c r="AE92" s="162">
        <v>19444</v>
      </c>
      <c r="AF92" s="162">
        <v>22358</v>
      </c>
      <c r="AG92" s="162">
        <v>25547</v>
      </c>
      <c r="AH92" s="198">
        <f t="shared" ref="AH92" si="67">AH69</f>
        <v>28800</v>
      </c>
      <c r="AI92" s="198">
        <f t="shared" ref="AI92:AQ92" si="68">AI69</f>
        <v>32000</v>
      </c>
      <c r="AJ92" s="198">
        <f t="shared" si="68"/>
        <v>64000</v>
      </c>
      <c r="AK92" s="198">
        <f t="shared" si="68"/>
        <v>128000</v>
      </c>
      <c r="AL92" s="198">
        <f t="shared" si="68"/>
        <v>256000</v>
      </c>
      <c r="AM92" s="198">
        <f t="shared" si="68"/>
        <v>512000</v>
      </c>
      <c r="AN92" s="198">
        <f t="shared" si="68"/>
        <v>1024000</v>
      </c>
      <c r="AO92" s="198">
        <f t="shared" si="68"/>
        <v>2048000</v>
      </c>
      <c r="AP92" s="198">
        <f t="shared" si="68"/>
        <v>4096000</v>
      </c>
      <c r="AQ92" s="198">
        <f t="shared" si="68"/>
        <v>8192000</v>
      </c>
      <c r="AR92" s="246">
        <f t="shared" ref="AR92" si="69">AQ92*2</f>
        <v>16384000</v>
      </c>
      <c r="AS92" s="202">
        <f>AS69</f>
        <v>25634000</v>
      </c>
      <c r="AT92" s="203">
        <f>AS92</f>
        <v>25634000</v>
      </c>
    </row>
    <row r="93" spans="1:49" x14ac:dyDescent="0.25">
      <c r="A93" s="53" t="s">
        <v>258</v>
      </c>
      <c r="B93" s="28"/>
      <c r="C93" s="28"/>
      <c r="D93" s="28"/>
      <c r="E93" s="28"/>
      <c r="F93" s="28"/>
      <c r="G93" s="28"/>
      <c r="H93" s="28"/>
      <c r="I93" s="28"/>
      <c r="J93" s="28"/>
      <c r="K93" s="28"/>
      <c r="L93" s="208">
        <f>(L68-B65)/(LOG(L92/1)/LOG(2))</f>
        <v>7.3348749373107394</v>
      </c>
      <c r="M93" s="190">
        <f t="shared" ref="M93:AT93" si="70">(M68-$L$68)/(LOG(M92/$L$92)/LOG(2))</f>
        <v>4.287770252524326</v>
      </c>
      <c r="N93" s="190">
        <f t="shared" si="70"/>
        <v>4.4111479339015975</v>
      </c>
      <c r="O93" s="190">
        <f t="shared" si="70"/>
        <v>4.1239916709798061</v>
      </c>
      <c r="P93" s="190">
        <f t="shared" si="70"/>
        <v>3.8325424233151351</v>
      </c>
      <c r="Q93" s="190">
        <f t="shared" si="70"/>
        <v>3.7835829796492675</v>
      </c>
      <c r="R93" s="190">
        <f t="shared" si="70"/>
        <v>3.5867723822019695</v>
      </c>
      <c r="S93" s="190">
        <f t="shared" si="70"/>
        <v>3.8687414968098568</v>
      </c>
      <c r="T93" s="190">
        <f t="shared" si="70"/>
        <v>4.9808465814944229</v>
      </c>
      <c r="U93" s="190">
        <f t="shared" si="70"/>
        <v>6.3885630863942993</v>
      </c>
      <c r="V93" s="190">
        <f t="shared" si="70"/>
        <v>9.6344649481670324</v>
      </c>
      <c r="W93" s="190">
        <f t="shared" si="70"/>
        <v>14.038490174645888</v>
      </c>
      <c r="X93" s="190">
        <f t="shared" si="70"/>
        <v>15.122961868611593</v>
      </c>
      <c r="Y93" s="190">
        <f t="shared" si="70"/>
        <v>15.400986476095756</v>
      </c>
      <c r="Z93" s="190">
        <f t="shared" si="70"/>
        <v>16.049220813005178</v>
      </c>
      <c r="AA93" s="190">
        <f t="shared" si="70"/>
        <v>16.335132462680878</v>
      </c>
      <c r="AB93" s="190">
        <f t="shared" si="70"/>
        <v>16.510569795792801</v>
      </c>
      <c r="AC93" s="190">
        <f t="shared" si="70"/>
        <v>16.657377848480287</v>
      </c>
      <c r="AD93" s="190">
        <f t="shared" si="70"/>
        <v>16.762668842280384</v>
      </c>
      <c r="AE93" s="190">
        <f t="shared" ref="AE93:AH93" si="71">(AE68-$L$68)/(LOG(AE92/$L$92)/LOG(2))</f>
        <v>17.048362616609818</v>
      </c>
      <c r="AF93" s="190">
        <f t="shared" si="71"/>
        <v>17.528507271306481</v>
      </c>
      <c r="AG93" s="190">
        <f t="shared" si="71"/>
        <v>18.83400454606134</v>
      </c>
      <c r="AH93" s="199">
        <f t="shared" si="71"/>
        <v>58.754965462822945</v>
      </c>
      <c r="AI93" s="199">
        <f t="shared" si="70"/>
        <v>68.538782234171862</v>
      </c>
      <c r="AJ93" s="199">
        <f t="shared" si="70"/>
        <v>110.79175651503336</v>
      </c>
      <c r="AK93" s="199">
        <f t="shared" si="70"/>
        <v>145.95613228599359</v>
      </c>
      <c r="AL93" s="199">
        <f t="shared" si="70"/>
        <v>175.67769187059901</v>
      </c>
      <c r="AM93" s="199">
        <f t="shared" si="70"/>
        <v>201.12933886290014</v>
      </c>
      <c r="AN93" s="199">
        <f t="shared" si="70"/>
        <v>223.16955478740664</v>
      </c>
      <c r="AO93" s="199">
        <f t="shared" si="70"/>
        <v>242.44114112672312</v>
      </c>
      <c r="AP93" s="199">
        <f t="shared" si="70"/>
        <v>259.43494932239372</v>
      </c>
      <c r="AQ93" s="199">
        <f t="shared" si="70"/>
        <v>274.53227426102649</v>
      </c>
      <c r="AR93" s="247">
        <f t="shared" si="70"/>
        <v>288.03380472507388</v>
      </c>
      <c r="AS93" s="204">
        <f t="shared" si="70"/>
        <v>305.61408219293753</v>
      </c>
      <c r="AT93" s="205">
        <f t="shared" si="70"/>
        <v>308.47602008638307</v>
      </c>
    </row>
    <row r="94" spans="1:49" x14ac:dyDescent="0.25">
      <c r="A94" s="53" t="s">
        <v>287</v>
      </c>
      <c r="B94" s="28"/>
      <c r="C94" s="28"/>
      <c r="D94" s="28"/>
      <c r="E94" s="28"/>
      <c r="F94" s="28"/>
      <c r="G94" s="28"/>
      <c r="H94" s="28"/>
      <c r="I94" s="28"/>
      <c r="J94" s="28"/>
      <c r="K94" s="28"/>
      <c r="L94" s="252">
        <v>17</v>
      </c>
      <c r="M94" s="253">
        <v>39</v>
      </c>
      <c r="N94" s="253">
        <v>91</v>
      </c>
      <c r="O94" s="253">
        <v>218</v>
      </c>
      <c r="P94" s="253">
        <v>547</v>
      </c>
      <c r="Q94" s="253">
        <v>1019</v>
      </c>
      <c r="R94" s="253">
        <v>2191</v>
      </c>
      <c r="S94" s="253">
        <v>3902</v>
      </c>
      <c r="T94" s="253">
        <v>3189</v>
      </c>
      <c r="U94" s="253">
        <v>2311</v>
      </c>
      <c r="V94" s="253">
        <v>584</v>
      </c>
      <c r="W94" s="253">
        <v>429</v>
      </c>
      <c r="X94" s="253">
        <v>655</v>
      </c>
      <c r="Y94" s="253">
        <v>807</v>
      </c>
      <c r="Z94" s="253">
        <v>1716</v>
      </c>
      <c r="AA94" s="253">
        <v>3002</v>
      </c>
      <c r="AB94" s="253">
        <v>4115</v>
      </c>
      <c r="AC94" s="253">
        <v>5078</v>
      </c>
      <c r="AD94" s="253">
        <v>6356</v>
      </c>
      <c r="AE94" s="253">
        <v>8398</v>
      </c>
      <c r="AF94" s="253">
        <v>8996</v>
      </c>
      <c r="AG94" s="253">
        <v>4091</v>
      </c>
      <c r="AH94" s="254"/>
      <c r="AI94" s="254"/>
      <c r="AJ94" s="254"/>
      <c r="AK94" s="254"/>
      <c r="AL94" s="254"/>
      <c r="AM94" s="254"/>
      <c r="AN94" s="254"/>
      <c r="AO94" s="254"/>
      <c r="AP94" s="254"/>
      <c r="AQ94" s="254"/>
      <c r="AR94" s="246"/>
      <c r="AS94" s="202"/>
      <c r="AT94" s="203"/>
    </row>
    <row r="95" spans="1:49" x14ac:dyDescent="0.25">
      <c r="A95" s="53" t="s">
        <v>159</v>
      </c>
      <c r="B95" s="28"/>
      <c r="C95" s="28"/>
      <c r="D95" s="28"/>
      <c r="E95" s="28"/>
      <c r="F95" s="28"/>
      <c r="G95" s="28"/>
      <c r="H95" s="28"/>
      <c r="I95" s="28"/>
      <c r="J95" s="28"/>
      <c r="K95" s="28"/>
      <c r="L95" s="119">
        <f>L92-L94-L96</f>
        <v>15</v>
      </c>
      <c r="M95" s="120">
        <f>M92-M94-M96</f>
        <v>22</v>
      </c>
      <c r="N95" s="120">
        <f t="shared" ref="N95:O95" si="72">N92-N94-N96</f>
        <v>22</v>
      </c>
      <c r="O95" s="120">
        <f t="shared" si="72"/>
        <v>25</v>
      </c>
      <c r="P95" s="163">
        <f>P92-P94-P96</f>
        <v>43</v>
      </c>
      <c r="Q95" s="163">
        <f t="shared" ref="Q95:S95" si="73">Q92-Q94-Q96</f>
        <v>46</v>
      </c>
      <c r="R95" s="163">
        <f t="shared" si="73"/>
        <v>118</v>
      </c>
      <c r="S95" s="163">
        <f t="shared" si="73"/>
        <v>245</v>
      </c>
      <c r="T95" s="163">
        <f t="shared" ref="T95:U95" si="74">T92-T94-T96</f>
        <v>2813</v>
      </c>
      <c r="U95" s="163">
        <f t="shared" si="74"/>
        <v>4230</v>
      </c>
      <c r="V95" s="163">
        <f t="shared" ref="V95:W95" si="75">V92-V94-V96</f>
        <v>6337</v>
      </c>
      <c r="W95" s="163">
        <f t="shared" si="75"/>
        <v>6878</v>
      </c>
      <c r="X95" s="163">
        <f t="shared" ref="X95:Y95" si="76">X92-X94-X96</f>
        <v>7008</v>
      </c>
      <c r="Y95" s="163">
        <f t="shared" si="76"/>
        <v>7090</v>
      </c>
      <c r="Z95" s="163">
        <f t="shared" ref="Z95:AB95" si="77">Z92-Z94-Z96</f>
        <v>7730</v>
      </c>
      <c r="AA95" s="163">
        <f t="shared" si="77"/>
        <v>8117</v>
      </c>
      <c r="AB95" s="163">
        <f t="shared" si="77"/>
        <v>8653</v>
      </c>
      <c r="AC95" s="163">
        <f t="shared" ref="AC95:AD95" si="78">AC92-AC94-AC96</f>
        <v>9170</v>
      </c>
      <c r="AD95" s="163">
        <f t="shared" si="78"/>
        <v>9758</v>
      </c>
      <c r="AE95" s="163">
        <f t="shared" ref="AE95:AG95" si="79">AE92-AE94-AE96</f>
        <v>10799</v>
      </c>
      <c r="AF95" s="163">
        <f t="shared" si="79"/>
        <v>13001</v>
      </c>
      <c r="AG95" s="163">
        <f t="shared" si="79"/>
        <v>20856</v>
      </c>
      <c r="AH95" s="303">
        <v>25961</v>
      </c>
      <c r="AI95" s="303"/>
      <c r="AJ95" s="200"/>
      <c r="AK95" s="200"/>
      <c r="AL95" s="200"/>
      <c r="AM95" s="200"/>
      <c r="AN95" s="200"/>
      <c r="AO95" s="200"/>
      <c r="AP95" s="200"/>
      <c r="AQ95" s="200"/>
      <c r="AR95" s="246"/>
      <c r="AS95" s="202"/>
      <c r="AT95" s="203"/>
    </row>
    <row r="96" spans="1:49" x14ac:dyDescent="0.25">
      <c r="A96" s="61" t="s">
        <v>135</v>
      </c>
      <c r="B96" s="50"/>
      <c r="C96" s="51"/>
      <c r="D96" s="51"/>
      <c r="E96" s="51"/>
      <c r="F96" s="51"/>
      <c r="G96" s="51"/>
      <c r="H96" s="51"/>
      <c r="I96" s="51"/>
      <c r="J96" s="51"/>
      <c r="K96" s="51"/>
      <c r="L96" s="79">
        <v>1</v>
      </c>
      <c r="M96" s="80">
        <v>2</v>
      </c>
      <c r="N96" s="64">
        <v>3</v>
      </c>
      <c r="O96" s="64">
        <v>5</v>
      </c>
      <c r="P96" s="64">
        <v>6</v>
      </c>
      <c r="Q96" s="64">
        <v>7</v>
      </c>
      <c r="R96" s="64">
        <v>8</v>
      </c>
      <c r="S96" s="64">
        <v>16</v>
      </c>
      <c r="T96" s="64">
        <v>50</v>
      </c>
      <c r="U96" s="64">
        <v>71</v>
      </c>
      <c r="V96" s="64">
        <v>98</v>
      </c>
      <c r="W96" s="64">
        <v>102</v>
      </c>
      <c r="X96" s="64">
        <v>104</v>
      </c>
      <c r="Y96" s="64">
        <v>104</v>
      </c>
      <c r="Z96" s="64">
        <v>107</v>
      </c>
      <c r="AA96" s="64">
        <v>116</v>
      </c>
      <c r="AB96" s="64">
        <v>128</v>
      </c>
      <c r="AC96" s="64">
        <v>155</v>
      </c>
      <c r="AD96" s="64">
        <v>189</v>
      </c>
      <c r="AE96" s="64">
        <v>247</v>
      </c>
      <c r="AF96" s="64">
        <v>361</v>
      </c>
      <c r="AG96" s="64">
        <v>600</v>
      </c>
      <c r="AH96" s="304">
        <v>909</v>
      </c>
      <c r="AI96" s="304"/>
      <c r="AJ96" s="201"/>
      <c r="AK96" s="201"/>
      <c r="AL96" s="201"/>
      <c r="AM96" s="201"/>
      <c r="AN96" s="201"/>
      <c r="AO96" s="201"/>
      <c r="AP96" s="201"/>
      <c r="AQ96" s="201"/>
      <c r="AR96" s="233"/>
      <c r="AS96" s="228"/>
      <c r="AT96" s="229"/>
    </row>
    <row r="97" spans="1:46" x14ac:dyDescent="0.25">
      <c r="B97" s="3"/>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row>
    <row r="98" spans="1:46" x14ac:dyDescent="0.25">
      <c r="A98" s="86" t="s">
        <v>141</v>
      </c>
      <c r="AP98" s="28"/>
    </row>
    <row r="99" spans="1:46" x14ac:dyDescent="0.25">
      <c r="A99" s="16" t="s">
        <v>1</v>
      </c>
      <c r="B99" s="69" t="s">
        <v>147</v>
      </c>
      <c r="C99" s="17" t="s">
        <v>4</v>
      </c>
      <c r="D99" s="69" t="s">
        <v>143</v>
      </c>
      <c r="E99" s="71"/>
      <c r="F99" s="71"/>
      <c r="G99" s="71"/>
      <c r="H99" s="71"/>
      <c r="I99" s="71"/>
      <c r="J99" s="70" t="s">
        <v>3</v>
      </c>
      <c r="K99" s="21" t="s">
        <v>4</v>
      </c>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17"/>
      <c r="AT99" s="59"/>
    </row>
    <row r="100" spans="1:46" x14ac:dyDescent="0.25">
      <c r="A100" s="53" t="s">
        <v>13</v>
      </c>
      <c r="B100" s="25">
        <f>'ABS Population by Age Range'!D107</f>
        <v>4.0260989985204748E-2</v>
      </c>
      <c r="C100" s="24">
        <f>$B$55*B100</f>
        <v>1032050.2172807385</v>
      </c>
      <c r="D100" s="34">
        <f>'AU Infection Rate by Age'!E6</f>
        <v>7.4599866294388292E-2</v>
      </c>
      <c r="E100" s="294"/>
      <c r="F100" s="294"/>
      <c r="G100" s="294"/>
      <c r="H100" s="294"/>
      <c r="I100" s="294"/>
      <c r="J100" s="17"/>
      <c r="K100" s="28"/>
      <c r="L100" s="30">
        <f t="shared" ref="L100:AS100" si="80">L$69*$D$100</f>
        <v>2.3312458216996341</v>
      </c>
      <c r="M100" s="31">
        <f t="shared" si="80"/>
        <v>4.6624916433992682</v>
      </c>
      <c r="N100" s="31">
        <f t="shared" si="80"/>
        <v>9.3249832867985365</v>
      </c>
      <c r="O100" s="31">
        <f t="shared" si="80"/>
        <v>18.649966573597073</v>
      </c>
      <c r="P100" s="31">
        <f t="shared" si="80"/>
        <v>37.299933147194146</v>
      </c>
      <c r="Q100" s="31">
        <f t="shared" si="80"/>
        <v>74.599866294388292</v>
      </c>
      <c r="R100" s="31">
        <f t="shared" si="80"/>
        <v>149.19973258877658</v>
      </c>
      <c r="S100" s="31">
        <f t="shared" si="80"/>
        <v>298.39946517755317</v>
      </c>
      <c r="T100" s="31">
        <f t="shared" si="80"/>
        <v>447.59919776632978</v>
      </c>
      <c r="U100" s="31">
        <f t="shared" si="80"/>
        <v>492.35911754296274</v>
      </c>
      <c r="V100" s="31">
        <f t="shared" si="80"/>
        <v>522.199064060718</v>
      </c>
      <c r="W100" s="31">
        <f t="shared" si="80"/>
        <v>552.03901057847338</v>
      </c>
      <c r="X100" s="31">
        <f t="shared" si="80"/>
        <v>581.87895709622865</v>
      </c>
      <c r="Y100" s="31">
        <f t="shared" si="80"/>
        <v>596.79893035510634</v>
      </c>
      <c r="Z100" s="31">
        <f t="shared" si="80"/>
        <v>716.15871642612763</v>
      </c>
      <c r="AA100" s="31">
        <f t="shared" si="80"/>
        <v>835.51850249714892</v>
      </c>
      <c r="AB100" s="31">
        <f t="shared" si="80"/>
        <v>954.87828856817009</v>
      </c>
      <c r="AC100" s="31">
        <f t="shared" si="80"/>
        <v>1074.2380746391914</v>
      </c>
      <c r="AD100" s="31">
        <f t="shared" si="80"/>
        <v>1193.5978607102127</v>
      </c>
      <c r="AE100" s="31">
        <f t="shared" si="80"/>
        <v>1432.3174328522553</v>
      </c>
      <c r="AF100" s="31">
        <f t="shared" si="80"/>
        <v>1671.0370049942978</v>
      </c>
      <c r="AG100" s="31">
        <f t="shared" si="80"/>
        <v>1909.7565771363402</v>
      </c>
      <c r="AH100" s="31">
        <f t="shared" si="80"/>
        <v>2148.4761492783828</v>
      </c>
      <c r="AI100" s="31">
        <f t="shared" si="80"/>
        <v>2387.1957214204253</v>
      </c>
      <c r="AJ100" s="31">
        <f t="shared" si="80"/>
        <v>4774.3914428408507</v>
      </c>
      <c r="AK100" s="31">
        <f t="shared" si="80"/>
        <v>9548.7828856817014</v>
      </c>
      <c r="AL100" s="31">
        <f t="shared" si="80"/>
        <v>19097.565771363403</v>
      </c>
      <c r="AM100" s="31">
        <f t="shared" si="80"/>
        <v>38195.131542726805</v>
      </c>
      <c r="AN100" s="31">
        <f t="shared" si="80"/>
        <v>76390.263085453611</v>
      </c>
      <c r="AO100" s="31">
        <f t="shared" si="80"/>
        <v>152780.52617090722</v>
      </c>
      <c r="AP100" s="31">
        <f t="shared" si="80"/>
        <v>305561.05234181444</v>
      </c>
      <c r="AQ100" s="72">
        <f t="shared" si="80"/>
        <v>611122.10468362889</v>
      </c>
      <c r="AR100" s="31">
        <f t="shared" si="80"/>
        <v>1222244.2093672578</v>
      </c>
      <c r="AS100" s="72">
        <f t="shared" si="80"/>
        <v>1912292.9725903494</v>
      </c>
      <c r="AT100" s="57"/>
    </row>
    <row r="101" spans="1:46" x14ac:dyDescent="0.25">
      <c r="A101" s="53"/>
      <c r="B101" s="18"/>
      <c r="C101" s="22"/>
      <c r="D101" s="20"/>
      <c r="E101" s="27"/>
      <c r="F101" s="27"/>
      <c r="G101" s="27"/>
      <c r="H101" s="27"/>
      <c r="I101" s="27"/>
      <c r="J101" s="39">
        <f>'AU Infection Rate by Age'!F20</f>
        <v>0.23774380600948866</v>
      </c>
      <c r="K101" s="22"/>
      <c r="L101" s="41">
        <f t="shared" ref="L101:AS101" si="81">L$69*$D$100*$J$101</f>
        <v>0.55423925439458877</v>
      </c>
      <c r="M101" s="42">
        <f t="shared" si="81"/>
        <v>1.1084785087891775</v>
      </c>
      <c r="N101" s="42">
        <f t="shared" si="81"/>
        <v>2.2169570175783551</v>
      </c>
      <c r="O101" s="42">
        <f t="shared" si="81"/>
        <v>4.4339140351567101</v>
      </c>
      <c r="P101" s="42">
        <f t="shared" si="81"/>
        <v>8.8678280703134202</v>
      </c>
      <c r="Q101" s="42">
        <f t="shared" si="81"/>
        <v>17.73565614062684</v>
      </c>
      <c r="R101" s="42">
        <f t="shared" si="81"/>
        <v>35.471312281253681</v>
      </c>
      <c r="S101" s="42">
        <f t="shared" si="81"/>
        <v>70.942624562507362</v>
      </c>
      <c r="T101" s="42">
        <f t="shared" si="81"/>
        <v>106.41393684376106</v>
      </c>
      <c r="U101" s="42">
        <f t="shared" si="81"/>
        <v>117.05533052813716</v>
      </c>
      <c r="V101" s="42">
        <f t="shared" si="81"/>
        <v>124.14959298438788</v>
      </c>
      <c r="W101" s="42">
        <f t="shared" si="81"/>
        <v>131.24385544063864</v>
      </c>
      <c r="X101" s="42">
        <f t="shared" si="81"/>
        <v>138.33811789688937</v>
      </c>
      <c r="Y101" s="42">
        <f t="shared" si="81"/>
        <v>141.88524912501472</v>
      </c>
      <c r="Z101" s="42">
        <f t="shared" si="81"/>
        <v>170.26229895001768</v>
      </c>
      <c r="AA101" s="42">
        <f t="shared" si="81"/>
        <v>198.63934877502064</v>
      </c>
      <c r="AB101" s="42">
        <f t="shared" si="81"/>
        <v>227.01639860002356</v>
      </c>
      <c r="AC101" s="42">
        <f t="shared" si="81"/>
        <v>255.39344842502652</v>
      </c>
      <c r="AD101" s="42">
        <f t="shared" si="81"/>
        <v>283.77049825002945</v>
      </c>
      <c r="AE101" s="42">
        <f t="shared" si="81"/>
        <v>340.52459790003536</v>
      </c>
      <c r="AF101" s="42">
        <f t="shared" si="81"/>
        <v>397.27869755004127</v>
      </c>
      <c r="AG101" s="42">
        <f t="shared" si="81"/>
        <v>454.03279720004713</v>
      </c>
      <c r="AH101" s="42">
        <f t="shared" si="81"/>
        <v>510.78689685005304</v>
      </c>
      <c r="AI101" s="42">
        <f t="shared" si="81"/>
        <v>567.5409965000589</v>
      </c>
      <c r="AJ101" s="42">
        <f t="shared" si="81"/>
        <v>1135.0819930001178</v>
      </c>
      <c r="AK101" s="42">
        <f t="shared" si="81"/>
        <v>2270.1639860002356</v>
      </c>
      <c r="AL101" s="42">
        <f t="shared" si="81"/>
        <v>4540.3279720004712</v>
      </c>
      <c r="AM101" s="42">
        <f t="shared" si="81"/>
        <v>9080.6559440009423</v>
      </c>
      <c r="AN101" s="42">
        <f t="shared" si="81"/>
        <v>18161.311888001885</v>
      </c>
      <c r="AO101" s="42">
        <f t="shared" si="81"/>
        <v>36322.623776003769</v>
      </c>
      <c r="AP101" s="42">
        <f t="shared" si="81"/>
        <v>72645.247552007539</v>
      </c>
      <c r="AQ101" s="83">
        <f t="shared" si="81"/>
        <v>145290.49510401508</v>
      </c>
      <c r="AR101" s="42">
        <f t="shared" si="81"/>
        <v>290580.99020803015</v>
      </c>
      <c r="AS101" s="83">
        <f t="shared" si="81"/>
        <v>454635.80950882845</v>
      </c>
      <c r="AT101" s="57"/>
    </row>
    <row r="102" spans="1:46" x14ac:dyDescent="0.25">
      <c r="A102" s="53" t="s">
        <v>14</v>
      </c>
      <c r="B102" s="18">
        <f>'ABS Population by Age Range'!D97</f>
        <v>7.065336711718416E-2</v>
      </c>
      <c r="C102" s="22">
        <f t="shared" ref="C102:C116" si="82">$B$55*B102</f>
        <v>1811128.4126818988</v>
      </c>
      <c r="D102" s="35">
        <f>'AU Infection Rate by Age'!E7</f>
        <v>5.9341696488261431E-2</v>
      </c>
      <c r="E102" s="36"/>
      <c r="F102" s="36"/>
      <c r="G102" s="36"/>
      <c r="H102" s="36"/>
      <c r="I102" s="36"/>
      <c r="J102" s="29"/>
      <c r="K102" s="28"/>
      <c r="L102" s="32">
        <f t="shared" ref="L102:AS102" si="83">L$69*$D$102</f>
        <v>1.8544280152581698</v>
      </c>
      <c r="M102" s="33">
        <f t="shared" si="83"/>
        <v>3.7088560305163396</v>
      </c>
      <c r="N102" s="33">
        <f t="shared" si="83"/>
        <v>7.4177120610326792</v>
      </c>
      <c r="O102" s="33">
        <f t="shared" si="83"/>
        <v>14.835424122065358</v>
      </c>
      <c r="P102" s="33">
        <f t="shared" si="83"/>
        <v>29.670848244130717</v>
      </c>
      <c r="Q102" s="33">
        <f t="shared" si="83"/>
        <v>59.341696488261434</v>
      </c>
      <c r="R102" s="33">
        <f t="shared" si="83"/>
        <v>118.68339297652287</v>
      </c>
      <c r="S102" s="33">
        <f t="shared" si="83"/>
        <v>237.36678595304573</v>
      </c>
      <c r="T102" s="33">
        <f t="shared" si="83"/>
        <v>356.05017892956857</v>
      </c>
      <c r="U102" s="33">
        <f t="shared" si="83"/>
        <v>391.65519682252545</v>
      </c>
      <c r="V102" s="33">
        <f t="shared" si="83"/>
        <v>415.39187541783002</v>
      </c>
      <c r="W102" s="33">
        <f t="shared" si="83"/>
        <v>439.12855401313459</v>
      </c>
      <c r="X102" s="33">
        <f t="shared" si="83"/>
        <v>462.86523260843916</v>
      </c>
      <c r="Y102" s="33">
        <f t="shared" si="83"/>
        <v>474.73357190609147</v>
      </c>
      <c r="Z102" s="33">
        <f t="shared" si="83"/>
        <v>569.68028628730974</v>
      </c>
      <c r="AA102" s="33">
        <f t="shared" si="83"/>
        <v>664.62700066852801</v>
      </c>
      <c r="AB102" s="33">
        <f t="shared" si="83"/>
        <v>759.57371504974628</v>
      </c>
      <c r="AC102" s="33">
        <f t="shared" si="83"/>
        <v>854.52042943096455</v>
      </c>
      <c r="AD102" s="33">
        <f t="shared" si="83"/>
        <v>949.46714381218294</v>
      </c>
      <c r="AE102" s="33">
        <f t="shared" si="83"/>
        <v>1139.3605725746195</v>
      </c>
      <c r="AF102" s="33">
        <f t="shared" si="83"/>
        <v>1329.254001337056</v>
      </c>
      <c r="AG102" s="33">
        <f t="shared" si="83"/>
        <v>1519.1474300994926</v>
      </c>
      <c r="AH102" s="33">
        <f t="shared" si="83"/>
        <v>1709.0408588619291</v>
      </c>
      <c r="AI102" s="33">
        <f t="shared" si="83"/>
        <v>1898.9342876243659</v>
      </c>
      <c r="AJ102" s="33">
        <f t="shared" si="83"/>
        <v>3797.8685752487318</v>
      </c>
      <c r="AK102" s="33">
        <f t="shared" si="83"/>
        <v>7595.7371504974635</v>
      </c>
      <c r="AL102" s="33">
        <f t="shared" si="83"/>
        <v>15191.474300994927</v>
      </c>
      <c r="AM102" s="33">
        <f t="shared" si="83"/>
        <v>30382.948601989854</v>
      </c>
      <c r="AN102" s="33">
        <f t="shared" si="83"/>
        <v>60765.897203979708</v>
      </c>
      <c r="AO102" s="33">
        <f t="shared" si="83"/>
        <v>121531.79440795942</v>
      </c>
      <c r="AP102" s="33">
        <f t="shared" si="83"/>
        <v>243063.58881591883</v>
      </c>
      <c r="AQ102" s="84">
        <f t="shared" si="83"/>
        <v>486127.17763183767</v>
      </c>
      <c r="AR102" s="33">
        <f t="shared" si="83"/>
        <v>972254.35526367533</v>
      </c>
      <c r="AS102" s="84">
        <f t="shared" si="83"/>
        <v>1521165.0477800935</v>
      </c>
      <c r="AT102" s="57"/>
    </row>
    <row r="103" spans="1:46" x14ac:dyDescent="0.25">
      <c r="A103" s="53"/>
      <c r="B103" s="18"/>
      <c r="C103" s="22"/>
      <c r="D103" s="20"/>
      <c r="E103" s="27"/>
      <c r="F103" s="27"/>
      <c r="G103" s="27"/>
      <c r="H103" s="27"/>
      <c r="I103" s="27"/>
      <c r="J103" s="39">
        <f>'AU Infection Rate by Age'!F21</f>
        <v>7.8197481776010602E-2</v>
      </c>
      <c r="K103" s="22"/>
      <c r="L103" s="41">
        <f t="shared" ref="L103:AS103" si="84">L$69*$D$102*$J$103</f>
        <v>0.14501160092807425</v>
      </c>
      <c r="M103" s="42">
        <f t="shared" si="84"/>
        <v>0.29002320185614849</v>
      </c>
      <c r="N103" s="42">
        <f t="shared" si="84"/>
        <v>0.58004640371229699</v>
      </c>
      <c r="O103" s="42">
        <f t="shared" si="84"/>
        <v>1.160092807424594</v>
      </c>
      <c r="P103" s="42">
        <f t="shared" si="84"/>
        <v>2.3201856148491879</v>
      </c>
      <c r="Q103" s="42">
        <f t="shared" si="84"/>
        <v>4.6403712296983759</v>
      </c>
      <c r="R103" s="42">
        <f t="shared" si="84"/>
        <v>9.2807424593967518</v>
      </c>
      <c r="S103" s="42">
        <f t="shared" si="84"/>
        <v>18.561484918793504</v>
      </c>
      <c r="T103" s="42">
        <f t="shared" si="84"/>
        <v>27.842227378190252</v>
      </c>
      <c r="U103" s="42">
        <f t="shared" si="84"/>
        <v>30.626450116009281</v>
      </c>
      <c r="V103" s="42">
        <f t="shared" si="84"/>
        <v>32.482598607888633</v>
      </c>
      <c r="W103" s="42">
        <f t="shared" si="84"/>
        <v>34.338747099767978</v>
      </c>
      <c r="X103" s="42">
        <f t="shared" si="84"/>
        <v>36.194895591647331</v>
      </c>
      <c r="Y103" s="42">
        <f t="shared" si="84"/>
        <v>37.122969837587007</v>
      </c>
      <c r="Z103" s="42">
        <f t="shared" si="84"/>
        <v>44.547563805104403</v>
      </c>
      <c r="AA103" s="42">
        <f t="shared" si="84"/>
        <v>51.972157772621806</v>
      </c>
      <c r="AB103" s="42">
        <f t="shared" si="84"/>
        <v>59.396751740139209</v>
      </c>
      <c r="AC103" s="42">
        <f t="shared" si="84"/>
        <v>66.821345707656604</v>
      </c>
      <c r="AD103" s="42">
        <f t="shared" si="84"/>
        <v>74.245939675174014</v>
      </c>
      <c r="AE103" s="42">
        <f t="shared" si="84"/>
        <v>89.095127610208806</v>
      </c>
      <c r="AF103" s="42">
        <f t="shared" si="84"/>
        <v>103.94431554524361</v>
      </c>
      <c r="AG103" s="42">
        <f t="shared" si="84"/>
        <v>118.79350348027842</v>
      </c>
      <c r="AH103" s="42">
        <f t="shared" si="84"/>
        <v>133.64269141531321</v>
      </c>
      <c r="AI103" s="42">
        <f t="shared" si="84"/>
        <v>148.49187935034803</v>
      </c>
      <c r="AJ103" s="42">
        <f t="shared" si="84"/>
        <v>296.98375870069606</v>
      </c>
      <c r="AK103" s="42">
        <f t="shared" si="84"/>
        <v>593.96751740139212</v>
      </c>
      <c r="AL103" s="42">
        <f t="shared" si="84"/>
        <v>1187.9350348027842</v>
      </c>
      <c r="AM103" s="42">
        <f t="shared" si="84"/>
        <v>2375.8700696055685</v>
      </c>
      <c r="AN103" s="42">
        <f t="shared" si="84"/>
        <v>4751.7401392111369</v>
      </c>
      <c r="AO103" s="42">
        <f t="shared" si="84"/>
        <v>9503.4802784222738</v>
      </c>
      <c r="AP103" s="42">
        <f t="shared" si="84"/>
        <v>19006.960556844548</v>
      </c>
      <c r="AQ103" s="83">
        <f t="shared" si="84"/>
        <v>38013.921113689095</v>
      </c>
      <c r="AR103" s="42">
        <f t="shared" si="84"/>
        <v>76027.842227378191</v>
      </c>
      <c r="AS103" s="83">
        <f t="shared" si="84"/>
        <v>118951.27610208816</v>
      </c>
      <c r="AT103" s="57"/>
    </row>
    <row r="104" spans="1:46" x14ac:dyDescent="0.25">
      <c r="A104" s="53" t="s">
        <v>15</v>
      </c>
      <c r="B104" s="18">
        <f>'ABS Population by Age Range'!D85</f>
        <v>0.10301766910746854</v>
      </c>
      <c r="C104" s="22">
        <f t="shared" si="82"/>
        <v>2640754.9299008488</v>
      </c>
      <c r="D104" s="35">
        <f>'AU Infection Rate by Age'!E8</f>
        <v>8.7852451924967559E-2</v>
      </c>
      <c r="E104" s="36"/>
      <c r="F104" s="36"/>
      <c r="G104" s="36"/>
      <c r="H104" s="36"/>
      <c r="I104" s="36"/>
      <c r="J104" s="29"/>
      <c r="K104" s="22"/>
      <c r="L104" s="32">
        <f t="shared" ref="L104:AS104" si="85">L$69*$D$104</f>
        <v>2.745389122655236</v>
      </c>
      <c r="M104" s="33">
        <f t="shared" si="85"/>
        <v>5.4907782453104721</v>
      </c>
      <c r="N104" s="33">
        <f t="shared" si="85"/>
        <v>10.981556490620944</v>
      </c>
      <c r="O104" s="33">
        <f t="shared" si="85"/>
        <v>21.963112981241888</v>
      </c>
      <c r="P104" s="33">
        <f t="shared" si="85"/>
        <v>43.926225962483777</v>
      </c>
      <c r="Q104" s="33">
        <f t="shared" si="85"/>
        <v>87.852451924967554</v>
      </c>
      <c r="R104" s="33">
        <f t="shared" si="85"/>
        <v>175.70490384993511</v>
      </c>
      <c r="S104" s="33">
        <f t="shared" si="85"/>
        <v>351.40980769987021</v>
      </c>
      <c r="T104" s="33">
        <f t="shared" si="85"/>
        <v>527.11471154980541</v>
      </c>
      <c r="U104" s="33">
        <f t="shared" si="85"/>
        <v>579.82618270478588</v>
      </c>
      <c r="V104" s="33">
        <f t="shared" si="85"/>
        <v>614.96716347477286</v>
      </c>
      <c r="W104" s="33">
        <f t="shared" si="85"/>
        <v>650.10814424475996</v>
      </c>
      <c r="X104" s="33">
        <f t="shared" si="85"/>
        <v>685.24912501474694</v>
      </c>
      <c r="Y104" s="33">
        <f t="shared" si="85"/>
        <v>702.81961539974043</v>
      </c>
      <c r="Z104" s="33">
        <f t="shared" si="85"/>
        <v>843.38353847968858</v>
      </c>
      <c r="AA104" s="33">
        <f t="shared" si="85"/>
        <v>983.94746155963662</v>
      </c>
      <c r="AB104" s="33">
        <f t="shared" si="85"/>
        <v>1124.5113846395848</v>
      </c>
      <c r="AC104" s="33">
        <f t="shared" si="85"/>
        <v>1265.0753077195329</v>
      </c>
      <c r="AD104" s="33">
        <f t="shared" si="85"/>
        <v>1405.6392307994809</v>
      </c>
      <c r="AE104" s="33">
        <f t="shared" si="85"/>
        <v>1686.7670769593772</v>
      </c>
      <c r="AF104" s="33">
        <f t="shared" si="85"/>
        <v>1967.8949231192732</v>
      </c>
      <c r="AG104" s="33">
        <f t="shared" si="85"/>
        <v>2249.0227692791696</v>
      </c>
      <c r="AH104" s="33">
        <f t="shared" si="85"/>
        <v>2530.1506154390659</v>
      </c>
      <c r="AI104" s="33">
        <f t="shared" si="85"/>
        <v>2811.2784615989617</v>
      </c>
      <c r="AJ104" s="33">
        <f t="shared" si="85"/>
        <v>5622.5569231979234</v>
      </c>
      <c r="AK104" s="33">
        <f t="shared" si="85"/>
        <v>11245.113846395847</v>
      </c>
      <c r="AL104" s="33">
        <f t="shared" si="85"/>
        <v>22490.227692791694</v>
      </c>
      <c r="AM104" s="33">
        <f t="shared" si="85"/>
        <v>44980.455385583387</v>
      </c>
      <c r="AN104" s="33">
        <f t="shared" si="85"/>
        <v>89960.910771166775</v>
      </c>
      <c r="AO104" s="33">
        <f t="shared" si="85"/>
        <v>179921.82154233355</v>
      </c>
      <c r="AP104" s="33">
        <f t="shared" si="85"/>
        <v>359843.6430846671</v>
      </c>
      <c r="AQ104" s="84">
        <f t="shared" si="85"/>
        <v>719687.2861693342</v>
      </c>
      <c r="AR104" s="33">
        <f t="shared" si="85"/>
        <v>1439374.5723386684</v>
      </c>
      <c r="AS104" s="84">
        <f t="shared" si="85"/>
        <v>2252009.7526446185</v>
      </c>
      <c r="AT104" s="57"/>
    </row>
    <row r="105" spans="1:46" x14ac:dyDescent="0.25">
      <c r="A105" s="53"/>
      <c r="B105" s="18"/>
      <c r="C105" s="22"/>
      <c r="D105" s="20"/>
      <c r="E105" s="27"/>
      <c r="F105" s="27"/>
      <c r="G105" s="27"/>
      <c r="H105" s="27"/>
      <c r="I105" s="27"/>
      <c r="J105" s="39">
        <f>'AU Infection Rate by Age'!F22</f>
        <v>1.1638316920322292E-2</v>
      </c>
      <c r="K105" s="22"/>
      <c r="L105" s="41">
        <f t="shared" ref="L105:AS105" si="86">L$69*$D$104*$J$105</f>
        <v>3.1951708679067208E-2</v>
      </c>
      <c r="M105" s="42">
        <f t="shared" si="86"/>
        <v>6.3903417358134415E-2</v>
      </c>
      <c r="N105" s="42">
        <f t="shared" si="86"/>
        <v>0.12780683471626883</v>
      </c>
      <c r="O105" s="42">
        <f t="shared" si="86"/>
        <v>0.25561366943253766</v>
      </c>
      <c r="P105" s="42">
        <f t="shared" si="86"/>
        <v>0.51122733886507532</v>
      </c>
      <c r="Q105" s="42">
        <f t="shared" si="86"/>
        <v>1.0224546777301506</v>
      </c>
      <c r="R105" s="42">
        <f t="shared" si="86"/>
        <v>2.0449093554603013</v>
      </c>
      <c r="S105" s="42">
        <f t="shared" si="86"/>
        <v>4.0898187109206026</v>
      </c>
      <c r="T105" s="42">
        <f t="shared" si="86"/>
        <v>6.1347280663809043</v>
      </c>
      <c r="U105" s="42">
        <f t="shared" si="86"/>
        <v>6.7482008730189937</v>
      </c>
      <c r="V105" s="42">
        <f t="shared" si="86"/>
        <v>7.1571827441110534</v>
      </c>
      <c r="W105" s="42">
        <f t="shared" si="86"/>
        <v>7.5661646152031148</v>
      </c>
      <c r="X105" s="42">
        <f t="shared" si="86"/>
        <v>7.9751464862951744</v>
      </c>
      <c r="Y105" s="42">
        <f t="shared" si="86"/>
        <v>8.1796374218412051</v>
      </c>
      <c r="Z105" s="42">
        <f t="shared" si="86"/>
        <v>9.8155649062094454</v>
      </c>
      <c r="AA105" s="42">
        <f t="shared" si="86"/>
        <v>11.451492390577686</v>
      </c>
      <c r="AB105" s="42">
        <f t="shared" si="86"/>
        <v>13.087419874945928</v>
      </c>
      <c r="AC105" s="42">
        <f t="shared" si="86"/>
        <v>14.72334735931417</v>
      </c>
      <c r="AD105" s="42">
        <f t="shared" si="86"/>
        <v>16.35927484368241</v>
      </c>
      <c r="AE105" s="42">
        <f t="shared" si="86"/>
        <v>19.631129812418891</v>
      </c>
      <c r="AF105" s="42">
        <f t="shared" si="86"/>
        <v>22.902984781155372</v>
      </c>
      <c r="AG105" s="42">
        <f t="shared" si="86"/>
        <v>26.174839749891856</v>
      </c>
      <c r="AH105" s="42">
        <f t="shared" si="86"/>
        <v>29.44669471862834</v>
      </c>
      <c r="AI105" s="42">
        <f t="shared" si="86"/>
        <v>32.71854968736482</v>
      </c>
      <c r="AJ105" s="42">
        <f t="shared" si="86"/>
        <v>65.437099374729641</v>
      </c>
      <c r="AK105" s="42">
        <f t="shared" si="86"/>
        <v>130.87419874945928</v>
      </c>
      <c r="AL105" s="42">
        <f t="shared" si="86"/>
        <v>261.74839749891856</v>
      </c>
      <c r="AM105" s="42">
        <f t="shared" si="86"/>
        <v>523.49679499783713</v>
      </c>
      <c r="AN105" s="42">
        <f t="shared" si="86"/>
        <v>1046.9935899956743</v>
      </c>
      <c r="AO105" s="42">
        <f t="shared" si="86"/>
        <v>2093.9871799913485</v>
      </c>
      <c r="AP105" s="42">
        <f t="shared" si="86"/>
        <v>4187.974359982697</v>
      </c>
      <c r="AQ105" s="83">
        <f t="shared" si="86"/>
        <v>8375.948719965394</v>
      </c>
      <c r="AR105" s="42">
        <f t="shared" si="86"/>
        <v>16751.897439930788</v>
      </c>
      <c r="AS105" s="83">
        <f t="shared" si="86"/>
        <v>26209.603208934681</v>
      </c>
      <c r="AT105" s="57"/>
    </row>
    <row r="106" spans="1:46" x14ac:dyDescent="0.25">
      <c r="A106" s="53" t="s">
        <v>16</v>
      </c>
      <c r="B106" s="18">
        <f>'ABS Population by Age Range'!D73</f>
        <v>0.12142789925761971</v>
      </c>
      <c r="C106" s="22">
        <f t="shared" si="82"/>
        <v>3112682.7695698235</v>
      </c>
      <c r="D106" s="35">
        <f>'AU Infection Rate by Age'!E9</f>
        <v>0.11954854693460222</v>
      </c>
      <c r="E106" s="36"/>
      <c r="F106" s="36"/>
      <c r="G106" s="36"/>
      <c r="H106" s="36"/>
      <c r="I106" s="36"/>
      <c r="J106" s="29"/>
      <c r="K106" s="22"/>
      <c r="L106" s="32">
        <f t="shared" ref="L106:AS106" si="87">L$69*$D$106</f>
        <v>3.7358920917063192</v>
      </c>
      <c r="M106" s="33">
        <f t="shared" si="87"/>
        <v>7.4717841834126384</v>
      </c>
      <c r="N106" s="33">
        <f t="shared" si="87"/>
        <v>14.943568366825277</v>
      </c>
      <c r="O106" s="33">
        <f t="shared" si="87"/>
        <v>29.887136733650554</v>
      </c>
      <c r="P106" s="33">
        <f t="shared" si="87"/>
        <v>59.774273467301107</v>
      </c>
      <c r="Q106" s="33">
        <f t="shared" si="87"/>
        <v>119.54854693460221</v>
      </c>
      <c r="R106" s="33">
        <f t="shared" si="87"/>
        <v>239.09709386920443</v>
      </c>
      <c r="S106" s="33">
        <f t="shared" si="87"/>
        <v>478.19418773840886</v>
      </c>
      <c r="T106" s="33">
        <f t="shared" si="87"/>
        <v>717.29128160761331</v>
      </c>
      <c r="U106" s="33">
        <f t="shared" si="87"/>
        <v>789.02040976837463</v>
      </c>
      <c r="V106" s="33">
        <f t="shared" si="87"/>
        <v>836.83982854221551</v>
      </c>
      <c r="W106" s="33">
        <f t="shared" si="87"/>
        <v>884.65924731605639</v>
      </c>
      <c r="X106" s="33">
        <f t="shared" si="87"/>
        <v>932.47866608989727</v>
      </c>
      <c r="Y106" s="33">
        <f t="shared" si="87"/>
        <v>956.38837547681771</v>
      </c>
      <c r="Z106" s="33">
        <f t="shared" si="87"/>
        <v>1147.6660505721813</v>
      </c>
      <c r="AA106" s="33">
        <f t="shared" si="87"/>
        <v>1338.9437256675449</v>
      </c>
      <c r="AB106" s="33">
        <f t="shared" si="87"/>
        <v>1530.2214007629084</v>
      </c>
      <c r="AC106" s="33">
        <f t="shared" si="87"/>
        <v>1721.4990758582719</v>
      </c>
      <c r="AD106" s="33">
        <f t="shared" si="87"/>
        <v>1912.7767509536354</v>
      </c>
      <c r="AE106" s="33">
        <f t="shared" si="87"/>
        <v>2295.3321011443627</v>
      </c>
      <c r="AF106" s="33">
        <f t="shared" si="87"/>
        <v>2677.8874513350897</v>
      </c>
      <c r="AG106" s="33">
        <f t="shared" si="87"/>
        <v>3060.4428015258168</v>
      </c>
      <c r="AH106" s="33">
        <f t="shared" si="87"/>
        <v>3442.9981517165438</v>
      </c>
      <c r="AI106" s="33">
        <f t="shared" si="87"/>
        <v>3825.5535019072709</v>
      </c>
      <c r="AJ106" s="33">
        <f t="shared" si="87"/>
        <v>7651.1070038145417</v>
      </c>
      <c r="AK106" s="33">
        <f t="shared" si="87"/>
        <v>15302.214007629083</v>
      </c>
      <c r="AL106" s="33">
        <f t="shared" si="87"/>
        <v>30604.428015258167</v>
      </c>
      <c r="AM106" s="33">
        <f t="shared" si="87"/>
        <v>61208.856030516334</v>
      </c>
      <c r="AN106" s="33">
        <f t="shared" si="87"/>
        <v>122417.71206103267</v>
      </c>
      <c r="AO106" s="33">
        <f t="shared" si="87"/>
        <v>244835.42412206533</v>
      </c>
      <c r="AP106" s="33">
        <f t="shared" si="87"/>
        <v>489670.84824413067</v>
      </c>
      <c r="AQ106" s="84">
        <f t="shared" si="87"/>
        <v>979341.69648826134</v>
      </c>
      <c r="AR106" s="33">
        <f t="shared" si="87"/>
        <v>1958683.3929765227</v>
      </c>
      <c r="AS106" s="84">
        <f t="shared" si="87"/>
        <v>3064507.4521215935</v>
      </c>
      <c r="AT106" s="57"/>
    </row>
    <row r="107" spans="1:46" x14ac:dyDescent="0.25">
      <c r="A107" s="53"/>
      <c r="B107" s="18"/>
      <c r="C107" s="22"/>
      <c r="D107" s="20"/>
      <c r="E107" s="27"/>
      <c r="F107" s="27"/>
      <c r="G107" s="27"/>
      <c r="H107" s="27"/>
      <c r="I107" s="27"/>
      <c r="J107" s="39">
        <f>'AU Infection Rate by Age'!F23</f>
        <v>4.2763157894736845E-3</v>
      </c>
      <c r="K107" s="22"/>
      <c r="L107" s="41">
        <f t="shared" ref="L107:AS107" si="88">L$69*$D$106*$J$107</f>
        <v>1.5975854339533604E-2</v>
      </c>
      <c r="M107" s="42">
        <f t="shared" si="88"/>
        <v>3.1951708679067208E-2</v>
      </c>
      <c r="N107" s="42">
        <f t="shared" si="88"/>
        <v>6.3903417358134415E-2</v>
      </c>
      <c r="O107" s="42">
        <f t="shared" si="88"/>
        <v>0.12780683471626883</v>
      </c>
      <c r="P107" s="42">
        <f t="shared" si="88"/>
        <v>0.25561366943253766</v>
      </c>
      <c r="Q107" s="42">
        <f t="shared" si="88"/>
        <v>0.51122733886507532</v>
      </c>
      <c r="R107" s="42">
        <f t="shared" si="88"/>
        <v>1.0224546777301506</v>
      </c>
      <c r="S107" s="42">
        <f t="shared" si="88"/>
        <v>2.0449093554603013</v>
      </c>
      <c r="T107" s="42">
        <f t="shared" si="88"/>
        <v>3.0673640331904517</v>
      </c>
      <c r="U107" s="42">
        <f t="shared" si="88"/>
        <v>3.3741004365094969</v>
      </c>
      <c r="V107" s="42">
        <f t="shared" si="88"/>
        <v>3.5785913720555271</v>
      </c>
      <c r="W107" s="42">
        <f t="shared" si="88"/>
        <v>3.7830823076015574</v>
      </c>
      <c r="X107" s="42">
        <f t="shared" si="88"/>
        <v>3.9875732431475872</v>
      </c>
      <c r="Y107" s="42">
        <f t="shared" si="88"/>
        <v>4.0898187109206026</v>
      </c>
      <c r="Z107" s="42">
        <f t="shared" si="88"/>
        <v>4.9077824531047236</v>
      </c>
      <c r="AA107" s="42">
        <f t="shared" si="88"/>
        <v>5.7257461952888438</v>
      </c>
      <c r="AB107" s="42">
        <f t="shared" si="88"/>
        <v>6.5437099374729639</v>
      </c>
      <c r="AC107" s="42">
        <f t="shared" si="88"/>
        <v>7.3616736796570841</v>
      </c>
      <c r="AD107" s="42">
        <f t="shared" si="88"/>
        <v>8.1796374218412051</v>
      </c>
      <c r="AE107" s="42">
        <f t="shared" si="88"/>
        <v>9.8155649062094472</v>
      </c>
      <c r="AF107" s="42">
        <f t="shared" si="88"/>
        <v>11.451492390577688</v>
      </c>
      <c r="AG107" s="42">
        <f t="shared" si="88"/>
        <v>13.087419874945928</v>
      </c>
      <c r="AH107" s="42">
        <f t="shared" si="88"/>
        <v>14.723347359314168</v>
      </c>
      <c r="AI107" s="42">
        <f t="shared" si="88"/>
        <v>16.35927484368241</v>
      </c>
      <c r="AJ107" s="42">
        <f t="shared" si="88"/>
        <v>32.71854968736482</v>
      </c>
      <c r="AK107" s="42">
        <f t="shared" si="88"/>
        <v>65.437099374729641</v>
      </c>
      <c r="AL107" s="42">
        <f t="shared" si="88"/>
        <v>130.87419874945928</v>
      </c>
      <c r="AM107" s="42">
        <f t="shared" si="88"/>
        <v>261.74839749891856</v>
      </c>
      <c r="AN107" s="42">
        <f t="shared" si="88"/>
        <v>523.49679499783713</v>
      </c>
      <c r="AO107" s="42">
        <f t="shared" si="88"/>
        <v>1046.9935899956743</v>
      </c>
      <c r="AP107" s="42">
        <f t="shared" si="88"/>
        <v>2093.9871799913485</v>
      </c>
      <c r="AQ107" s="83">
        <f t="shared" si="88"/>
        <v>4187.974359982697</v>
      </c>
      <c r="AR107" s="42">
        <f t="shared" si="88"/>
        <v>8375.948719965394</v>
      </c>
      <c r="AS107" s="83">
        <f t="shared" si="88"/>
        <v>13104.801604467342</v>
      </c>
      <c r="AT107" s="57"/>
    </row>
    <row r="108" spans="1:46" x14ac:dyDescent="0.25">
      <c r="A108" s="53" t="s">
        <v>17</v>
      </c>
      <c r="B108" s="18">
        <f>'ABS Population by Age Range'!D61</f>
        <v>0.12908272398046944</v>
      </c>
      <c r="C108" s="22">
        <f t="shared" si="82"/>
        <v>3308906.5465153535</v>
      </c>
      <c r="D108" s="35">
        <f>'AU Infection Rate by Age'!E10</f>
        <v>0.1286326634944355</v>
      </c>
      <c r="E108" s="36"/>
      <c r="F108" s="36"/>
      <c r="G108" s="36"/>
      <c r="H108" s="36"/>
      <c r="I108" s="36"/>
      <c r="J108" s="29"/>
      <c r="K108" s="22"/>
      <c r="L108" s="32">
        <f t="shared" ref="L108:AS108" si="89">L$69*$D$108</f>
        <v>4.0197707342011091</v>
      </c>
      <c r="M108" s="33">
        <f t="shared" si="89"/>
        <v>8.0395414684022182</v>
      </c>
      <c r="N108" s="33">
        <f t="shared" si="89"/>
        <v>16.079082936804436</v>
      </c>
      <c r="O108" s="33">
        <f t="shared" si="89"/>
        <v>32.158165873608873</v>
      </c>
      <c r="P108" s="33">
        <f t="shared" si="89"/>
        <v>64.316331747217745</v>
      </c>
      <c r="Q108" s="33">
        <f t="shared" si="89"/>
        <v>128.63266349443549</v>
      </c>
      <c r="R108" s="33">
        <f t="shared" si="89"/>
        <v>257.26532698887098</v>
      </c>
      <c r="S108" s="33">
        <f t="shared" si="89"/>
        <v>514.53065397774196</v>
      </c>
      <c r="T108" s="33">
        <f t="shared" si="89"/>
        <v>771.795980966613</v>
      </c>
      <c r="U108" s="33">
        <f t="shared" si="89"/>
        <v>848.97557906327427</v>
      </c>
      <c r="V108" s="33">
        <f t="shared" si="89"/>
        <v>900.42864446104852</v>
      </c>
      <c r="W108" s="33">
        <f t="shared" si="89"/>
        <v>951.88170985882266</v>
      </c>
      <c r="X108" s="33">
        <f t="shared" si="89"/>
        <v>1003.3347752565969</v>
      </c>
      <c r="Y108" s="33">
        <f t="shared" si="89"/>
        <v>1029.0613079554839</v>
      </c>
      <c r="Z108" s="33">
        <f t="shared" si="89"/>
        <v>1234.8735695465807</v>
      </c>
      <c r="AA108" s="33">
        <f t="shared" si="89"/>
        <v>1440.6858311376775</v>
      </c>
      <c r="AB108" s="33">
        <f t="shared" si="89"/>
        <v>1646.4980927287745</v>
      </c>
      <c r="AC108" s="33">
        <f t="shared" si="89"/>
        <v>1852.3103543198713</v>
      </c>
      <c r="AD108" s="33">
        <f t="shared" si="89"/>
        <v>2058.1226159109679</v>
      </c>
      <c r="AE108" s="33">
        <f t="shared" si="89"/>
        <v>2469.7471390931614</v>
      </c>
      <c r="AF108" s="33">
        <f t="shared" si="89"/>
        <v>2881.371662275355</v>
      </c>
      <c r="AG108" s="33">
        <f t="shared" si="89"/>
        <v>3292.996185457549</v>
      </c>
      <c r="AH108" s="33">
        <f t="shared" si="89"/>
        <v>3704.6207086397426</v>
      </c>
      <c r="AI108" s="33">
        <f t="shared" si="89"/>
        <v>4116.2452318219357</v>
      </c>
      <c r="AJ108" s="33">
        <f t="shared" si="89"/>
        <v>8232.4904636438714</v>
      </c>
      <c r="AK108" s="33">
        <f t="shared" si="89"/>
        <v>16464.980927287743</v>
      </c>
      <c r="AL108" s="33">
        <f t="shared" si="89"/>
        <v>32929.961854575486</v>
      </c>
      <c r="AM108" s="33">
        <f t="shared" si="89"/>
        <v>65859.923709150971</v>
      </c>
      <c r="AN108" s="33">
        <f t="shared" si="89"/>
        <v>131719.84741830194</v>
      </c>
      <c r="AO108" s="33">
        <f t="shared" si="89"/>
        <v>263439.69483660389</v>
      </c>
      <c r="AP108" s="33">
        <f t="shared" si="89"/>
        <v>526879.38967320777</v>
      </c>
      <c r="AQ108" s="84">
        <f t="shared" si="89"/>
        <v>1053758.7793464155</v>
      </c>
      <c r="AR108" s="33">
        <f t="shared" si="89"/>
        <v>2107517.5586928311</v>
      </c>
      <c r="AS108" s="84">
        <f t="shared" si="89"/>
        <v>3297369.6960163596</v>
      </c>
      <c r="AT108" s="57"/>
    </row>
    <row r="109" spans="1:46" x14ac:dyDescent="0.25">
      <c r="A109" s="53"/>
      <c r="B109" s="18"/>
      <c r="C109" s="22"/>
      <c r="D109" s="20"/>
      <c r="E109" s="27"/>
      <c r="F109" s="27"/>
      <c r="G109" s="27"/>
      <c r="H109" s="27"/>
      <c r="I109" s="27"/>
      <c r="J109" s="39">
        <f>'AU Infection Rate by Age'!F24</f>
        <v>6.1143381228981959E-4</v>
      </c>
      <c r="K109" s="22"/>
      <c r="L109" s="41">
        <f t="shared" ref="L109:AS109" si="90">L$69*$D$108*$J$109</f>
        <v>2.4578237445436312E-3</v>
      </c>
      <c r="M109" s="42">
        <f t="shared" si="90"/>
        <v>4.9156474890872624E-3</v>
      </c>
      <c r="N109" s="42">
        <f t="shared" si="90"/>
        <v>9.8312949781745249E-3</v>
      </c>
      <c r="O109" s="42">
        <f t="shared" si="90"/>
        <v>1.966258995634905E-2</v>
      </c>
      <c r="P109" s="42">
        <f t="shared" si="90"/>
        <v>3.9325179912698099E-2</v>
      </c>
      <c r="Q109" s="42">
        <f t="shared" si="90"/>
        <v>7.8650359825396199E-2</v>
      </c>
      <c r="R109" s="42">
        <f t="shared" si="90"/>
        <v>0.1573007196507924</v>
      </c>
      <c r="S109" s="42">
        <f t="shared" si="90"/>
        <v>0.3146014393015848</v>
      </c>
      <c r="T109" s="42">
        <f t="shared" si="90"/>
        <v>0.47190215895237725</v>
      </c>
      <c r="U109" s="42">
        <f t="shared" si="90"/>
        <v>0.51909237484761495</v>
      </c>
      <c r="V109" s="42">
        <f t="shared" si="90"/>
        <v>0.55055251877777345</v>
      </c>
      <c r="W109" s="42">
        <f t="shared" si="90"/>
        <v>0.58201266270793184</v>
      </c>
      <c r="X109" s="42">
        <f t="shared" si="90"/>
        <v>0.61347280663809045</v>
      </c>
      <c r="Y109" s="42">
        <f t="shared" si="90"/>
        <v>0.62920287860316959</v>
      </c>
      <c r="Z109" s="42">
        <f t="shared" si="90"/>
        <v>0.75504345432380349</v>
      </c>
      <c r="AA109" s="42">
        <f t="shared" si="90"/>
        <v>0.88088403004443738</v>
      </c>
      <c r="AB109" s="42">
        <f t="shared" si="90"/>
        <v>1.0067246057650714</v>
      </c>
      <c r="AC109" s="42">
        <f t="shared" si="90"/>
        <v>1.1325651814857054</v>
      </c>
      <c r="AD109" s="42">
        <f t="shared" si="90"/>
        <v>1.2584057572063392</v>
      </c>
      <c r="AE109" s="42">
        <f t="shared" si="90"/>
        <v>1.510086908647607</v>
      </c>
      <c r="AF109" s="42">
        <f t="shared" si="90"/>
        <v>1.7617680600888748</v>
      </c>
      <c r="AG109" s="42">
        <f t="shared" si="90"/>
        <v>2.0134492115301428</v>
      </c>
      <c r="AH109" s="42">
        <f t="shared" si="90"/>
        <v>2.2651303629714108</v>
      </c>
      <c r="AI109" s="42">
        <f t="shared" si="90"/>
        <v>2.5168115144126784</v>
      </c>
      <c r="AJ109" s="42">
        <f t="shared" si="90"/>
        <v>5.0336230288253567</v>
      </c>
      <c r="AK109" s="42">
        <f t="shared" si="90"/>
        <v>10.067246057650713</v>
      </c>
      <c r="AL109" s="42">
        <f t="shared" si="90"/>
        <v>20.134492115301427</v>
      </c>
      <c r="AM109" s="42">
        <f t="shared" si="90"/>
        <v>40.268984230602854</v>
      </c>
      <c r="AN109" s="42">
        <f t="shared" si="90"/>
        <v>80.537968461205708</v>
      </c>
      <c r="AO109" s="42">
        <f t="shared" si="90"/>
        <v>161.07593692241142</v>
      </c>
      <c r="AP109" s="42">
        <f t="shared" si="90"/>
        <v>322.15187384482283</v>
      </c>
      <c r="AQ109" s="83">
        <f t="shared" si="90"/>
        <v>644.30374768964566</v>
      </c>
      <c r="AR109" s="42">
        <f t="shared" si="90"/>
        <v>1288.6074953792913</v>
      </c>
      <c r="AS109" s="83">
        <f t="shared" si="90"/>
        <v>2016.1233237642064</v>
      </c>
      <c r="AT109" s="57"/>
    </row>
    <row r="110" spans="1:46" x14ac:dyDescent="0.25">
      <c r="A110" s="53" t="s">
        <v>18</v>
      </c>
      <c r="B110" s="18">
        <f>'ABS Population by Age Range'!D49</f>
        <v>0.14481341657950456</v>
      </c>
      <c r="C110" s="22">
        <f t="shared" si="82"/>
        <v>3712147.1205990198</v>
      </c>
      <c r="D110" s="35">
        <f>'AU Infection Rate by Age'!E11</f>
        <v>0.17303079161587165</v>
      </c>
      <c r="E110" s="36"/>
      <c r="F110" s="36"/>
      <c r="G110" s="36"/>
      <c r="H110" s="36"/>
      <c r="I110" s="36"/>
      <c r="J110" s="29"/>
      <c r="K110" s="22"/>
      <c r="L110" s="32">
        <f t="shared" ref="L110:AS110" si="91">L$69*$D$110</f>
        <v>5.4072122379959886</v>
      </c>
      <c r="M110" s="33">
        <f t="shared" si="91"/>
        <v>10.814424475991977</v>
      </c>
      <c r="N110" s="33">
        <f t="shared" si="91"/>
        <v>21.628848951983954</v>
      </c>
      <c r="O110" s="33">
        <f t="shared" si="91"/>
        <v>43.257697903967909</v>
      </c>
      <c r="P110" s="33">
        <f t="shared" si="91"/>
        <v>86.515395807935818</v>
      </c>
      <c r="Q110" s="33">
        <f t="shared" si="91"/>
        <v>173.03079161587164</v>
      </c>
      <c r="R110" s="33">
        <f t="shared" si="91"/>
        <v>346.06158323174327</v>
      </c>
      <c r="S110" s="33">
        <f t="shared" si="91"/>
        <v>692.12316646348654</v>
      </c>
      <c r="T110" s="33">
        <f t="shared" si="91"/>
        <v>1038.1847496952298</v>
      </c>
      <c r="U110" s="33">
        <f t="shared" si="91"/>
        <v>1142.0032246647529</v>
      </c>
      <c r="V110" s="33">
        <f t="shared" si="91"/>
        <v>1211.2155413111016</v>
      </c>
      <c r="W110" s="33">
        <f t="shared" si="91"/>
        <v>1280.4278579574502</v>
      </c>
      <c r="X110" s="33">
        <f t="shared" si="91"/>
        <v>1349.6401746037989</v>
      </c>
      <c r="Y110" s="33">
        <f t="shared" si="91"/>
        <v>1384.2463329269731</v>
      </c>
      <c r="Z110" s="33">
        <f t="shared" si="91"/>
        <v>1661.0955995123679</v>
      </c>
      <c r="AA110" s="33">
        <f t="shared" si="91"/>
        <v>1937.9448660977625</v>
      </c>
      <c r="AB110" s="33">
        <f t="shared" si="91"/>
        <v>2214.7941326831569</v>
      </c>
      <c r="AC110" s="33">
        <f t="shared" si="91"/>
        <v>2491.6433992685515</v>
      </c>
      <c r="AD110" s="33">
        <f t="shared" si="91"/>
        <v>2768.4926658539462</v>
      </c>
      <c r="AE110" s="33">
        <f t="shared" si="91"/>
        <v>3322.1911990247359</v>
      </c>
      <c r="AF110" s="33">
        <f t="shared" si="91"/>
        <v>3875.8897321955251</v>
      </c>
      <c r="AG110" s="33">
        <f t="shared" si="91"/>
        <v>4429.5882653663139</v>
      </c>
      <c r="AH110" s="33">
        <f t="shared" si="91"/>
        <v>4983.2867985371031</v>
      </c>
      <c r="AI110" s="33">
        <f t="shared" si="91"/>
        <v>5536.9853317078923</v>
      </c>
      <c r="AJ110" s="33">
        <f t="shared" si="91"/>
        <v>11073.970663415785</v>
      </c>
      <c r="AK110" s="33">
        <f t="shared" si="91"/>
        <v>22147.941326831569</v>
      </c>
      <c r="AL110" s="33">
        <f t="shared" si="91"/>
        <v>44295.882653663139</v>
      </c>
      <c r="AM110" s="33">
        <f t="shared" si="91"/>
        <v>88591.765307326277</v>
      </c>
      <c r="AN110" s="33">
        <f t="shared" si="91"/>
        <v>177183.53061465255</v>
      </c>
      <c r="AO110" s="33">
        <f t="shared" si="91"/>
        <v>354367.06122930511</v>
      </c>
      <c r="AP110" s="33">
        <f t="shared" si="91"/>
        <v>708734.12245861022</v>
      </c>
      <c r="AQ110" s="84">
        <f t="shared" si="91"/>
        <v>1417468.2449172204</v>
      </c>
      <c r="AR110" s="33">
        <f t="shared" si="91"/>
        <v>2834936.4898344409</v>
      </c>
      <c r="AS110" s="84">
        <f t="shared" si="91"/>
        <v>4435471.3122812537</v>
      </c>
      <c r="AT110" s="57"/>
    </row>
    <row r="111" spans="1:46" x14ac:dyDescent="0.25">
      <c r="A111" s="53"/>
      <c r="B111" s="18"/>
      <c r="C111" s="22"/>
      <c r="D111" s="20"/>
      <c r="E111" s="27"/>
      <c r="F111" s="27"/>
      <c r="G111" s="27"/>
      <c r="H111" s="27"/>
      <c r="I111" s="27"/>
      <c r="J111" s="39">
        <f>'AU Infection Rate by Age'!F25</f>
        <v>4.5454545454545455E-4</v>
      </c>
      <c r="K111" s="22"/>
      <c r="L111" s="41">
        <f t="shared" ref="L111:AS111" si="92">L$69*$D$110*$J$111</f>
        <v>2.4578237445436312E-3</v>
      </c>
      <c r="M111" s="42">
        <f t="shared" si="92"/>
        <v>4.9156474890872624E-3</v>
      </c>
      <c r="N111" s="42">
        <f t="shared" si="92"/>
        <v>9.8312949781745249E-3</v>
      </c>
      <c r="O111" s="42">
        <f t="shared" si="92"/>
        <v>1.966258995634905E-2</v>
      </c>
      <c r="P111" s="42">
        <f t="shared" si="92"/>
        <v>3.9325179912698099E-2</v>
      </c>
      <c r="Q111" s="42">
        <f t="shared" si="92"/>
        <v>7.8650359825396199E-2</v>
      </c>
      <c r="R111" s="42">
        <f t="shared" si="92"/>
        <v>0.1573007196507924</v>
      </c>
      <c r="S111" s="42">
        <f t="shared" si="92"/>
        <v>0.3146014393015848</v>
      </c>
      <c r="T111" s="42">
        <f t="shared" si="92"/>
        <v>0.47190215895237719</v>
      </c>
      <c r="U111" s="42">
        <f t="shared" si="92"/>
        <v>0.51909237484761495</v>
      </c>
      <c r="V111" s="42">
        <f t="shared" si="92"/>
        <v>0.55055251877777345</v>
      </c>
      <c r="W111" s="42">
        <f t="shared" si="92"/>
        <v>0.58201266270793195</v>
      </c>
      <c r="X111" s="42">
        <f t="shared" si="92"/>
        <v>0.61347280663809034</v>
      </c>
      <c r="Y111" s="42">
        <f t="shared" si="92"/>
        <v>0.62920287860316959</v>
      </c>
      <c r="Z111" s="42">
        <f t="shared" si="92"/>
        <v>0.7550434543238036</v>
      </c>
      <c r="AA111" s="42">
        <f t="shared" si="92"/>
        <v>0.88088403004443749</v>
      </c>
      <c r="AB111" s="42">
        <f t="shared" si="92"/>
        <v>1.0067246057650714</v>
      </c>
      <c r="AC111" s="42">
        <f t="shared" si="92"/>
        <v>1.1325651814857052</v>
      </c>
      <c r="AD111" s="42">
        <f t="shared" si="92"/>
        <v>1.2584057572063392</v>
      </c>
      <c r="AE111" s="42">
        <f t="shared" si="92"/>
        <v>1.5100869086476072</v>
      </c>
      <c r="AF111" s="42">
        <f t="shared" si="92"/>
        <v>1.761768060088875</v>
      </c>
      <c r="AG111" s="42">
        <f t="shared" si="92"/>
        <v>2.0134492115301428</v>
      </c>
      <c r="AH111" s="42">
        <f t="shared" si="92"/>
        <v>2.2651303629714103</v>
      </c>
      <c r="AI111" s="42">
        <f t="shared" si="92"/>
        <v>2.5168115144126784</v>
      </c>
      <c r="AJ111" s="42">
        <f t="shared" si="92"/>
        <v>5.0336230288253567</v>
      </c>
      <c r="AK111" s="42">
        <f t="shared" si="92"/>
        <v>10.067246057650713</v>
      </c>
      <c r="AL111" s="42">
        <f t="shared" si="92"/>
        <v>20.134492115301427</v>
      </c>
      <c r="AM111" s="42">
        <f t="shared" si="92"/>
        <v>40.268984230602854</v>
      </c>
      <c r="AN111" s="42">
        <f t="shared" si="92"/>
        <v>80.537968461205708</v>
      </c>
      <c r="AO111" s="42">
        <f t="shared" si="92"/>
        <v>161.07593692241142</v>
      </c>
      <c r="AP111" s="42">
        <f t="shared" si="92"/>
        <v>322.15187384482283</v>
      </c>
      <c r="AQ111" s="83">
        <f t="shared" si="92"/>
        <v>644.30374768964566</v>
      </c>
      <c r="AR111" s="42">
        <f t="shared" si="92"/>
        <v>1288.6074953792913</v>
      </c>
      <c r="AS111" s="83">
        <f t="shared" si="92"/>
        <v>2016.1233237642061</v>
      </c>
      <c r="AT111" s="57"/>
    </row>
    <row r="112" spans="1:46" x14ac:dyDescent="0.25">
      <c r="A112" s="53" t="s">
        <v>19</v>
      </c>
      <c r="B112" s="18">
        <f>'ABS Population by Age Range'!D37</f>
        <v>0.14458334093878666</v>
      </c>
      <c r="C112" s="22">
        <f t="shared" si="82"/>
        <v>3706249.3616248574</v>
      </c>
      <c r="D112" s="35">
        <f>'AU Infection Rate by Age'!E12</f>
        <v>0.22596248377836328</v>
      </c>
      <c r="E112" s="36"/>
      <c r="F112" s="36"/>
      <c r="G112" s="36"/>
      <c r="H112" s="36"/>
      <c r="I112" s="36"/>
      <c r="J112" s="29"/>
      <c r="K112" s="22"/>
      <c r="L112" s="32">
        <f t="shared" ref="L112:AS112" si="93">L$69*$D$112</f>
        <v>7.0613276180738529</v>
      </c>
      <c r="M112" s="33">
        <f t="shared" si="93"/>
        <v>14.122655236147706</v>
      </c>
      <c r="N112" s="33">
        <f t="shared" si="93"/>
        <v>28.245310472295412</v>
      </c>
      <c r="O112" s="33">
        <f t="shared" si="93"/>
        <v>56.490620944590823</v>
      </c>
      <c r="P112" s="33">
        <f t="shared" si="93"/>
        <v>112.98124188918165</v>
      </c>
      <c r="Q112" s="33">
        <f t="shared" si="93"/>
        <v>225.96248377836329</v>
      </c>
      <c r="R112" s="33">
        <f t="shared" si="93"/>
        <v>451.92496755672659</v>
      </c>
      <c r="S112" s="33">
        <f t="shared" si="93"/>
        <v>903.84993511345317</v>
      </c>
      <c r="T112" s="33">
        <f t="shared" si="93"/>
        <v>1355.7749026701797</v>
      </c>
      <c r="U112" s="33">
        <f t="shared" si="93"/>
        <v>1491.3523929371977</v>
      </c>
      <c r="V112" s="33">
        <f t="shared" si="93"/>
        <v>1581.737386448543</v>
      </c>
      <c r="W112" s="33">
        <f t="shared" si="93"/>
        <v>1672.1223799598883</v>
      </c>
      <c r="X112" s="33">
        <f t="shared" si="93"/>
        <v>1762.5073734712337</v>
      </c>
      <c r="Y112" s="33">
        <f t="shared" si="93"/>
        <v>1807.6998702269063</v>
      </c>
      <c r="Z112" s="33">
        <f t="shared" si="93"/>
        <v>2169.2398442722874</v>
      </c>
      <c r="AA112" s="33">
        <f t="shared" si="93"/>
        <v>2530.7798183176687</v>
      </c>
      <c r="AB112" s="33">
        <f t="shared" si="93"/>
        <v>2892.3197923630501</v>
      </c>
      <c r="AC112" s="33">
        <f t="shared" si="93"/>
        <v>3253.8597664084314</v>
      </c>
      <c r="AD112" s="33">
        <f t="shared" si="93"/>
        <v>3615.3997404538127</v>
      </c>
      <c r="AE112" s="33">
        <f t="shared" si="93"/>
        <v>4338.4796885445749</v>
      </c>
      <c r="AF112" s="33">
        <f t="shared" si="93"/>
        <v>5061.5596366353375</v>
      </c>
      <c r="AG112" s="33">
        <f t="shared" si="93"/>
        <v>5784.6395847261001</v>
      </c>
      <c r="AH112" s="33">
        <f t="shared" si="93"/>
        <v>6507.7195328168627</v>
      </c>
      <c r="AI112" s="33">
        <f t="shared" si="93"/>
        <v>7230.7994809076254</v>
      </c>
      <c r="AJ112" s="33">
        <f t="shared" si="93"/>
        <v>14461.598961815251</v>
      </c>
      <c r="AK112" s="33">
        <f t="shared" si="93"/>
        <v>28923.197923630501</v>
      </c>
      <c r="AL112" s="33">
        <f t="shared" si="93"/>
        <v>57846.395847261003</v>
      </c>
      <c r="AM112" s="33">
        <f t="shared" si="93"/>
        <v>115692.79169452201</v>
      </c>
      <c r="AN112" s="33">
        <f t="shared" si="93"/>
        <v>231385.58338904401</v>
      </c>
      <c r="AO112" s="33">
        <f t="shared" si="93"/>
        <v>462771.16677808802</v>
      </c>
      <c r="AP112" s="33">
        <f t="shared" si="93"/>
        <v>925542.33355617605</v>
      </c>
      <c r="AQ112" s="84">
        <f t="shared" si="93"/>
        <v>1851084.6671123521</v>
      </c>
      <c r="AR112" s="33">
        <f t="shared" si="93"/>
        <v>3702169.3342247042</v>
      </c>
      <c r="AS112" s="84">
        <f t="shared" si="93"/>
        <v>5792322.3091745647</v>
      </c>
      <c r="AT112" s="57"/>
    </row>
    <row r="113" spans="1:46" x14ac:dyDescent="0.25">
      <c r="A113" s="53"/>
      <c r="B113" s="18"/>
      <c r="C113" s="22"/>
      <c r="D113" s="20"/>
      <c r="E113" s="27"/>
      <c r="F113" s="27"/>
      <c r="G113" s="27"/>
      <c r="H113" s="27"/>
      <c r="I113" s="27"/>
      <c r="J113" s="39">
        <f>'AU Infection Rate by Age'!F26</f>
        <v>1.7403411068569441E-4</v>
      </c>
      <c r="K113" s="22"/>
      <c r="L113" s="41">
        <f t="shared" ref="L113:AS113" si="94">L$69*$D$112*$J$113</f>
        <v>1.2289118722718158E-3</v>
      </c>
      <c r="M113" s="42">
        <f t="shared" si="94"/>
        <v>2.4578237445436316E-3</v>
      </c>
      <c r="N113" s="42">
        <f t="shared" si="94"/>
        <v>4.9156474890872633E-3</v>
      </c>
      <c r="O113" s="42">
        <f t="shared" si="94"/>
        <v>9.8312949781745266E-3</v>
      </c>
      <c r="P113" s="42">
        <f t="shared" si="94"/>
        <v>1.9662589956349053E-2</v>
      </c>
      <c r="Q113" s="42">
        <f t="shared" si="94"/>
        <v>3.9325179912698106E-2</v>
      </c>
      <c r="R113" s="42">
        <f t="shared" si="94"/>
        <v>7.8650359825396213E-2</v>
      </c>
      <c r="S113" s="42">
        <f t="shared" si="94"/>
        <v>0.15730071965079243</v>
      </c>
      <c r="T113" s="42">
        <f t="shared" si="94"/>
        <v>0.23595107947618862</v>
      </c>
      <c r="U113" s="42">
        <f t="shared" si="94"/>
        <v>0.25954618742380747</v>
      </c>
      <c r="V113" s="42">
        <f t="shared" si="94"/>
        <v>0.27527625938888672</v>
      </c>
      <c r="W113" s="42">
        <f t="shared" si="94"/>
        <v>0.29100633135396597</v>
      </c>
      <c r="X113" s="42">
        <f t="shared" si="94"/>
        <v>0.30673640331904523</v>
      </c>
      <c r="Y113" s="42">
        <f t="shared" si="94"/>
        <v>0.31460143930158485</v>
      </c>
      <c r="Z113" s="42">
        <f t="shared" si="94"/>
        <v>0.3775217271619018</v>
      </c>
      <c r="AA113" s="42">
        <f t="shared" si="94"/>
        <v>0.44044201502221875</v>
      </c>
      <c r="AB113" s="42">
        <f t="shared" si="94"/>
        <v>0.50336230288253569</v>
      </c>
      <c r="AC113" s="42">
        <f t="shared" si="94"/>
        <v>0.5662825907428527</v>
      </c>
      <c r="AD113" s="42">
        <f t="shared" si="94"/>
        <v>0.6292028786031697</v>
      </c>
      <c r="AE113" s="42">
        <f t="shared" si="94"/>
        <v>0.7550434543238036</v>
      </c>
      <c r="AF113" s="42">
        <f t="shared" si="94"/>
        <v>0.88088403004443749</v>
      </c>
      <c r="AG113" s="42">
        <f t="shared" si="94"/>
        <v>1.0067246057650714</v>
      </c>
      <c r="AH113" s="42">
        <f t="shared" si="94"/>
        <v>1.1325651814857054</v>
      </c>
      <c r="AI113" s="42">
        <f t="shared" si="94"/>
        <v>1.2584057572063394</v>
      </c>
      <c r="AJ113" s="42">
        <f t="shared" si="94"/>
        <v>2.5168115144126788</v>
      </c>
      <c r="AK113" s="42">
        <f t="shared" si="94"/>
        <v>5.0336230288253576</v>
      </c>
      <c r="AL113" s="42">
        <f t="shared" si="94"/>
        <v>10.067246057650715</v>
      </c>
      <c r="AM113" s="42">
        <f t="shared" si="94"/>
        <v>20.13449211530143</v>
      </c>
      <c r="AN113" s="42">
        <f t="shared" si="94"/>
        <v>40.268984230602861</v>
      </c>
      <c r="AO113" s="42">
        <f t="shared" si="94"/>
        <v>80.537968461205722</v>
      </c>
      <c r="AP113" s="42">
        <f t="shared" si="94"/>
        <v>161.07593692241144</v>
      </c>
      <c r="AQ113" s="83">
        <f t="shared" si="94"/>
        <v>322.15187384482289</v>
      </c>
      <c r="AR113" s="42">
        <f t="shared" si="94"/>
        <v>644.30374768964577</v>
      </c>
      <c r="AS113" s="83">
        <f t="shared" si="94"/>
        <v>1008.0616618821032</v>
      </c>
      <c r="AT113" s="57"/>
    </row>
    <row r="114" spans="1:46" x14ac:dyDescent="0.25">
      <c r="A114" s="54" t="s">
        <v>20</v>
      </c>
      <c r="B114" s="18">
        <f>'ABS Population by Age Range'!D25</f>
        <v>0.12056476079328157</v>
      </c>
      <c r="C114" s="22">
        <f t="shared" si="82"/>
        <v>3090557.0781749799</v>
      </c>
      <c r="D114" s="35">
        <f>'AU Infection Rate by Age'!E13</f>
        <v>8.2740178536316808E-2</v>
      </c>
      <c r="E114" s="36"/>
      <c r="F114" s="36"/>
      <c r="G114" s="36"/>
      <c r="H114" s="36"/>
      <c r="I114" s="36"/>
      <c r="J114" s="29"/>
      <c r="K114" s="22"/>
      <c r="L114" s="32">
        <f t="shared" ref="L114:AS114" si="95">L$69*$D$114</f>
        <v>2.5856305792599001</v>
      </c>
      <c r="M114" s="33">
        <f t="shared" si="95"/>
        <v>5.1712611585198003</v>
      </c>
      <c r="N114" s="33">
        <f t="shared" si="95"/>
        <v>10.342522317039601</v>
      </c>
      <c r="O114" s="33">
        <f t="shared" si="95"/>
        <v>20.685044634079201</v>
      </c>
      <c r="P114" s="33">
        <f t="shared" si="95"/>
        <v>41.370089268158402</v>
      </c>
      <c r="Q114" s="33">
        <f t="shared" si="95"/>
        <v>82.740178536316805</v>
      </c>
      <c r="R114" s="33">
        <f t="shared" si="95"/>
        <v>165.48035707263361</v>
      </c>
      <c r="S114" s="33">
        <f t="shared" si="95"/>
        <v>330.96071414526722</v>
      </c>
      <c r="T114" s="33">
        <f t="shared" si="95"/>
        <v>496.44107121790086</v>
      </c>
      <c r="U114" s="33">
        <f t="shared" si="95"/>
        <v>546.08517833969097</v>
      </c>
      <c r="V114" s="33">
        <f t="shared" si="95"/>
        <v>579.18124975421767</v>
      </c>
      <c r="W114" s="33">
        <f t="shared" si="95"/>
        <v>612.27732116874438</v>
      </c>
      <c r="X114" s="33">
        <f t="shared" si="95"/>
        <v>645.37339258327108</v>
      </c>
      <c r="Y114" s="33">
        <f t="shared" si="95"/>
        <v>661.92142829053444</v>
      </c>
      <c r="Z114" s="33">
        <f t="shared" si="95"/>
        <v>794.30571394864137</v>
      </c>
      <c r="AA114" s="33">
        <f t="shared" si="95"/>
        <v>926.6899996067483</v>
      </c>
      <c r="AB114" s="33">
        <f t="shared" si="95"/>
        <v>1059.0742852648552</v>
      </c>
      <c r="AC114" s="33">
        <f t="shared" si="95"/>
        <v>1191.4585709229621</v>
      </c>
      <c r="AD114" s="33">
        <f t="shared" si="95"/>
        <v>1323.8428565810689</v>
      </c>
      <c r="AE114" s="33">
        <f t="shared" si="95"/>
        <v>1588.6114278972827</v>
      </c>
      <c r="AF114" s="33">
        <f t="shared" si="95"/>
        <v>1853.3799992134966</v>
      </c>
      <c r="AG114" s="33">
        <f t="shared" si="95"/>
        <v>2118.1485705297105</v>
      </c>
      <c r="AH114" s="33">
        <f t="shared" si="95"/>
        <v>2382.9171418459241</v>
      </c>
      <c r="AI114" s="33">
        <f t="shared" si="95"/>
        <v>2647.6857131621377</v>
      </c>
      <c r="AJ114" s="33">
        <f t="shared" si="95"/>
        <v>5295.3714263242755</v>
      </c>
      <c r="AK114" s="33">
        <f t="shared" si="95"/>
        <v>10590.742852648551</v>
      </c>
      <c r="AL114" s="33">
        <f t="shared" si="95"/>
        <v>21181.485705297102</v>
      </c>
      <c r="AM114" s="33">
        <f t="shared" si="95"/>
        <v>42362.971410594204</v>
      </c>
      <c r="AN114" s="33">
        <f t="shared" si="95"/>
        <v>84725.942821188408</v>
      </c>
      <c r="AO114" s="33">
        <f t="shared" si="95"/>
        <v>169451.88564237682</v>
      </c>
      <c r="AP114" s="33">
        <f t="shared" si="95"/>
        <v>338903.77128475363</v>
      </c>
      <c r="AQ114" s="84">
        <f t="shared" si="95"/>
        <v>677807.54256950726</v>
      </c>
      <c r="AR114" s="33">
        <f t="shared" si="95"/>
        <v>1355615.0851390145</v>
      </c>
      <c r="AS114" s="84">
        <f t="shared" si="95"/>
        <v>2120961.736599945</v>
      </c>
      <c r="AT114" s="57"/>
    </row>
    <row r="115" spans="1:46" x14ac:dyDescent="0.25">
      <c r="A115" s="54"/>
      <c r="B115" s="18"/>
      <c r="C115" s="22"/>
      <c r="D115" s="20"/>
      <c r="E115" s="27"/>
      <c r="F115" s="27"/>
      <c r="G115" s="27"/>
      <c r="H115" s="27"/>
      <c r="I115" s="27"/>
      <c r="J115" s="39">
        <f>'AU Infection Rate by Age'!F27</f>
        <v>0</v>
      </c>
      <c r="K115" s="22"/>
      <c r="L115" s="41">
        <f t="shared" ref="L115:AS115" si="96">L$69*$D$114*$J$115</f>
        <v>0</v>
      </c>
      <c r="M115" s="42">
        <f t="shared" si="96"/>
        <v>0</v>
      </c>
      <c r="N115" s="42">
        <f t="shared" si="96"/>
        <v>0</v>
      </c>
      <c r="O115" s="42">
        <f t="shared" si="96"/>
        <v>0</v>
      </c>
      <c r="P115" s="42">
        <f t="shared" si="96"/>
        <v>0</v>
      </c>
      <c r="Q115" s="42">
        <f t="shared" si="96"/>
        <v>0</v>
      </c>
      <c r="R115" s="42">
        <f t="shared" si="96"/>
        <v>0</v>
      </c>
      <c r="S115" s="42">
        <f t="shared" si="96"/>
        <v>0</v>
      </c>
      <c r="T115" s="42">
        <f t="shared" si="96"/>
        <v>0</v>
      </c>
      <c r="U115" s="42">
        <f t="shared" si="96"/>
        <v>0</v>
      </c>
      <c r="V115" s="42">
        <f t="shared" si="96"/>
        <v>0</v>
      </c>
      <c r="W115" s="42">
        <f t="shared" si="96"/>
        <v>0</v>
      </c>
      <c r="X115" s="42">
        <f t="shared" si="96"/>
        <v>0</v>
      </c>
      <c r="Y115" s="42">
        <f t="shared" si="96"/>
        <v>0</v>
      </c>
      <c r="Z115" s="42">
        <f t="shared" si="96"/>
        <v>0</v>
      </c>
      <c r="AA115" s="42">
        <f t="shared" si="96"/>
        <v>0</v>
      </c>
      <c r="AB115" s="42">
        <f t="shared" si="96"/>
        <v>0</v>
      </c>
      <c r="AC115" s="42">
        <f t="shared" si="96"/>
        <v>0</v>
      </c>
      <c r="AD115" s="42">
        <f t="shared" si="96"/>
        <v>0</v>
      </c>
      <c r="AE115" s="42">
        <f t="shared" si="96"/>
        <v>0</v>
      </c>
      <c r="AF115" s="42">
        <f t="shared" si="96"/>
        <v>0</v>
      </c>
      <c r="AG115" s="42">
        <f t="shared" si="96"/>
        <v>0</v>
      </c>
      <c r="AH115" s="42">
        <f t="shared" si="96"/>
        <v>0</v>
      </c>
      <c r="AI115" s="42">
        <f t="shared" si="96"/>
        <v>0</v>
      </c>
      <c r="AJ115" s="42">
        <f t="shared" si="96"/>
        <v>0</v>
      </c>
      <c r="AK115" s="42">
        <f t="shared" si="96"/>
        <v>0</v>
      </c>
      <c r="AL115" s="42">
        <f t="shared" si="96"/>
        <v>0</v>
      </c>
      <c r="AM115" s="42">
        <f t="shared" si="96"/>
        <v>0</v>
      </c>
      <c r="AN115" s="42">
        <f t="shared" si="96"/>
        <v>0</v>
      </c>
      <c r="AO115" s="42">
        <f t="shared" si="96"/>
        <v>0</v>
      </c>
      <c r="AP115" s="42">
        <f t="shared" si="96"/>
        <v>0</v>
      </c>
      <c r="AQ115" s="83">
        <f t="shared" si="96"/>
        <v>0</v>
      </c>
      <c r="AR115" s="42">
        <f t="shared" si="96"/>
        <v>0</v>
      </c>
      <c r="AS115" s="83">
        <f t="shared" si="96"/>
        <v>0</v>
      </c>
      <c r="AT115" s="57"/>
    </row>
    <row r="116" spans="1:46" x14ac:dyDescent="0.25">
      <c r="A116" s="54" t="s">
        <v>21</v>
      </c>
      <c r="B116" s="18">
        <f>'ABS Population by Age Range'!D13</f>
        <v>0.1255958322404806</v>
      </c>
      <c r="C116" s="22">
        <f t="shared" si="82"/>
        <v>3219523.5636524796</v>
      </c>
      <c r="D116" s="35">
        <f>'AU Infection Rate by Age'!E14</f>
        <v>4.8291320932793265E-2</v>
      </c>
      <c r="E116" s="36"/>
      <c r="F116" s="36"/>
      <c r="G116" s="36"/>
      <c r="H116" s="36"/>
      <c r="I116" s="36"/>
      <c r="J116" s="29"/>
      <c r="K116" s="22"/>
      <c r="L116" s="32">
        <f t="shared" ref="L116:AS116" si="97">L$69*$D$116</f>
        <v>1.5091037791497894</v>
      </c>
      <c r="M116" s="33">
        <f t="shared" si="97"/>
        <v>3.0182075582995789</v>
      </c>
      <c r="N116" s="33">
        <f t="shared" si="97"/>
        <v>6.0364151165991577</v>
      </c>
      <c r="O116" s="33">
        <f t="shared" si="97"/>
        <v>12.072830233198315</v>
      </c>
      <c r="P116" s="33">
        <f t="shared" si="97"/>
        <v>24.145660466396631</v>
      </c>
      <c r="Q116" s="33">
        <f t="shared" si="97"/>
        <v>48.291320932793262</v>
      </c>
      <c r="R116" s="33">
        <f t="shared" si="97"/>
        <v>96.582641865586524</v>
      </c>
      <c r="S116" s="33">
        <f t="shared" si="97"/>
        <v>193.16528373117305</v>
      </c>
      <c r="T116" s="33">
        <f t="shared" si="97"/>
        <v>289.74792559675961</v>
      </c>
      <c r="U116" s="33">
        <f t="shared" si="97"/>
        <v>318.72271815643558</v>
      </c>
      <c r="V116" s="33">
        <f t="shared" si="97"/>
        <v>338.03924652955283</v>
      </c>
      <c r="W116" s="33">
        <f t="shared" si="97"/>
        <v>357.35577490267013</v>
      </c>
      <c r="X116" s="33">
        <f t="shared" si="97"/>
        <v>376.67230327578744</v>
      </c>
      <c r="Y116" s="33">
        <f t="shared" si="97"/>
        <v>386.3305674623461</v>
      </c>
      <c r="Z116" s="33">
        <f t="shared" si="97"/>
        <v>463.59668095481533</v>
      </c>
      <c r="AA116" s="33">
        <f t="shared" si="97"/>
        <v>540.86279444728461</v>
      </c>
      <c r="AB116" s="33">
        <f t="shared" si="97"/>
        <v>618.12890793975384</v>
      </c>
      <c r="AC116" s="33">
        <f t="shared" si="97"/>
        <v>695.39502143222296</v>
      </c>
      <c r="AD116" s="33">
        <f t="shared" si="97"/>
        <v>772.66113492469219</v>
      </c>
      <c r="AE116" s="33">
        <f t="shared" si="97"/>
        <v>927.19336190963065</v>
      </c>
      <c r="AF116" s="33">
        <f t="shared" si="97"/>
        <v>1081.7255888945692</v>
      </c>
      <c r="AG116" s="33">
        <f t="shared" si="97"/>
        <v>1236.2578158795077</v>
      </c>
      <c r="AH116" s="33">
        <f t="shared" si="97"/>
        <v>1390.7900428644459</v>
      </c>
      <c r="AI116" s="33">
        <f t="shared" si="97"/>
        <v>1545.3222698493844</v>
      </c>
      <c r="AJ116" s="33">
        <f t="shared" si="97"/>
        <v>3090.6445396987688</v>
      </c>
      <c r="AK116" s="33">
        <f t="shared" si="97"/>
        <v>6181.2890793975375</v>
      </c>
      <c r="AL116" s="33">
        <f t="shared" si="97"/>
        <v>12362.578158795075</v>
      </c>
      <c r="AM116" s="33">
        <f t="shared" si="97"/>
        <v>24725.15631759015</v>
      </c>
      <c r="AN116" s="33">
        <f t="shared" si="97"/>
        <v>49450.3126351803</v>
      </c>
      <c r="AO116" s="33">
        <f t="shared" si="97"/>
        <v>98900.625270360601</v>
      </c>
      <c r="AP116" s="33">
        <f t="shared" si="97"/>
        <v>197801.2505407212</v>
      </c>
      <c r="AQ116" s="84">
        <f t="shared" si="97"/>
        <v>395602.5010814424</v>
      </c>
      <c r="AR116" s="33">
        <f t="shared" si="97"/>
        <v>791205.0021628848</v>
      </c>
      <c r="AS116" s="84">
        <f t="shared" si="97"/>
        <v>1237899.7207912225</v>
      </c>
      <c r="AT116" s="57"/>
    </row>
    <row r="117" spans="1:46" x14ac:dyDescent="0.25">
      <c r="A117" s="54"/>
      <c r="B117" s="19"/>
      <c r="C117" s="23"/>
      <c r="D117" s="38"/>
      <c r="E117" s="67"/>
      <c r="F117" s="67"/>
      <c r="G117" s="67"/>
      <c r="H117" s="67"/>
      <c r="I117" s="67"/>
      <c r="J117" s="40">
        <f>'AU Infection Rate by Age'!F28</f>
        <v>0</v>
      </c>
      <c r="K117" s="22"/>
      <c r="L117" s="41">
        <f t="shared" ref="L117:AS117" si="98">L$69*$D$116*$J$117</f>
        <v>0</v>
      </c>
      <c r="M117" s="42">
        <f t="shared" si="98"/>
        <v>0</v>
      </c>
      <c r="N117" s="42">
        <f t="shared" si="98"/>
        <v>0</v>
      </c>
      <c r="O117" s="42">
        <f t="shared" si="98"/>
        <v>0</v>
      </c>
      <c r="P117" s="42">
        <f t="shared" si="98"/>
        <v>0</v>
      </c>
      <c r="Q117" s="42">
        <f t="shared" si="98"/>
        <v>0</v>
      </c>
      <c r="R117" s="42">
        <f t="shared" si="98"/>
        <v>0</v>
      </c>
      <c r="S117" s="42">
        <f t="shared" si="98"/>
        <v>0</v>
      </c>
      <c r="T117" s="42">
        <f t="shared" si="98"/>
        <v>0</v>
      </c>
      <c r="U117" s="42">
        <f t="shared" si="98"/>
        <v>0</v>
      </c>
      <c r="V117" s="42">
        <f t="shared" si="98"/>
        <v>0</v>
      </c>
      <c r="W117" s="42">
        <f t="shared" si="98"/>
        <v>0</v>
      </c>
      <c r="X117" s="42">
        <f t="shared" si="98"/>
        <v>0</v>
      </c>
      <c r="Y117" s="42">
        <f t="shared" si="98"/>
        <v>0</v>
      </c>
      <c r="Z117" s="42">
        <f t="shared" si="98"/>
        <v>0</v>
      </c>
      <c r="AA117" s="42">
        <f t="shared" si="98"/>
        <v>0</v>
      </c>
      <c r="AB117" s="42">
        <f t="shared" si="98"/>
        <v>0</v>
      </c>
      <c r="AC117" s="42">
        <f t="shared" si="98"/>
        <v>0</v>
      </c>
      <c r="AD117" s="42">
        <f t="shared" si="98"/>
        <v>0</v>
      </c>
      <c r="AE117" s="42">
        <f t="shared" si="98"/>
        <v>0</v>
      </c>
      <c r="AF117" s="42">
        <f t="shared" si="98"/>
        <v>0</v>
      </c>
      <c r="AG117" s="42">
        <f t="shared" si="98"/>
        <v>0</v>
      </c>
      <c r="AH117" s="42">
        <f t="shared" si="98"/>
        <v>0</v>
      </c>
      <c r="AI117" s="42">
        <f t="shared" si="98"/>
        <v>0</v>
      </c>
      <c r="AJ117" s="42">
        <f t="shared" si="98"/>
        <v>0</v>
      </c>
      <c r="AK117" s="42">
        <f t="shared" si="98"/>
        <v>0</v>
      </c>
      <c r="AL117" s="42">
        <f t="shared" si="98"/>
        <v>0</v>
      </c>
      <c r="AM117" s="42">
        <f t="shared" si="98"/>
        <v>0</v>
      </c>
      <c r="AN117" s="42">
        <f t="shared" si="98"/>
        <v>0</v>
      </c>
      <c r="AO117" s="42">
        <f t="shared" si="98"/>
        <v>0</v>
      </c>
      <c r="AP117" s="42">
        <f t="shared" si="98"/>
        <v>0</v>
      </c>
      <c r="AQ117" s="83">
        <f t="shared" si="98"/>
        <v>0</v>
      </c>
      <c r="AR117" s="44">
        <f t="shared" si="98"/>
        <v>0</v>
      </c>
      <c r="AS117" s="85">
        <f t="shared" si="98"/>
        <v>0</v>
      </c>
      <c r="AT117" s="57"/>
    </row>
    <row r="118" spans="1:46" x14ac:dyDescent="0.25">
      <c r="A118" s="53" t="s">
        <v>131</v>
      </c>
      <c r="B118" s="26"/>
      <c r="C118" s="22"/>
      <c r="D118" s="22"/>
      <c r="E118" s="22"/>
      <c r="F118" s="22"/>
      <c r="G118" s="22"/>
      <c r="H118" s="22"/>
      <c r="I118" s="22"/>
      <c r="J118" s="27"/>
      <c r="K118" s="22"/>
      <c r="L118" s="30">
        <f t="shared" ref="L118:AO118" si="99">SUM(L100,L102,L104,L106,L108,L110,L112,L114,L116)</f>
        <v>31.25</v>
      </c>
      <c r="M118" s="31">
        <f t="shared" si="99"/>
        <v>62.5</v>
      </c>
      <c r="N118" s="31">
        <f t="shared" si="99"/>
        <v>125</v>
      </c>
      <c r="O118" s="31">
        <f t="shared" si="99"/>
        <v>250</v>
      </c>
      <c r="P118" s="31">
        <f t="shared" si="99"/>
        <v>500</v>
      </c>
      <c r="Q118" s="31">
        <f>SUM(Q100,Q102,Q104,Q106,Q108,Q110,Q112,Q114,Q116)</f>
        <v>1000</v>
      </c>
      <c r="R118" s="31">
        <f t="shared" si="99"/>
        <v>2000</v>
      </c>
      <c r="S118" s="31">
        <f t="shared" si="99"/>
        <v>4000</v>
      </c>
      <c r="T118" s="31">
        <f t="shared" ref="T118:X118" si="100">SUM(T100,T102,T104,T106,T108,T110,T112,T114,T116)</f>
        <v>6000</v>
      </c>
      <c r="U118" s="31">
        <f t="shared" si="100"/>
        <v>6600</v>
      </c>
      <c r="V118" s="31">
        <f t="shared" ref="V118:W118" si="101">SUM(V100,V102,V104,V106,V108,V110,V112,V114,V116)</f>
        <v>6999.9999999999991</v>
      </c>
      <c r="W118" s="31">
        <f t="shared" si="101"/>
        <v>7400</v>
      </c>
      <c r="X118" s="31">
        <f t="shared" si="100"/>
        <v>7800</v>
      </c>
      <c r="Y118" s="31">
        <f t="shared" si="99"/>
        <v>8000</v>
      </c>
      <c r="Z118" s="31">
        <f t="shared" ref="Z118:AC118" si="102">SUM(Z100,Z102,Z104,Z106,Z108,Z110,Z112,Z114,Z116)</f>
        <v>9600</v>
      </c>
      <c r="AA118" s="31">
        <f t="shared" si="102"/>
        <v>11199.999999999998</v>
      </c>
      <c r="AB118" s="31">
        <f t="shared" si="102"/>
        <v>12800</v>
      </c>
      <c r="AC118" s="31">
        <f t="shared" si="102"/>
        <v>14400</v>
      </c>
      <c r="AD118" s="31">
        <f t="shared" si="99"/>
        <v>16000</v>
      </c>
      <c r="AE118" s="31">
        <f t="shared" ref="AE118:AH118" si="103">SUM(AE100,AE102,AE104,AE106,AE108,AE110,AE112,AE114,AE116)</f>
        <v>19200</v>
      </c>
      <c r="AF118" s="31">
        <f t="shared" si="103"/>
        <v>22399.999999999996</v>
      </c>
      <c r="AG118" s="31">
        <f t="shared" si="103"/>
        <v>25600</v>
      </c>
      <c r="AH118" s="31">
        <f t="shared" si="103"/>
        <v>28800</v>
      </c>
      <c r="AI118" s="31">
        <f t="shared" si="99"/>
        <v>32000</v>
      </c>
      <c r="AJ118" s="31">
        <f t="shared" si="99"/>
        <v>64000</v>
      </c>
      <c r="AK118" s="31">
        <f t="shared" si="99"/>
        <v>128000</v>
      </c>
      <c r="AL118" s="31">
        <f t="shared" si="99"/>
        <v>256000</v>
      </c>
      <c r="AM118" s="31">
        <f t="shared" si="99"/>
        <v>512000</v>
      </c>
      <c r="AN118" s="31">
        <f t="shared" si="99"/>
        <v>1024000</v>
      </c>
      <c r="AO118" s="31">
        <f t="shared" si="99"/>
        <v>2048000</v>
      </c>
      <c r="AP118" s="31">
        <f t="shared" ref="AP118:AS119" si="104">SUM(AP100,AP102,AP104,AP106,AP108,AP110,AP112,AP114,AP116)</f>
        <v>4096000</v>
      </c>
      <c r="AQ118" s="72">
        <f t="shared" si="104"/>
        <v>8192000</v>
      </c>
      <c r="AR118" s="31">
        <f t="shared" si="104"/>
        <v>16384000</v>
      </c>
      <c r="AS118" s="72">
        <f t="shared" si="104"/>
        <v>25634000</v>
      </c>
      <c r="AT118" s="57"/>
    </row>
    <row r="119" spans="1:46" x14ac:dyDescent="0.25">
      <c r="A119" s="55" t="s">
        <v>130</v>
      </c>
      <c r="B119" s="56"/>
      <c r="C119" s="23"/>
      <c r="D119" s="23"/>
      <c r="E119" s="23"/>
      <c r="F119" s="23"/>
      <c r="G119" s="23"/>
      <c r="H119" s="23"/>
      <c r="I119" s="23"/>
      <c r="J119" s="50"/>
      <c r="K119" s="23"/>
      <c r="L119" s="43">
        <f>SUM(L101,L103,L105,L107,L109,L111,L113,L115,L117)</f>
        <v>0.75332297770262291</v>
      </c>
      <c r="M119" s="44">
        <f>SUM(M101,M103,M105,M107,M109,M111,M113,M115,M117)</f>
        <v>1.5066459554052458</v>
      </c>
      <c r="N119" s="44">
        <f t="shared" ref="N119:AO119" si="105">SUM(N101,N103,N105,N107,N109,N111,N113,N115,N117)</f>
        <v>3.0132919108104916</v>
      </c>
      <c r="O119" s="44">
        <f t="shared" si="105"/>
        <v>6.0265838216209833</v>
      </c>
      <c r="P119" s="44">
        <f t="shared" si="105"/>
        <v>12.053167643241967</v>
      </c>
      <c r="Q119" s="44">
        <f t="shared" si="105"/>
        <v>24.106335286483933</v>
      </c>
      <c r="R119" s="44">
        <f t="shared" si="105"/>
        <v>48.212670572967866</v>
      </c>
      <c r="S119" s="44">
        <f t="shared" si="105"/>
        <v>96.425341145935732</v>
      </c>
      <c r="T119" s="44">
        <f t="shared" ref="T119:X119" si="106">SUM(T101,T103,T105,T107,T109,T111,T113,T115,T117)</f>
        <v>144.63801171890364</v>
      </c>
      <c r="U119" s="44">
        <f>SUM(U101,U103,U105,U107,U109,U111,U113,U115,U117)</f>
        <v>159.10181289079398</v>
      </c>
      <c r="V119" s="44">
        <f t="shared" ref="V119:W119" si="107">SUM(V101,V103,V105,V107,V109,V111,V113,V115,V117)</f>
        <v>168.74434700538751</v>
      </c>
      <c r="W119" s="44">
        <f t="shared" si="107"/>
        <v>178.38688111998113</v>
      </c>
      <c r="X119" s="44">
        <f t="shared" si="106"/>
        <v>188.02941523457471</v>
      </c>
      <c r="Y119" s="44">
        <f t="shared" si="105"/>
        <v>192.85068229187146</v>
      </c>
      <c r="Z119" s="44">
        <f t="shared" ref="Z119:AC119" si="108">SUM(Z101,Z103,Z105,Z107,Z109,Z111,Z113,Z115,Z117)</f>
        <v>231.42081875024576</v>
      </c>
      <c r="AA119" s="44">
        <f t="shared" si="108"/>
        <v>269.99095520862005</v>
      </c>
      <c r="AB119" s="44">
        <f t="shared" si="108"/>
        <v>308.56109166699423</v>
      </c>
      <c r="AC119" s="44">
        <f t="shared" si="108"/>
        <v>347.13122812536858</v>
      </c>
      <c r="AD119" s="44">
        <f t="shared" si="105"/>
        <v>385.70136458374293</v>
      </c>
      <c r="AE119" s="44">
        <f t="shared" ref="AE119:AH119" si="109">SUM(AE101,AE103,AE105,AE107,AE109,AE111,AE113,AE115,AE117)</f>
        <v>462.84163750049152</v>
      </c>
      <c r="AF119" s="44">
        <f t="shared" si="109"/>
        <v>539.9819104172401</v>
      </c>
      <c r="AG119" s="44">
        <f t="shared" si="109"/>
        <v>617.12218333398846</v>
      </c>
      <c r="AH119" s="44">
        <f t="shared" si="109"/>
        <v>694.26245625073716</v>
      </c>
      <c r="AI119" s="44">
        <f t="shared" si="105"/>
        <v>771.40272916748586</v>
      </c>
      <c r="AJ119" s="44">
        <f t="shared" si="105"/>
        <v>1542.8054583349717</v>
      </c>
      <c r="AK119" s="44">
        <f t="shared" si="105"/>
        <v>3085.6109166699434</v>
      </c>
      <c r="AL119" s="44">
        <f t="shared" si="105"/>
        <v>6171.2218333398869</v>
      </c>
      <c r="AM119" s="44">
        <f t="shared" si="105"/>
        <v>12342.443666679774</v>
      </c>
      <c r="AN119" s="44">
        <f t="shared" si="105"/>
        <v>24684.887333359547</v>
      </c>
      <c r="AO119" s="44">
        <f t="shared" si="105"/>
        <v>49369.774666719095</v>
      </c>
      <c r="AP119" s="44">
        <f t="shared" si="104"/>
        <v>98739.54933343819</v>
      </c>
      <c r="AQ119" s="85">
        <f t="shared" si="104"/>
        <v>197479.09866687638</v>
      </c>
      <c r="AR119" s="44">
        <f t="shared" si="104"/>
        <v>394958.19733375276</v>
      </c>
      <c r="AS119" s="85">
        <f t="shared" si="104"/>
        <v>617941.79873372905</v>
      </c>
      <c r="AT119" s="57"/>
    </row>
    <row r="120" spans="1:46" x14ac:dyDescent="0.25">
      <c r="A120" s="54"/>
      <c r="B120" s="26"/>
      <c r="C120" s="22"/>
      <c r="D120" s="22"/>
      <c r="E120" s="22"/>
      <c r="F120" s="22"/>
      <c r="G120" s="22"/>
      <c r="H120" s="22"/>
      <c r="I120" s="22"/>
      <c r="J120" s="27"/>
      <c r="K120" s="22"/>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row>
    <row r="121" spans="1:46" x14ac:dyDescent="0.25">
      <c r="A121" s="66" t="s">
        <v>142</v>
      </c>
      <c r="B121" s="26"/>
      <c r="C121" s="22"/>
      <c r="D121" s="22"/>
      <c r="E121" s="22"/>
      <c r="F121" s="22"/>
      <c r="G121" s="22"/>
      <c r="H121" s="22"/>
      <c r="I121" s="22"/>
      <c r="J121" s="27"/>
      <c r="K121" s="22"/>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row>
    <row r="122" spans="1:46" x14ac:dyDescent="0.25">
      <c r="A122" s="16"/>
      <c r="B122" s="21" t="s">
        <v>6</v>
      </c>
      <c r="C122" s="21" t="s">
        <v>4</v>
      </c>
      <c r="D122" s="21"/>
      <c r="E122" s="21"/>
      <c r="F122" s="21"/>
      <c r="G122" s="21"/>
      <c r="H122" s="21"/>
      <c r="I122" s="21"/>
      <c r="J122" s="71" t="s">
        <v>3</v>
      </c>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17"/>
      <c r="AT122" s="59"/>
    </row>
    <row r="123" spans="1:46" x14ac:dyDescent="0.25">
      <c r="A123" s="53" t="s">
        <v>2</v>
      </c>
      <c r="B123" s="36">
        <v>0.05</v>
      </c>
      <c r="C123" s="22">
        <f>$B$55 * B123</f>
        <v>1281700</v>
      </c>
      <c r="D123" s="28"/>
      <c r="E123" s="28"/>
      <c r="F123" s="28"/>
      <c r="G123" s="28"/>
      <c r="H123" s="28"/>
      <c r="I123" s="28"/>
      <c r="J123" s="28"/>
      <c r="K123" s="28"/>
      <c r="L123" s="30">
        <f t="shared" ref="L123:AS123" si="110">L$69*$B$123</f>
        <v>1.5625</v>
      </c>
      <c r="M123" s="31">
        <f t="shared" si="110"/>
        <v>3.125</v>
      </c>
      <c r="N123" s="31">
        <f t="shared" si="110"/>
        <v>6.25</v>
      </c>
      <c r="O123" s="31">
        <f t="shared" si="110"/>
        <v>12.5</v>
      </c>
      <c r="P123" s="31">
        <f t="shared" si="110"/>
        <v>25</v>
      </c>
      <c r="Q123" s="31">
        <f t="shared" si="110"/>
        <v>50</v>
      </c>
      <c r="R123" s="31">
        <f t="shared" si="110"/>
        <v>100</v>
      </c>
      <c r="S123" s="31">
        <f t="shared" si="110"/>
        <v>200</v>
      </c>
      <c r="T123" s="31">
        <f t="shared" si="110"/>
        <v>300</v>
      </c>
      <c r="U123" s="31">
        <f t="shared" si="110"/>
        <v>330</v>
      </c>
      <c r="V123" s="31">
        <f t="shared" si="110"/>
        <v>350</v>
      </c>
      <c r="W123" s="31">
        <f t="shared" si="110"/>
        <v>370</v>
      </c>
      <c r="X123" s="31">
        <f t="shared" si="110"/>
        <v>390</v>
      </c>
      <c r="Y123" s="31">
        <f t="shared" si="110"/>
        <v>400</v>
      </c>
      <c r="Z123" s="31">
        <f t="shared" si="110"/>
        <v>480</v>
      </c>
      <c r="AA123" s="31">
        <f t="shared" si="110"/>
        <v>560</v>
      </c>
      <c r="AB123" s="31">
        <f t="shared" si="110"/>
        <v>640</v>
      </c>
      <c r="AC123" s="31">
        <f t="shared" si="110"/>
        <v>720</v>
      </c>
      <c r="AD123" s="31">
        <f t="shared" si="110"/>
        <v>800</v>
      </c>
      <c r="AE123" s="31">
        <f t="shared" si="110"/>
        <v>960</v>
      </c>
      <c r="AF123" s="31">
        <f t="shared" si="110"/>
        <v>1120</v>
      </c>
      <c r="AG123" s="31">
        <f t="shared" si="110"/>
        <v>1280</v>
      </c>
      <c r="AH123" s="31">
        <f t="shared" si="110"/>
        <v>1440</v>
      </c>
      <c r="AI123" s="31">
        <f t="shared" si="110"/>
        <v>1600</v>
      </c>
      <c r="AJ123" s="31">
        <f t="shared" si="110"/>
        <v>3200</v>
      </c>
      <c r="AK123" s="31">
        <f t="shared" si="110"/>
        <v>6400</v>
      </c>
      <c r="AL123" s="31">
        <f t="shared" si="110"/>
        <v>12800</v>
      </c>
      <c r="AM123" s="31">
        <f t="shared" si="110"/>
        <v>25600</v>
      </c>
      <c r="AN123" s="31">
        <f t="shared" si="110"/>
        <v>51200</v>
      </c>
      <c r="AO123" s="31">
        <f t="shared" si="110"/>
        <v>102400</v>
      </c>
      <c r="AP123" s="31">
        <f t="shared" si="110"/>
        <v>204800</v>
      </c>
      <c r="AQ123" s="72">
        <f t="shared" si="110"/>
        <v>409600</v>
      </c>
      <c r="AR123" s="31">
        <f t="shared" si="110"/>
        <v>819200</v>
      </c>
      <c r="AS123" s="72">
        <f t="shared" si="110"/>
        <v>1281700</v>
      </c>
      <c r="AT123" s="57"/>
    </row>
    <row r="124" spans="1:46" x14ac:dyDescent="0.25">
      <c r="A124" s="53"/>
      <c r="B124" s="28"/>
      <c r="C124" s="28"/>
      <c r="D124" s="37"/>
      <c r="E124" s="37"/>
      <c r="F124" s="37"/>
      <c r="G124" s="37"/>
      <c r="H124" s="37"/>
      <c r="I124" s="37"/>
      <c r="J124" s="58">
        <v>0.105</v>
      </c>
      <c r="K124" s="28"/>
      <c r="L124" s="41">
        <f>L123*$J$124</f>
        <v>0.1640625</v>
      </c>
      <c r="M124" s="42">
        <f t="shared" ref="M124:AO124" si="111">M123*$J$124</f>
        <v>0.328125</v>
      </c>
      <c r="N124" s="42">
        <f t="shared" si="111"/>
        <v>0.65625</v>
      </c>
      <c r="O124" s="42">
        <f t="shared" si="111"/>
        <v>1.3125</v>
      </c>
      <c r="P124" s="42">
        <f t="shared" si="111"/>
        <v>2.625</v>
      </c>
      <c r="Q124" s="42">
        <f t="shared" si="111"/>
        <v>5.25</v>
      </c>
      <c r="R124" s="42">
        <f t="shared" si="111"/>
        <v>10.5</v>
      </c>
      <c r="S124" s="42">
        <f t="shared" si="111"/>
        <v>21</v>
      </c>
      <c r="T124" s="42">
        <f t="shared" ref="T124:X124" si="112">T123*$J$124</f>
        <v>31.5</v>
      </c>
      <c r="U124" s="42">
        <f t="shared" si="112"/>
        <v>34.65</v>
      </c>
      <c r="V124" s="42">
        <f t="shared" ref="V124:W124" si="113">V123*$J$124</f>
        <v>36.75</v>
      </c>
      <c r="W124" s="42">
        <f t="shared" si="113"/>
        <v>38.85</v>
      </c>
      <c r="X124" s="42">
        <f t="shared" si="112"/>
        <v>40.949999999999996</v>
      </c>
      <c r="Y124" s="42">
        <f t="shared" si="111"/>
        <v>42</v>
      </c>
      <c r="Z124" s="42">
        <f t="shared" ref="Z124:AC124" si="114">Z123*$J$124</f>
        <v>50.4</v>
      </c>
      <c r="AA124" s="42">
        <f t="shared" si="114"/>
        <v>58.8</v>
      </c>
      <c r="AB124" s="42">
        <f t="shared" si="114"/>
        <v>67.2</v>
      </c>
      <c r="AC124" s="42">
        <f t="shared" si="114"/>
        <v>75.599999999999994</v>
      </c>
      <c r="AD124" s="42">
        <f t="shared" si="111"/>
        <v>84</v>
      </c>
      <c r="AE124" s="42">
        <f t="shared" ref="AE124:AH124" si="115">AE123*$J$124</f>
        <v>100.8</v>
      </c>
      <c r="AF124" s="42">
        <f t="shared" si="115"/>
        <v>117.6</v>
      </c>
      <c r="AG124" s="42">
        <f t="shared" si="115"/>
        <v>134.4</v>
      </c>
      <c r="AH124" s="42">
        <f t="shared" si="115"/>
        <v>151.19999999999999</v>
      </c>
      <c r="AI124" s="42">
        <f t="shared" si="111"/>
        <v>168</v>
      </c>
      <c r="AJ124" s="42">
        <f t="shared" si="111"/>
        <v>336</v>
      </c>
      <c r="AK124" s="42">
        <f t="shared" si="111"/>
        <v>672</v>
      </c>
      <c r="AL124" s="42">
        <f t="shared" si="111"/>
        <v>1344</v>
      </c>
      <c r="AM124" s="42">
        <f t="shared" si="111"/>
        <v>2688</v>
      </c>
      <c r="AN124" s="42">
        <f t="shared" si="111"/>
        <v>5376</v>
      </c>
      <c r="AO124" s="42">
        <f t="shared" si="111"/>
        <v>10752</v>
      </c>
      <c r="AP124" s="42">
        <f>AP123*$J$124</f>
        <v>21504</v>
      </c>
      <c r="AQ124" s="83">
        <f>AQ123*$J$124</f>
        <v>43008</v>
      </c>
      <c r="AR124" s="42">
        <f>AR123*$J$124</f>
        <v>86016</v>
      </c>
      <c r="AS124" s="83">
        <f>AS123*$J$124</f>
        <v>134578.5</v>
      </c>
      <c r="AT124" s="57"/>
    </row>
    <row r="125" spans="1:46" x14ac:dyDescent="0.25">
      <c r="A125" s="53" t="s">
        <v>5</v>
      </c>
      <c r="B125" s="36">
        <v>4.9000000000000002E-2</v>
      </c>
      <c r="C125" s="22">
        <f>$B$55 * B125</f>
        <v>1256066</v>
      </c>
      <c r="D125" s="59"/>
      <c r="E125" s="59"/>
      <c r="F125" s="59"/>
      <c r="G125" s="59"/>
      <c r="H125" s="59"/>
      <c r="I125" s="59"/>
      <c r="J125" s="28"/>
      <c r="K125" s="28"/>
      <c r="L125" s="32">
        <f t="shared" ref="L125:AS125" si="116">L$69*$B$125</f>
        <v>1.53125</v>
      </c>
      <c r="M125" s="33">
        <f t="shared" si="116"/>
        <v>3.0625</v>
      </c>
      <c r="N125" s="33">
        <f t="shared" si="116"/>
        <v>6.125</v>
      </c>
      <c r="O125" s="33">
        <f t="shared" si="116"/>
        <v>12.25</v>
      </c>
      <c r="P125" s="33">
        <f t="shared" si="116"/>
        <v>24.5</v>
      </c>
      <c r="Q125" s="33">
        <f t="shared" si="116"/>
        <v>49</v>
      </c>
      <c r="R125" s="33">
        <f t="shared" si="116"/>
        <v>98</v>
      </c>
      <c r="S125" s="33">
        <f t="shared" si="116"/>
        <v>196</v>
      </c>
      <c r="T125" s="33">
        <f t="shared" si="116"/>
        <v>294</v>
      </c>
      <c r="U125" s="33">
        <f t="shared" si="116"/>
        <v>323.40000000000003</v>
      </c>
      <c r="V125" s="33">
        <f t="shared" si="116"/>
        <v>343</v>
      </c>
      <c r="W125" s="33">
        <f t="shared" si="116"/>
        <v>362.6</v>
      </c>
      <c r="X125" s="33">
        <f t="shared" si="116"/>
        <v>382.2</v>
      </c>
      <c r="Y125" s="33">
        <f t="shared" si="116"/>
        <v>392</v>
      </c>
      <c r="Z125" s="33">
        <f t="shared" si="116"/>
        <v>470.40000000000003</v>
      </c>
      <c r="AA125" s="33">
        <f t="shared" si="116"/>
        <v>548.80000000000007</v>
      </c>
      <c r="AB125" s="33">
        <f t="shared" si="116"/>
        <v>627.20000000000005</v>
      </c>
      <c r="AC125" s="33">
        <f t="shared" si="116"/>
        <v>705.6</v>
      </c>
      <c r="AD125" s="33">
        <f t="shared" si="116"/>
        <v>784</v>
      </c>
      <c r="AE125" s="33">
        <f t="shared" si="116"/>
        <v>940.80000000000007</v>
      </c>
      <c r="AF125" s="33">
        <f t="shared" si="116"/>
        <v>1097.6000000000001</v>
      </c>
      <c r="AG125" s="33">
        <f t="shared" si="116"/>
        <v>1254.4000000000001</v>
      </c>
      <c r="AH125" s="33">
        <f t="shared" si="116"/>
        <v>1411.2</v>
      </c>
      <c r="AI125" s="33">
        <f t="shared" si="116"/>
        <v>1568</v>
      </c>
      <c r="AJ125" s="33">
        <f t="shared" si="116"/>
        <v>3136</v>
      </c>
      <c r="AK125" s="33">
        <f t="shared" si="116"/>
        <v>6272</v>
      </c>
      <c r="AL125" s="33">
        <f t="shared" si="116"/>
        <v>12544</v>
      </c>
      <c r="AM125" s="33">
        <f t="shared" si="116"/>
        <v>25088</v>
      </c>
      <c r="AN125" s="33">
        <f t="shared" si="116"/>
        <v>50176</v>
      </c>
      <c r="AO125" s="33">
        <f t="shared" si="116"/>
        <v>100352</v>
      </c>
      <c r="AP125" s="33">
        <f t="shared" si="116"/>
        <v>200704</v>
      </c>
      <c r="AQ125" s="84">
        <f t="shared" si="116"/>
        <v>401408</v>
      </c>
      <c r="AR125" s="33">
        <f t="shared" si="116"/>
        <v>802816</v>
      </c>
      <c r="AS125" s="84">
        <f t="shared" si="116"/>
        <v>1256066</v>
      </c>
      <c r="AT125" s="57"/>
    </row>
    <row r="126" spans="1:46" x14ac:dyDescent="0.25">
      <c r="A126" s="53"/>
      <c r="B126" s="28"/>
      <c r="C126" s="28"/>
      <c r="D126" s="37"/>
      <c r="E126" s="37"/>
      <c r="F126" s="37"/>
      <c r="G126" s="37"/>
      <c r="H126" s="37"/>
      <c r="I126" s="37"/>
      <c r="J126" s="58">
        <v>7.2999999999999995E-2</v>
      </c>
      <c r="K126" s="28"/>
      <c r="L126" s="41">
        <f t="shared" ref="L126:AO126" si="117">L125*$J$126</f>
        <v>0.11178125</v>
      </c>
      <c r="M126" s="42">
        <f t="shared" si="117"/>
        <v>0.2235625</v>
      </c>
      <c r="N126" s="42">
        <f t="shared" si="117"/>
        <v>0.44712499999999999</v>
      </c>
      <c r="O126" s="42">
        <f t="shared" si="117"/>
        <v>0.89424999999999999</v>
      </c>
      <c r="P126" s="42">
        <f t="shared" si="117"/>
        <v>1.7885</v>
      </c>
      <c r="Q126" s="42">
        <f t="shared" si="117"/>
        <v>3.577</v>
      </c>
      <c r="R126" s="42">
        <f t="shared" si="117"/>
        <v>7.1539999999999999</v>
      </c>
      <c r="S126" s="42">
        <f t="shared" si="117"/>
        <v>14.308</v>
      </c>
      <c r="T126" s="42">
        <f t="shared" ref="T126:X126" si="118">T125*$J$126</f>
        <v>21.462</v>
      </c>
      <c r="U126" s="42">
        <f t="shared" si="118"/>
        <v>23.6082</v>
      </c>
      <c r="V126" s="42">
        <f t="shared" ref="V126:W126" si="119">V125*$J$126</f>
        <v>25.038999999999998</v>
      </c>
      <c r="W126" s="42">
        <f t="shared" si="119"/>
        <v>26.469799999999999</v>
      </c>
      <c r="X126" s="42">
        <f t="shared" si="118"/>
        <v>27.900599999999997</v>
      </c>
      <c r="Y126" s="42">
        <f t="shared" si="117"/>
        <v>28.616</v>
      </c>
      <c r="Z126" s="42">
        <f t="shared" ref="Z126:AC126" si="120">Z125*$J$126</f>
        <v>34.339199999999998</v>
      </c>
      <c r="AA126" s="42">
        <f t="shared" si="120"/>
        <v>40.062400000000004</v>
      </c>
      <c r="AB126" s="42">
        <f t="shared" si="120"/>
        <v>45.785600000000002</v>
      </c>
      <c r="AC126" s="42">
        <f t="shared" si="120"/>
        <v>51.508800000000001</v>
      </c>
      <c r="AD126" s="42">
        <f t="shared" si="117"/>
        <v>57.231999999999999</v>
      </c>
      <c r="AE126" s="42">
        <f t="shared" ref="AE126:AH126" si="121">AE125*$J$126</f>
        <v>68.678399999999996</v>
      </c>
      <c r="AF126" s="42">
        <f t="shared" si="121"/>
        <v>80.124800000000008</v>
      </c>
      <c r="AG126" s="42">
        <f t="shared" si="121"/>
        <v>91.571200000000005</v>
      </c>
      <c r="AH126" s="42">
        <f t="shared" si="121"/>
        <v>103.0176</v>
      </c>
      <c r="AI126" s="42">
        <f t="shared" si="117"/>
        <v>114.464</v>
      </c>
      <c r="AJ126" s="42">
        <f t="shared" si="117"/>
        <v>228.928</v>
      </c>
      <c r="AK126" s="42">
        <f t="shared" si="117"/>
        <v>457.85599999999999</v>
      </c>
      <c r="AL126" s="42">
        <f t="shared" si="117"/>
        <v>915.71199999999999</v>
      </c>
      <c r="AM126" s="42">
        <f t="shared" si="117"/>
        <v>1831.424</v>
      </c>
      <c r="AN126" s="42">
        <f t="shared" si="117"/>
        <v>3662.848</v>
      </c>
      <c r="AO126" s="42">
        <f t="shared" si="117"/>
        <v>7325.6959999999999</v>
      </c>
      <c r="AP126" s="42">
        <f>AP125*$J$126</f>
        <v>14651.392</v>
      </c>
      <c r="AQ126" s="83">
        <f>AQ125*$J$126</f>
        <v>29302.784</v>
      </c>
      <c r="AR126" s="42">
        <f>AR125*$J$126</f>
        <v>58605.567999999999</v>
      </c>
      <c r="AS126" s="83">
        <f>AS125*$J$126</f>
        <v>91692.817999999999</v>
      </c>
      <c r="AT126" s="57"/>
    </row>
    <row r="127" spans="1:46" x14ac:dyDescent="0.25">
      <c r="A127" s="53" t="s">
        <v>7</v>
      </c>
      <c r="B127" s="36">
        <v>0.31</v>
      </c>
      <c r="C127" s="22">
        <f>$B$55 * B127</f>
        <v>7946540</v>
      </c>
      <c r="D127" s="59"/>
      <c r="E127" s="59"/>
      <c r="F127" s="59"/>
      <c r="G127" s="59"/>
      <c r="H127" s="59"/>
      <c r="I127" s="59"/>
      <c r="J127" s="28"/>
      <c r="K127" s="28"/>
      <c r="L127" s="32">
        <f t="shared" ref="L127:AS127" si="122">L$69*$B$127</f>
        <v>9.6875</v>
      </c>
      <c r="M127" s="33">
        <f t="shared" si="122"/>
        <v>19.375</v>
      </c>
      <c r="N127" s="33">
        <f t="shared" si="122"/>
        <v>38.75</v>
      </c>
      <c r="O127" s="33">
        <f t="shared" si="122"/>
        <v>77.5</v>
      </c>
      <c r="P127" s="33">
        <f t="shared" si="122"/>
        <v>155</v>
      </c>
      <c r="Q127" s="33">
        <f t="shared" si="122"/>
        <v>310</v>
      </c>
      <c r="R127" s="33">
        <f t="shared" si="122"/>
        <v>620</v>
      </c>
      <c r="S127" s="33">
        <f t="shared" si="122"/>
        <v>1240</v>
      </c>
      <c r="T127" s="33">
        <f t="shared" si="122"/>
        <v>1860</v>
      </c>
      <c r="U127" s="33">
        <f t="shared" si="122"/>
        <v>2046</v>
      </c>
      <c r="V127" s="33">
        <f t="shared" si="122"/>
        <v>2170</v>
      </c>
      <c r="W127" s="33">
        <f t="shared" si="122"/>
        <v>2294</v>
      </c>
      <c r="X127" s="33">
        <f t="shared" si="122"/>
        <v>2418</v>
      </c>
      <c r="Y127" s="33">
        <f t="shared" si="122"/>
        <v>2480</v>
      </c>
      <c r="Z127" s="33">
        <f t="shared" si="122"/>
        <v>2976</v>
      </c>
      <c r="AA127" s="33">
        <f t="shared" si="122"/>
        <v>3472</v>
      </c>
      <c r="AB127" s="33">
        <f t="shared" si="122"/>
        <v>3968</v>
      </c>
      <c r="AC127" s="33">
        <f t="shared" si="122"/>
        <v>4464</v>
      </c>
      <c r="AD127" s="33">
        <f t="shared" si="122"/>
        <v>4960</v>
      </c>
      <c r="AE127" s="33">
        <f t="shared" si="122"/>
        <v>5952</v>
      </c>
      <c r="AF127" s="33">
        <f t="shared" si="122"/>
        <v>6944</v>
      </c>
      <c r="AG127" s="33">
        <f t="shared" si="122"/>
        <v>7936</v>
      </c>
      <c r="AH127" s="33">
        <f t="shared" si="122"/>
        <v>8928</v>
      </c>
      <c r="AI127" s="33">
        <f t="shared" si="122"/>
        <v>9920</v>
      </c>
      <c r="AJ127" s="33">
        <f t="shared" si="122"/>
        <v>19840</v>
      </c>
      <c r="AK127" s="33">
        <f t="shared" si="122"/>
        <v>39680</v>
      </c>
      <c r="AL127" s="33">
        <f t="shared" si="122"/>
        <v>79360</v>
      </c>
      <c r="AM127" s="33">
        <f t="shared" si="122"/>
        <v>158720</v>
      </c>
      <c r="AN127" s="33">
        <f t="shared" si="122"/>
        <v>317440</v>
      </c>
      <c r="AO127" s="33">
        <f t="shared" si="122"/>
        <v>634880</v>
      </c>
      <c r="AP127" s="33">
        <f t="shared" si="122"/>
        <v>1269760</v>
      </c>
      <c r="AQ127" s="84">
        <f t="shared" si="122"/>
        <v>2539520</v>
      </c>
      <c r="AR127" s="33">
        <f t="shared" si="122"/>
        <v>5079040</v>
      </c>
      <c r="AS127" s="84">
        <f t="shared" si="122"/>
        <v>7946540</v>
      </c>
      <c r="AT127" s="57"/>
    </row>
    <row r="128" spans="1:46" x14ac:dyDescent="0.25">
      <c r="A128" s="53"/>
      <c r="B128" s="28"/>
      <c r="C128" s="28"/>
      <c r="D128" s="37"/>
      <c r="E128" s="37"/>
      <c r="F128" s="37"/>
      <c r="G128" s="37"/>
      <c r="H128" s="37"/>
      <c r="I128" s="37"/>
      <c r="J128" s="58">
        <v>6.3E-2</v>
      </c>
      <c r="K128" s="28"/>
      <c r="L128" s="41">
        <f t="shared" ref="L128:AO128" si="123">L127*$J$128</f>
        <v>0.61031250000000004</v>
      </c>
      <c r="M128" s="42">
        <f t="shared" si="123"/>
        <v>1.2206250000000001</v>
      </c>
      <c r="N128" s="42">
        <f t="shared" si="123"/>
        <v>2.4412500000000001</v>
      </c>
      <c r="O128" s="42">
        <f t="shared" si="123"/>
        <v>4.8825000000000003</v>
      </c>
      <c r="P128" s="42">
        <f t="shared" si="123"/>
        <v>9.7650000000000006</v>
      </c>
      <c r="Q128" s="42">
        <f t="shared" si="123"/>
        <v>19.53</v>
      </c>
      <c r="R128" s="42">
        <f t="shared" si="123"/>
        <v>39.06</v>
      </c>
      <c r="S128" s="42">
        <f t="shared" si="123"/>
        <v>78.12</v>
      </c>
      <c r="T128" s="42">
        <f t="shared" ref="T128:X128" si="124">T127*$J$128</f>
        <v>117.18</v>
      </c>
      <c r="U128" s="42">
        <f t="shared" si="124"/>
        <v>128.898</v>
      </c>
      <c r="V128" s="42">
        <f t="shared" ref="V128:W128" si="125">V127*$J$128</f>
        <v>136.71</v>
      </c>
      <c r="W128" s="42">
        <f t="shared" si="125"/>
        <v>144.52199999999999</v>
      </c>
      <c r="X128" s="42">
        <f t="shared" si="124"/>
        <v>152.334</v>
      </c>
      <c r="Y128" s="42">
        <f t="shared" si="123"/>
        <v>156.24</v>
      </c>
      <c r="Z128" s="42">
        <f t="shared" ref="Z128:AC128" si="126">Z127*$J$128</f>
        <v>187.488</v>
      </c>
      <c r="AA128" s="42">
        <f t="shared" si="126"/>
        <v>218.73599999999999</v>
      </c>
      <c r="AB128" s="42">
        <f t="shared" si="126"/>
        <v>249.98400000000001</v>
      </c>
      <c r="AC128" s="42">
        <f t="shared" si="126"/>
        <v>281.23200000000003</v>
      </c>
      <c r="AD128" s="42">
        <f t="shared" si="123"/>
        <v>312.48</v>
      </c>
      <c r="AE128" s="42">
        <f t="shared" ref="AE128:AH128" si="127">AE127*$J$128</f>
        <v>374.976</v>
      </c>
      <c r="AF128" s="42">
        <f t="shared" si="127"/>
        <v>437.47199999999998</v>
      </c>
      <c r="AG128" s="42">
        <f t="shared" si="127"/>
        <v>499.96800000000002</v>
      </c>
      <c r="AH128" s="42">
        <f t="shared" si="127"/>
        <v>562.46400000000006</v>
      </c>
      <c r="AI128" s="42">
        <f t="shared" si="123"/>
        <v>624.96</v>
      </c>
      <c r="AJ128" s="42">
        <f t="shared" si="123"/>
        <v>1249.92</v>
      </c>
      <c r="AK128" s="42">
        <f t="shared" si="123"/>
        <v>2499.84</v>
      </c>
      <c r="AL128" s="42">
        <f t="shared" si="123"/>
        <v>4999.68</v>
      </c>
      <c r="AM128" s="42">
        <f t="shared" si="123"/>
        <v>9999.36</v>
      </c>
      <c r="AN128" s="42">
        <f t="shared" si="123"/>
        <v>19998.72</v>
      </c>
      <c r="AO128" s="42">
        <f t="shared" si="123"/>
        <v>39997.440000000002</v>
      </c>
      <c r="AP128" s="42">
        <f>AP127*$J$128</f>
        <v>79994.880000000005</v>
      </c>
      <c r="AQ128" s="83">
        <f>AQ127*$J$128</f>
        <v>159989.76000000001</v>
      </c>
      <c r="AR128" s="42">
        <f>AR127*$J$128</f>
        <v>319979.52000000002</v>
      </c>
      <c r="AS128" s="83">
        <f>AS127*$J$128</f>
        <v>500632.02</v>
      </c>
      <c r="AT128" s="57"/>
    </row>
    <row r="129" spans="1:46" x14ac:dyDescent="0.25">
      <c r="A129" s="53" t="s">
        <v>8</v>
      </c>
      <c r="B129" s="36">
        <v>0.106</v>
      </c>
      <c r="C129" s="22">
        <f>$B$55 * B129</f>
        <v>2717204</v>
      </c>
      <c r="D129" s="59"/>
      <c r="E129" s="59"/>
      <c r="F129" s="59"/>
      <c r="G129" s="59"/>
      <c r="H129" s="59"/>
      <c r="I129" s="59"/>
      <c r="J129" s="28"/>
      <c r="K129" s="28"/>
      <c r="L129" s="32">
        <f t="shared" ref="L129:AS129" si="128">L$69*$B$129</f>
        <v>3.3125</v>
      </c>
      <c r="M129" s="33">
        <f t="shared" si="128"/>
        <v>6.625</v>
      </c>
      <c r="N129" s="33">
        <f t="shared" si="128"/>
        <v>13.25</v>
      </c>
      <c r="O129" s="33">
        <f t="shared" si="128"/>
        <v>26.5</v>
      </c>
      <c r="P129" s="33">
        <f t="shared" si="128"/>
        <v>53</v>
      </c>
      <c r="Q129" s="33">
        <f t="shared" si="128"/>
        <v>106</v>
      </c>
      <c r="R129" s="33">
        <f t="shared" si="128"/>
        <v>212</v>
      </c>
      <c r="S129" s="33">
        <f t="shared" si="128"/>
        <v>424</v>
      </c>
      <c r="T129" s="33">
        <f t="shared" si="128"/>
        <v>636</v>
      </c>
      <c r="U129" s="33">
        <f t="shared" si="128"/>
        <v>699.6</v>
      </c>
      <c r="V129" s="33">
        <f t="shared" si="128"/>
        <v>742</v>
      </c>
      <c r="W129" s="33">
        <f t="shared" si="128"/>
        <v>784.4</v>
      </c>
      <c r="X129" s="33">
        <f t="shared" si="128"/>
        <v>826.8</v>
      </c>
      <c r="Y129" s="33">
        <f t="shared" si="128"/>
        <v>848</v>
      </c>
      <c r="Z129" s="33">
        <f t="shared" si="128"/>
        <v>1017.6</v>
      </c>
      <c r="AA129" s="33">
        <f t="shared" si="128"/>
        <v>1187.2</v>
      </c>
      <c r="AB129" s="33">
        <f t="shared" si="128"/>
        <v>1356.8</v>
      </c>
      <c r="AC129" s="33">
        <f t="shared" si="128"/>
        <v>1526.3999999999999</v>
      </c>
      <c r="AD129" s="33">
        <f t="shared" si="128"/>
        <v>1696</v>
      </c>
      <c r="AE129" s="33">
        <f t="shared" si="128"/>
        <v>2035.2</v>
      </c>
      <c r="AF129" s="33">
        <f t="shared" si="128"/>
        <v>2374.4</v>
      </c>
      <c r="AG129" s="33">
        <f t="shared" si="128"/>
        <v>2713.6</v>
      </c>
      <c r="AH129" s="33">
        <f t="shared" si="128"/>
        <v>3052.7999999999997</v>
      </c>
      <c r="AI129" s="33">
        <f t="shared" si="128"/>
        <v>3392</v>
      </c>
      <c r="AJ129" s="33">
        <f t="shared" si="128"/>
        <v>6784</v>
      </c>
      <c r="AK129" s="33">
        <f t="shared" si="128"/>
        <v>13568</v>
      </c>
      <c r="AL129" s="33">
        <f t="shared" si="128"/>
        <v>27136</v>
      </c>
      <c r="AM129" s="33">
        <f t="shared" si="128"/>
        <v>54272</v>
      </c>
      <c r="AN129" s="33">
        <f t="shared" si="128"/>
        <v>108544</v>
      </c>
      <c r="AO129" s="33">
        <f t="shared" si="128"/>
        <v>217088</v>
      </c>
      <c r="AP129" s="33">
        <f t="shared" si="128"/>
        <v>434176</v>
      </c>
      <c r="AQ129" s="84">
        <f t="shared" si="128"/>
        <v>868352</v>
      </c>
      <c r="AR129" s="33">
        <f t="shared" si="128"/>
        <v>1736704</v>
      </c>
      <c r="AS129" s="84">
        <f t="shared" si="128"/>
        <v>2717204</v>
      </c>
      <c r="AT129" s="57"/>
    </row>
    <row r="130" spans="1:46" x14ac:dyDescent="0.25">
      <c r="A130" s="53"/>
      <c r="B130" s="28"/>
      <c r="C130" s="28"/>
      <c r="D130" s="37"/>
      <c r="E130" s="37"/>
      <c r="F130" s="37"/>
      <c r="G130" s="37"/>
      <c r="H130" s="37"/>
      <c r="I130" s="37"/>
      <c r="J130" s="58">
        <v>0.06</v>
      </c>
      <c r="K130" s="28"/>
      <c r="L130" s="41">
        <f t="shared" ref="L130:AO130" si="129">L129*$J$130</f>
        <v>0.19874999999999998</v>
      </c>
      <c r="M130" s="42">
        <f t="shared" si="129"/>
        <v>0.39749999999999996</v>
      </c>
      <c r="N130" s="42">
        <f t="shared" si="129"/>
        <v>0.79499999999999993</v>
      </c>
      <c r="O130" s="42">
        <f t="shared" si="129"/>
        <v>1.5899999999999999</v>
      </c>
      <c r="P130" s="42">
        <f t="shared" si="129"/>
        <v>3.1799999999999997</v>
      </c>
      <c r="Q130" s="42">
        <f t="shared" si="129"/>
        <v>6.3599999999999994</v>
      </c>
      <c r="R130" s="42">
        <f t="shared" si="129"/>
        <v>12.719999999999999</v>
      </c>
      <c r="S130" s="42">
        <f t="shared" si="129"/>
        <v>25.439999999999998</v>
      </c>
      <c r="T130" s="42">
        <f t="shared" ref="T130:X130" si="130">T129*$J$130</f>
        <v>38.159999999999997</v>
      </c>
      <c r="U130" s="42">
        <f t="shared" si="130"/>
        <v>41.975999999999999</v>
      </c>
      <c r="V130" s="42">
        <f t="shared" ref="V130:W130" si="131">V129*$J$130</f>
        <v>44.519999999999996</v>
      </c>
      <c r="W130" s="42">
        <f t="shared" si="131"/>
        <v>47.064</v>
      </c>
      <c r="X130" s="42">
        <f t="shared" si="130"/>
        <v>49.607999999999997</v>
      </c>
      <c r="Y130" s="42">
        <f t="shared" si="129"/>
        <v>50.879999999999995</v>
      </c>
      <c r="Z130" s="42">
        <f t="shared" ref="Z130:AC130" si="132">Z129*$J$130</f>
        <v>61.055999999999997</v>
      </c>
      <c r="AA130" s="42">
        <f t="shared" si="132"/>
        <v>71.231999999999999</v>
      </c>
      <c r="AB130" s="42">
        <f t="shared" si="132"/>
        <v>81.408000000000001</v>
      </c>
      <c r="AC130" s="42">
        <f t="shared" si="132"/>
        <v>91.583999999999989</v>
      </c>
      <c r="AD130" s="42">
        <f t="shared" si="129"/>
        <v>101.75999999999999</v>
      </c>
      <c r="AE130" s="42">
        <f t="shared" ref="AE130:AH130" si="133">AE129*$J$130</f>
        <v>122.11199999999999</v>
      </c>
      <c r="AF130" s="42">
        <f t="shared" si="133"/>
        <v>142.464</v>
      </c>
      <c r="AG130" s="42">
        <f t="shared" si="133"/>
        <v>162.816</v>
      </c>
      <c r="AH130" s="42">
        <f t="shared" si="133"/>
        <v>183.16799999999998</v>
      </c>
      <c r="AI130" s="42">
        <f t="shared" si="129"/>
        <v>203.51999999999998</v>
      </c>
      <c r="AJ130" s="42">
        <f t="shared" si="129"/>
        <v>407.03999999999996</v>
      </c>
      <c r="AK130" s="42">
        <f t="shared" si="129"/>
        <v>814.07999999999993</v>
      </c>
      <c r="AL130" s="42">
        <f t="shared" si="129"/>
        <v>1628.1599999999999</v>
      </c>
      <c r="AM130" s="42">
        <f t="shared" si="129"/>
        <v>3256.3199999999997</v>
      </c>
      <c r="AN130" s="42">
        <f t="shared" si="129"/>
        <v>6512.6399999999994</v>
      </c>
      <c r="AO130" s="42">
        <f t="shared" si="129"/>
        <v>13025.279999999999</v>
      </c>
      <c r="AP130" s="42">
        <f>AP129*$J$130</f>
        <v>26050.559999999998</v>
      </c>
      <c r="AQ130" s="83">
        <f>AQ129*$J$130</f>
        <v>52101.119999999995</v>
      </c>
      <c r="AR130" s="42">
        <f>AR129*$J$130</f>
        <v>104202.23999999999</v>
      </c>
      <c r="AS130" s="83">
        <f>AS129*$J$130</f>
        <v>163032.24</v>
      </c>
      <c r="AT130" s="57"/>
    </row>
    <row r="131" spans="1:46" x14ac:dyDescent="0.25">
      <c r="A131" s="53" t="s">
        <v>9</v>
      </c>
      <c r="B131" s="36">
        <v>1.7999999999999999E-2</v>
      </c>
      <c r="C131" s="22">
        <f>$B$55 * B131</f>
        <v>461411.99999999994</v>
      </c>
      <c r="D131" s="59"/>
      <c r="E131" s="59"/>
      <c r="F131" s="59"/>
      <c r="G131" s="59"/>
      <c r="H131" s="59"/>
      <c r="I131" s="59"/>
      <c r="J131" s="28"/>
      <c r="K131" s="28"/>
      <c r="L131" s="32">
        <f t="shared" ref="L131:AS131" si="134">L$69*$B$131</f>
        <v>0.5625</v>
      </c>
      <c r="M131" s="33">
        <f t="shared" si="134"/>
        <v>1.125</v>
      </c>
      <c r="N131" s="33">
        <f t="shared" si="134"/>
        <v>2.25</v>
      </c>
      <c r="O131" s="33">
        <f t="shared" si="134"/>
        <v>4.5</v>
      </c>
      <c r="P131" s="33">
        <f t="shared" si="134"/>
        <v>9</v>
      </c>
      <c r="Q131" s="33">
        <f t="shared" si="134"/>
        <v>18</v>
      </c>
      <c r="R131" s="33">
        <f t="shared" si="134"/>
        <v>36</v>
      </c>
      <c r="S131" s="33">
        <f t="shared" si="134"/>
        <v>72</v>
      </c>
      <c r="T131" s="33">
        <f t="shared" si="134"/>
        <v>107.99999999999999</v>
      </c>
      <c r="U131" s="33">
        <f t="shared" si="134"/>
        <v>118.8</v>
      </c>
      <c r="V131" s="33">
        <f t="shared" si="134"/>
        <v>125.99999999999999</v>
      </c>
      <c r="W131" s="33">
        <f t="shared" si="134"/>
        <v>133.19999999999999</v>
      </c>
      <c r="X131" s="33">
        <f t="shared" si="134"/>
        <v>140.39999999999998</v>
      </c>
      <c r="Y131" s="33">
        <f t="shared" si="134"/>
        <v>144</v>
      </c>
      <c r="Z131" s="33">
        <f t="shared" si="134"/>
        <v>172.79999999999998</v>
      </c>
      <c r="AA131" s="33">
        <f t="shared" si="134"/>
        <v>201.6</v>
      </c>
      <c r="AB131" s="33">
        <f t="shared" si="134"/>
        <v>230.39999999999998</v>
      </c>
      <c r="AC131" s="33">
        <f t="shared" si="134"/>
        <v>259.2</v>
      </c>
      <c r="AD131" s="33">
        <f t="shared" si="134"/>
        <v>288</v>
      </c>
      <c r="AE131" s="33">
        <f t="shared" si="134"/>
        <v>345.59999999999997</v>
      </c>
      <c r="AF131" s="33">
        <f t="shared" si="134"/>
        <v>403.2</v>
      </c>
      <c r="AG131" s="33">
        <f t="shared" si="134"/>
        <v>460.79999999999995</v>
      </c>
      <c r="AH131" s="33">
        <f t="shared" si="134"/>
        <v>518.4</v>
      </c>
      <c r="AI131" s="33">
        <f t="shared" si="134"/>
        <v>576</v>
      </c>
      <c r="AJ131" s="33">
        <f t="shared" si="134"/>
        <v>1152</v>
      </c>
      <c r="AK131" s="33">
        <f t="shared" si="134"/>
        <v>2304</v>
      </c>
      <c r="AL131" s="33">
        <f t="shared" si="134"/>
        <v>4608</v>
      </c>
      <c r="AM131" s="33">
        <f t="shared" si="134"/>
        <v>9216</v>
      </c>
      <c r="AN131" s="33">
        <f t="shared" si="134"/>
        <v>18432</v>
      </c>
      <c r="AO131" s="33">
        <f t="shared" si="134"/>
        <v>36864</v>
      </c>
      <c r="AP131" s="33">
        <f t="shared" si="134"/>
        <v>73728</v>
      </c>
      <c r="AQ131" s="84">
        <f t="shared" si="134"/>
        <v>147456</v>
      </c>
      <c r="AR131" s="33">
        <f t="shared" si="134"/>
        <v>294912</v>
      </c>
      <c r="AS131" s="84">
        <f t="shared" si="134"/>
        <v>461411.99999999994</v>
      </c>
      <c r="AT131" s="57"/>
    </row>
    <row r="132" spans="1:46" x14ac:dyDescent="0.25">
      <c r="A132" s="53"/>
      <c r="B132" s="28"/>
      <c r="C132" s="28"/>
      <c r="D132" s="37"/>
      <c r="E132" s="37"/>
      <c r="F132" s="37"/>
      <c r="G132" s="37"/>
      <c r="H132" s="37"/>
      <c r="I132" s="37"/>
      <c r="J132" s="58">
        <v>5.6000000000000001E-2</v>
      </c>
      <c r="K132" s="28"/>
      <c r="L132" s="41">
        <f t="shared" ref="L132:AO132" si="135">L131*$J$132</f>
        <v>3.15E-2</v>
      </c>
      <c r="M132" s="42">
        <f t="shared" si="135"/>
        <v>6.3E-2</v>
      </c>
      <c r="N132" s="42">
        <f t="shared" si="135"/>
        <v>0.126</v>
      </c>
      <c r="O132" s="42">
        <f t="shared" si="135"/>
        <v>0.252</v>
      </c>
      <c r="P132" s="42">
        <f t="shared" si="135"/>
        <v>0.504</v>
      </c>
      <c r="Q132" s="42">
        <f t="shared" si="135"/>
        <v>1.008</v>
      </c>
      <c r="R132" s="42">
        <f t="shared" si="135"/>
        <v>2.016</v>
      </c>
      <c r="S132" s="42">
        <f t="shared" si="135"/>
        <v>4.032</v>
      </c>
      <c r="T132" s="42">
        <f t="shared" ref="T132:X132" si="136">T131*$J$132</f>
        <v>6.0479999999999992</v>
      </c>
      <c r="U132" s="42">
        <f t="shared" si="136"/>
        <v>6.6528</v>
      </c>
      <c r="V132" s="42">
        <f t="shared" ref="V132:W132" si="137">V131*$J$132</f>
        <v>7.0559999999999992</v>
      </c>
      <c r="W132" s="42">
        <f t="shared" si="137"/>
        <v>7.4591999999999992</v>
      </c>
      <c r="X132" s="42">
        <f t="shared" si="136"/>
        <v>7.8623999999999992</v>
      </c>
      <c r="Y132" s="42">
        <f t="shared" si="135"/>
        <v>8.0640000000000001</v>
      </c>
      <c r="Z132" s="42">
        <f t="shared" ref="Z132:AC132" si="138">Z131*$J$132</f>
        <v>9.6768000000000001</v>
      </c>
      <c r="AA132" s="42">
        <f t="shared" si="138"/>
        <v>11.2896</v>
      </c>
      <c r="AB132" s="42">
        <f t="shared" si="138"/>
        <v>12.902399999999998</v>
      </c>
      <c r="AC132" s="42">
        <f t="shared" si="138"/>
        <v>14.5152</v>
      </c>
      <c r="AD132" s="42">
        <f t="shared" si="135"/>
        <v>16.128</v>
      </c>
      <c r="AE132" s="42">
        <f t="shared" ref="AE132:AH132" si="139">AE131*$J$132</f>
        <v>19.3536</v>
      </c>
      <c r="AF132" s="42">
        <f t="shared" si="139"/>
        <v>22.5792</v>
      </c>
      <c r="AG132" s="42">
        <f t="shared" si="139"/>
        <v>25.804799999999997</v>
      </c>
      <c r="AH132" s="42">
        <f t="shared" si="139"/>
        <v>29.0304</v>
      </c>
      <c r="AI132" s="42">
        <f t="shared" si="135"/>
        <v>32.256</v>
      </c>
      <c r="AJ132" s="42">
        <f t="shared" si="135"/>
        <v>64.512</v>
      </c>
      <c r="AK132" s="42">
        <f t="shared" si="135"/>
        <v>129.024</v>
      </c>
      <c r="AL132" s="42">
        <f t="shared" si="135"/>
        <v>258.048</v>
      </c>
      <c r="AM132" s="42">
        <f t="shared" si="135"/>
        <v>516.096</v>
      </c>
      <c r="AN132" s="42">
        <f t="shared" si="135"/>
        <v>1032.192</v>
      </c>
      <c r="AO132" s="42">
        <f t="shared" si="135"/>
        <v>2064.384</v>
      </c>
      <c r="AP132" s="42">
        <f>AP131*$J$132</f>
        <v>4128.768</v>
      </c>
      <c r="AQ132" s="83">
        <f>AQ131*$J$132</f>
        <v>8257.5360000000001</v>
      </c>
      <c r="AR132" s="42">
        <f>AR131*$J$132</f>
        <v>16515.072</v>
      </c>
      <c r="AS132" s="83">
        <f>AS131*$J$132</f>
        <v>25839.071999999996</v>
      </c>
      <c r="AT132" s="57"/>
    </row>
    <row r="133" spans="1:46" x14ac:dyDescent="0.25">
      <c r="A133" s="53" t="s">
        <v>10</v>
      </c>
      <c r="B133" s="36">
        <v>0.152</v>
      </c>
      <c r="C133" s="22">
        <f>$B$55 * B133</f>
        <v>3896368</v>
      </c>
      <c r="D133" s="59"/>
      <c r="E133" s="59"/>
      <c r="F133" s="59"/>
      <c r="G133" s="59"/>
      <c r="H133" s="59"/>
      <c r="I133" s="59"/>
      <c r="J133" s="28"/>
      <c r="K133" s="28"/>
      <c r="L133" s="32">
        <f t="shared" ref="L133:AS133" si="140">L$69*$B$133</f>
        <v>4.75</v>
      </c>
      <c r="M133" s="33">
        <f t="shared" si="140"/>
        <v>9.5</v>
      </c>
      <c r="N133" s="33">
        <f t="shared" si="140"/>
        <v>19</v>
      </c>
      <c r="O133" s="33">
        <f t="shared" si="140"/>
        <v>38</v>
      </c>
      <c r="P133" s="33">
        <f t="shared" si="140"/>
        <v>76</v>
      </c>
      <c r="Q133" s="33">
        <f t="shared" si="140"/>
        <v>152</v>
      </c>
      <c r="R133" s="33">
        <f t="shared" si="140"/>
        <v>304</v>
      </c>
      <c r="S133" s="33">
        <f t="shared" si="140"/>
        <v>608</v>
      </c>
      <c r="T133" s="33">
        <f t="shared" si="140"/>
        <v>912</v>
      </c>
      <c r="U133" s="33">
        <f t="shared" si="140"/>
        <v>1003.1999999999999</v>
      </c>
      <c r="V133" s="33">
        <f t="shared" si="140"/>
        <v>1064</v>
      </c>
      <c r="W133" s="33">
        <f t="shared" si="140"/>
        <v>1124.8</v>
      </c>
      <c r="X133" s="33">
        <f t="shared" si="140"/>
        <v>1185.5999999999999</v>
      </c>
      <c r="Y133" s="33">
        <f t="shared" si="140"/>
        <v>1216</v>
      </c>
      <c r="Z133" s="33">
        <f t="shared" si="140"/>
        <v>1459.2</v>
      </c>
      <c r="AA133" s="33">
        <f t="shared" si="140"/>
        <v>1702.3999999999999</v>
      </c>
      <c r="AB133" s="33">
        <f t="shared" si="140"/>
        <v>1945.6</v>
      </c>
      <c r="AC133" s="33">
        <f t="shared" si="140"/>
        <v>2188.7999999999997</v>
      </c>
      <c r="AD133" s="33">
        <f t="shared" si="140"/>
        <v>2432</v>
      </c>
      <c r="AE133" s="33">
        <f t="shared" si="140"/>
        <v>2918.4</v>
      </c>
      <c r="AF133" s="33">
        <f t="shared" si="140"/>
        <v>3404.7999999999997</v>
      </c>
      <c r="AG133" s="33">
        <f t="shared" si="140"/>
        <v>3891.2</v>
      </c>
      <c r="AH133" s="33">
        <f t="shared" si="140"/>
        <v>4377.5999999999995</v>
      </c>
      <c r="AI133" s="33">
        <f t="shared" si="140"/>
        <v>4864</v>
      </c>
      <c r="AJ133" s="33">
        <f t="shared" si="140"/>
        <v>9728</v>
      </c>
      <c r="AK133" s="33">
        <f t="shared" si="140"/>
        <v>19456</v>
      </c>
      <c r="AL133" s="33">
        <f t="shared" si="140"/>
        <v>38912</v>
      </c>
      <c r="AM133" s="33">
        <f t="shared" si="140"/>
        <v>77824</v>
      </c>
      <c r="AN133" s="33">
        <f t="shared" si="140"/>
        <v>155648</v>
      </c>
      <c r="AO133" s="33">
        <f t="shared" si="140"/>
        <v>311296</v>
      </c>
      <c r="AP133" s="33">
        <f t="shared" si="140"/>
        <v>622592</v>
      </c>
      <c r="AQ133" s="84">
        <f t="shared" si="140"/>
        <v>1245184</v>
      </c>
      <c r="AR133" s="33">
        <f t="shared" si="140"/>
        <v>2490368</v>
      </c>
      <c r="AS133" s="84">
        <f t="shared" si="140"/>
        <v>3896368</v>
      </c>
      <c r="AT133" s="57"/>
    </row>
    <row r="134" spans="1:46" x14ac:dyDescent="0.25">
      <c r="A134" s="49"/>
      <c r="B134" s="51"/>
      <c r="C134" s="51"/>
      <c r="D134" s="67"/>
      <c r="E134" s="67"/>
      <c r="F134" s="67"/>
      <c r="G134" s="67"/>
      <c r="H134" s="67"/>
      <c r="I134" s="67"/>
      <c r="J134" s="68" t="s">
        <v>11</v>
      </c>
      <c r="K134" s="51"/>
      <c r="L134" s="41" t="s">
        <v>11</v>
      </c>
      <c r="M134" s="42" t="s">
        <v>11</v>
      </c>
      <c r="N134" s="42" t="s">
        <v>11</v>
      </c>
      <c r="O134" s="42" t="s">
        <v>11</v>
      </c>
      <c r="P134" s="42" t="s">
        <v>11</v>
      </c>
      <c r="Q134" s="42" t="s">
        <v>11</v>
      </c>
      <c r="R134" s="42" t="s">
        <v>11</v>
      </c>
      <c r="S134" s="42" t="s">
        <v>11</v>
      </c>
      <c r="T134" s="42" t="s">
        <v>11</v>
      </c>
      <c r="U134" s="42" t="s">
        <v>11</v>
      </c>
      <c r="V134" s="42" t="s">
        <v>11</v>
      </c>
      <c r="W134" s="42" t="s">
        <v>11</v>
      </c>
      <c r="X134" s="42" t="s">
        <v>11</v>
      </c>
      <c r="Y134" s="42" t="s">
        <v>11</v>
      </c>
      <c r="Z134" s="42" t="s">
        <v>11</v>
      </c>
      <c r="AA134" s="42" t="s">
        <v>11</v>
      </c>
      <c r="AB134" s="42" t="s">
        <v>11</v>
      </c>
      <c r="AC134" s="42" t="s">
        <v>11</v>
      </c>
      <c r="AD134" s="42" t="s">
        <v>11</v>
      </c>
      <c r="AE134" s="42" t="s">
        <v>11</v>
      </c>
      <c r="AF134" s="42" t="s">
        <v>11</v>
      </c>
      <c r="AG134" s="42" t="s">
        <v>11</v>
      </c>
      <c r="AH134" s="42" t="s">
        <v>11</v>
      </c>
      <c r="AI134" s="42" t="s">
        <v>11</v>
      </c>
      <c r="AJ134" s="42" t="s">
        <v>11</v>
      </c>
      <c r="AK134" s="42" t="s">
        <v>11</v>
      </c>
      <c r="AL134" s="42" t="s">
        <v>11</v>
      </c>
      <c r="AM134" s="42" t="s">
        <v>11</v>
      </c>
      <c r="AN134" s="42" t="s">
        <v>11</v>
      </c>
      <c r="AO134" s="42" t="s">
        <v>11</v>
      </c>
      <c r="AP134" s="42" t="s">
        <v>11</v>
      </c>
      <c r="AQ134" s="83" t="s">
        <v>11</v>
      </c>
      <c r="AR134" s="44" t="s">
        <v>11</v>
      </c>
      <c r="AS134" s="85" t="s">
        <v>11</v>
      </c>
      <c r="AT134" s="57"/>
    </row>
    <row r="135" spans="1:46" x14ac:dyDescent="0.25">
      <c r="A135" s="53"/>
      <c r="B135" s="28"/>
      <c r="C135" s="28"/>
      <c r="D135" s="59"/>
      <c r="E135" s="59"/>
      <c r="F135" s="59"/>
      <c r="G135" s="59"/>
      <c r="H135" s="59"/>
      <c r="I135" s="59"/>
      <c r="J135" s="28"/>
      <c r="K135" s="28"/>
      <c r="L135" s="30">
        <f>SUM(L123,L125,L127,L129,L131,L133)</f>
        <v>21.40625</v>
      </c>
      <c r="M135" s="31">
        <f t="shared" ref="M135:AO135" si="141">SUM(M123,M125,M127,M129,M131,M133)</f>
        <v>42.8125</v>
      </c>
      <c r="N135" s="31">
        <f t="shared" si="141"/>
        <v>85.625</v>
      </c>
      <c r="O135" s="31">
        <f t="shared" si="141"/>
        <v>171.25</v>
      </c>
      <c r="P135" s="31">
        <f t="shared" si="141"/>
        <v>342.5</v>
      </c>
      <c r="Q135" s="31">
        <f t="shared" si="141"/>
        <v>685</v>
      </c>
      <c r="R135" s="31">
        <f>SUM(R123,R125,R127,R129,R131,R133)</f>
        <v>1370</v>
      </c>
      <c r="S135" s="31">
        <f t="shared" si="141"/>
        <v>2740</v>
      </c>
      <c r="T135" s="31">
        <f t="shared" ref="T135:X135" si="142">SUM(T123,T125,T127,T129,T131,T133)</f>
        <v>4110</v>
      </c>
      <c r="U135" s="31">
        <f t="shared" si="142"/>
        <v>4521</v>
      </c>
      <c r="V135" s="31">
        <f t="shared" ref="V135:W135" si="143">SUM(V123,V125,V127,V129,V131,V133)</f>
        <v>4795</v>
      </c>
      <c r="W135" s="31">
        <f t="shared" si="143"/>
        <v>5069</v>
      </c>
      <c r="X135" s="31">
        <f t="shared" si="142"/>
        <v>5343</v>
      </c>
      <c r="Y135" s="31">
        <f t="shared" si="141"/>
        <v>5480</v>
      </c>
      <c r="Z135" s="31">
        <f t="shared" ref="Z135:AC135" si="144">SUM(Z123,Z125,Z127,Z129,Z131,Z133)</f>
        <v>6576</v>
      </c>
      <c r="AA135" s="31">
        <f t="shared" si="144"/>
        <v>7672</v>
      </c>
      <c r="AB135" s="31">
        <f t="shared" si="144"/>
        <v>8768</v>
      </c>
      <c r="AC135" s="31">
        <f t="shared" si="144"/>
        <v>9864</v>
      </c>
      <c r="AD135" s="31">
        <f t="shared" si="141"/>
        <v>10960</v>
      </c>
      <c r="AE135" s="31">
        <f t="shared" ref="AE135:AH135" si="145">SUM(AE123,AE125,AE127,AE129,AE131,AE133)</f>
        <v>13152</v>
      </c>
      <c r="AF135" s="31">
        <f t="shared" si="145"/>
        <v>15344</v>
      </c>
      <c r="AG135" s="31">
        <f t="shared" si="145"/>
        <v>17536</v>
      </c>
      <c r="AH135" s="31">
        <f t="shared" si="145"/>
        <v>19728</v>
      </c>
      <c r="AI135" s="31">
        <f t="shared" si="141"/>
        <v>21920</v>
      </c>
      <c r="AJ135" s="31">
        <f t="shared" si="141"/>
        <v>43840</v>
      </c>
      <c r="AK135" s="31">
        <f t="shared" si="141"/>
        <v>87680</v>
      </c>
      <c r="AL135" s="31">
        <f t="shared" si="141"/>
        <v>175360</v>
      </c>
      <c r="AM135" s="31">
        <f t="shared" si="141"/>
        <v>350720</v>
      </c>
      <c r="AN135" s="31">
        <f t="shared" si="141"/>
        <v>701440</v>
      </c>
      <c r="AO135" s="31">
        <f t="shared" si="141"/>
        <v>1402880</v>
      </c>
      <c r="AP135" s="31">
        <f t="shared" ref="AP135:AS136" si="146">SUM(AP123,AP125,AP127,AP129,AP131,AP133)</f>
        <v>2805760</v>
      </c>
      <c r="AQ135" s="72">
        <f t="shared" si="146"/>
        <v>5611520</v>
      </c>
      <c r="AR135" s="33">
        <f t="shared" si="146"/>
        <v>11223040</v>
      </c>
      <c r="AS135" s="84">
        <f t="shared" si="146"/>
        <v>17559290</v>
      </c>
      <c r="AT135" s="57"/>
    </row>
    <row r="136" spans="1:46" x14ac:dyDescent="0.25">
      <c r="A136" s="49" t="s">
        <v>132</v>
      </c>
      <c r="B136" s="51"/>
      <c r="C136" s="51"/>
      <c r="D136" s="51"/>
      <c r="E136" s="51"/>
      <c r="F136" s="51"/>
      <c r="G136" s="51"/>
      <c r="H136" s="51"/>
      <c r="I136" s="51"/>
      <c r="J136" s="51"/>
      <c r="K136" s="51"/>
      <c r="L136" s="43">
        <f>SUM(L124,L126,L128,L130,L132,L134)</f>
        <v>1.11640625</v>
      </c>
      <c r="M136" s="44">
        <f t="shared" ref="M136:AO136" si="147">SUM(M124,M126,M128,M130,M132,M134)</f>
        <v>2.2328125000000001</v>
      </c>
      <c r="N136" s="44">
        <f t="shared" si="147"/>
        <v>4.4656250000000002</v>
      </c>
      <c r="O136" s="44">
        <f t="shared" si="147"/>
        <v>8.9312500000000004</v>
      </c>
      <c r="P136" s="44">
        <f t="shared" si="147"/>
        <v>17.862500000000001</v>
      </c>
      <c r="Q136" s="44">
        <f t="shared" si="147"/>
        <v>35.725000000000001</v>
      </c>
      <c r="R136" s="44">
        <f t="shared" si="147"/>
        <v>71.45</v>
      </c>
      <c r="S136" s="44">
        <f t="shared" si="147"/>
        <v>142.9</v>
      </c>
      <c r="T136" s="44">
        <f t="shared" ref="T136:X136" si="148">SUM(T124,T126,T128,T130,T132,T134)</f>
        <v>214.35</v>
      </c>
      <c r="U136" s="44">
        <f t="shared" si="148"/>
        <v>235.78500000000003</v>
      </c>
      <c r="V136" s="44">
        <f t="shared" ref="V136:W136" si="149">SUM(V124,V126,V128,V130,V132,V134)</f>
        <v>250.07500000000002</v>
      </c>
      <c r="W136" s="44">
        <f t="shared" si="149"/>
        <v>264.36500000000001</v>
      </c>
      <c r="X136" s="44">
        <f t="shared" si="148"/>
        <v>278.65499999999997</v>
      </c>
      <c r="Y136" s="44">
        <f t="shared" si="147"/>
        <v>285.8</v>
      </c>
      <c r="Z136" s="44">
        <f t="shared" ref="Z136:AC136" si="150">SUM(Z124,Z126,Z128,Z130,Z132,Z134)</f>
        <v>342.96</v>
      </c>
      <c r="AA136" s="44">
        <f t="shared" si="150"/>
        <v>400.11999999999995</v>
      </c>
      <c r="AB136" s="44">
        <f t="shared" si="150"/>
        <v>457.28000000000003</v>
      </c>
      <c r="AC136" s="44">
        <f t="shared" si="150"/>
        <v>514.44000000000005</v>
      </c>
      <c r="AD136" s="44">
        <f t="shared" si="147"/>
        <v>571.6</v>
      </c>
      <c r="AE136" s="44">
        <f t="shared" ref="AE136:AH136" si="151">SUM(AE124,AE126,AE128,AE130,AE132,AE134)</f>
        <v>685.92</v>
      </c>
      <c r="AF136" s="44">
        <f t="shared" si="151"/>
        <v>800.2399999999999</v>
      </c>
      <c r="AG136" s="44">
        <f t="shared" si="151"/>
        <v>914.56000000000006</v>
      </c>
      <c r="AH136" s="44">
        <f t="shared" si="151"/>
        <v>1028.8800000000001</v>
      </c>
      <c r="AI136" s="44">
        <f t="shared" si="147"/>
        <v>1143.2</v>
      </c>
      <c r="AJ136" s="44">
        <f t="shared" si="147"/>
        <v>2286.4</v>
      </c>
      <c r="AK136" s="44">
        <f t="shared" si="147"/>
        <v>4572.8</v>
      </c>
      <c r="AL136" s="44">
        <f t="shared" si="147"/>
        <v>9145.6</v>
      </c>
      <c r="AM136" s="44">
        <f t="shared" si="147"/>
        <v>18291.2</v>
      </c>
      <c r="AN136" s="44">
        <f t="shared" si="147"/>
        <v>36582.400000000001</v>
      </c>
      <c r="AO136" s="44">
        <f t="shared" si="147"/>
        <v>73164.800000000003</v>
      </c>
      <c r="AP136" s="44">
        <f t="shared" si="146"/>
        <v>146329.60000000001</v>
      </c>
      <c r="AQ136" s="85">
        <f t="shared" si="146"/>
        <v>292659.20000000001</v>
      </c>
      <c r="AR136" s="44">
        <f t="shared" si="146"/>
        <v>585318.40000000002</v>
      </c>
      <c r="AS136" s="85">
        <f t="shared" si="146"/>
        <v>915774.65</v>
      </c>
      <c r="AT136" s="57"/>
    </row>
  </sheetData>
  <conditionalFormatting sqref="AR80:AT80 L80:AP80">
    <cfRule type="cellIs" dxfId="28" priority="36" operator="greaterThan">
      <formula>$C$59</formula>
    </cfRule>
  </conditionalFormatting>
  <conditionalFormatting sqref="AR82:AS82 L82:AP82">
    <cfRule type="cellIs" dxfId="27" priority="35" operator="greaterThan">
      <formula>$C$60</formula>
    </cfRule>
  </conditionalFormatting>
  <conditionalFormatting sqref="L100:AS100">
    <cfRule type="cellIs" dxfId="26" priority="34" operator="greaterThan">
      <formula>$C$100</formula>
    </cfRule>
  </conditionalFormatting>
  <conditionalFormatting sqref="L102:AS102">
    <cfRule type="cellIs" dxfId="25" priority="33" operator="greaterThan">
      <formula>$C$102</formula>
    </cfRule>
  </conditionalFormatting>
  <conditionalFormatting sqref="L104:AS104">
    <cfRule type="cellIs" dxfId="24" priority="32" operator="greaterThan">
      <formula>$C$104</formula>
    </cfRule>
  </conditionalFormatting>
  <conditionalFormatting sqref="L106:AS106">
    <cfRule type="cellIs" dxfId="23" priority="24" operator="greaterThan">
      <formula>$C$106</formula>
    </cfRule>
  </conditionalFormatting>
  <conditionalFormatting sqref="L108:AS108">
    <cfRule type="cellIs" dxfId="22" priority="23" operator="greaterThan">
      <formula>$C$108</formula>
    </cfRule>
  </conditionalFormatting>
  <conditionalFormatting sqref="L110:AS110">
    <cfRule type="cellIs" dxfId="21" priority="22" operator="greaterThan">
      <formula>$C$110</formula>
    </cfRule>
  </conditionalFormatting>
  <conditionalFormatting sqref="L112:AS112">
    <cfRule type="cellIs" dxfId="20" priority="21" operator="greaterThan">
      <formula>$C$112</formula>
    </cfRule>
  </conditionalFormatting>
  <conditionalFormatting sqref="L114:AS114">
    <cfRule type="cellIs" dxfId="19" priority="20" operator="greaterThan">
      <formula>$C$114</formula>
    </cfRule>
  </conditionalFormatting>
  <conditionalFormatting sqref="L116:AS116">
    <cfRule type="cellIs" dxfId="18" priority="19" operator="greaterThan">
      <formula>$C$116</formula>
    </cfRule>
  </conditionalFormatting>
  <conditionalFormatting sqref="AR71:AS71 L71:AP71">
    <cfRule type="cellIs" dxfId="17" priority="18" operator="equal">
      <formula>0</formula>
    </cfRule>
  </conditionalFormatting>
  <conditionalFormatting sqref="AR78 L80:AP80 M82:AP82 L78:AP78">
    <cfRule type="cellIs" dxfId="16" priority="17" operator="equal">
      <formula>0</formula>
    </cfRule>
  </conditionalFormatting>
  <conditionalFormatting sqref="AR80:AS80">
    <cfRule type="cellIs" dxfId="15" priority="16" operator="equal">
      <formula>0</formula>
    </cfRule>
  </conditionalFormatting>
  <conditionalFormatting sqref="AR82:AS82">
    <cfRule type="cellIs" dxfId="14" priority="15" operator="equal">
      <formula>0</formula>
    </cfRule>
  </conditionalFormatting>
  <conditionalFormatting sqref="D102:I102">
    <cfRule type="cellIs" dxfId="13" priority="14" operator="greaterThan">
      <formula>$B$102</formula>
    </cfRule>
  </conditionalFormatting>
  <conditionalFormatting sqref="D104:I104">
    <cfRule type="cellIs" dxfId="12" priority="13" operator="greaterThan">
      <formula>$B$104</formula>
    </cfRule>
  </conditionalFormatting>
  <conditionalFormatting sqref="D106:I106">
    <cfRule type="cellIs" dxfId="11" priority="12" operator="greaterThan">
      <formula>$B$106</formula>
    </cfRule>
  </conditionalFormatting>
  <conditionalFormatting sqref="D108:I108">
    <cfRule type="cellIs" dxfId="10" priority="11" operator="greaterThan">
      <formula>$B$108</formula>
    </cfRule>
  </conditionalFormatting>
  <conditionalFormatting sqref="D110:I110">
    <cfRule type="cellIs" dxfId="9" priority="10" operator="greaterThan">
      <formula>$B$110</formula>
    </cfRule>
  </conditionalFormatting>
  <conditionalFormatting sqref="D112:I112">
    <cfRule type="cellIs" dxfId="8" priority="9" operator="greaterThan">
      <formula>$B$112</formula>
    </cfRule>
  </conditionalFormatting>
  <conditionalFormatting sqref="D114:I114">
    <cfRule type="cellIs" dxfId="7" priority="8" operator="greaterThan">
      <formula>$B$114</formula>
    </cfRule>
  </conditionalFormatting>
  <conditionalFormatting sqref="D116:I116">
    <cfRule type="cellIs" dxfId="6" priority="7" operator="greaterThan">
      <formula>$B$116</formula>
    </cfRule>
  </conditionalFormatting>
  <conditionalFormatting sqref="AQ80">
    <cfRule type="cellIs" dxfId="5" priority="6" operator="greaterThan">
      <formula>$C$59</formula>
    </cfRule>
  </conditionalFormatting>
  <conditionalFormatting sqref="AQ82">
    <cfRule type="cellIs" dxfId="4" priority="5" operator="greaterThan">
      <formula>$C$60</formula>
    </cfRule>
  </conditionalFormatting>
  <conditionalFormatting sqref="AQ71">
    <cfRule type="cellIs" dxfId="3" priority="4" operator="equal">
      <formula>0</formula>
    </cfRule>
  </conditionalFormatting>
  <conditionalFormatting sqref="AQ78">
    <cfRule type="cellIs" dxfId="2" priority="3" operator="equal">
      <formula>0</formula>
    </cfRule>
  </conditionalFormatting>
  <conditionalFormatting sqref="AQ80">
    <cfRule type="cellIs" dxfId="1" priority="2" operator="equal">
      <formula>0</formula>
    </cfRule>
  </conditionalFormatting>
  <conditionalFormatting sqref="AQ82">
    <cfRule type="cellIs" dxfId="0" priority="1" operator="equal">
      <formula>0</formula>
    </cfRule>
  </conditionalFormatting>
  <hyperlinks>
    <hyperlink ref="D99" r:id="rId1" xr:uid="{98D6456F-EA03-4FCB-8D3D-1822F6B38CCF}"/>
    <hyperlink ref="J99" r:id="rId2" location="case-fatality-rate-of-covid-19-by-age" xr:uid="{0058192C-B05A-45D2-8597-C1F9B3D9241E}"/>
    <hyperlink ref="J122" r:id="rId3" location="case-fatality-rate-of-covid-19-by-preexisting-health-conditions" xr:uid="{110A2613-24A6-4768-B90C-571B307D13E2}"/>
    <hyperlink ref="B55" r:id="rId4" display="https://www.abs.gov.au/ausstats/abs@.nsf/0/1647509ef7e25faaca2568a900154b63?opendocument" xr:uid="{63727E5E-0850-4414-8DD8-E50A09A5AEE8}"/>
    <hyperlink ref="B99" r:id="rId5" xr:uid="{E432DB14-5D35-4B35-8F24-1C070D7F22B3}"/>
    <hyperlink ref="B57" r:id="rId6" display="https://cmmid.github.io/topics/covid19/severity/global_cfr_estimates.html" xr:uid="{49B36C88-7FC3-4DAA-BBA5-EABFD6685804}"/>
    <hyperlink ref="A5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M19" sqref="M19"/>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218</v>
      </c>
      <c r="C3" s="179">
        <f>Projections!B55</f>
        <v>25634000</v>
      </c>
      <c r="J3" s="2"/>
    </row>
    <row r="4" spans="2:10" x14ac:dyDescent="0.25">
      <c r="B4" s="195" t="s">
        <v>236</v>
      </c>
      <c r="C4" s="179">
        <v>32</v>
      </c>
      <c r="J4" s="2"/>
    </row>
    <row r="5" spans="2:10" x14ac:dyDescent="0.25">
      <c r="B5" s="195" t="s">
        <v>237</v>
      </c>
      <c r="C5" s="177">
        <v>43892</v>
      </c>
      <c r="J5" s="2"/>
    </row>
    <row r="6" spans="2:10" x14ac:dyDescent="0.25">
      <c r="B6" s="195" t="s">
        <v>219</v>
      </c>
      <c r="C6" s="179">
        <v>28755</v>
      </c>
    </row>
    <row r="7" spans="2:10" x14ac:dyDescent="0.25">
      <c r="B7" s="195" t="s">
        <v>221</v>
      </c>
      <c r="C7" s="177">
        <f ca="1">NOW()</f>
        <v>44218.892302199078</v>
      </c>
    </row>
    <row r="8" spans="2:10" x14ac:dyDescent="0.25">
      <c r="B8" s="195" t="s">
        <v>238</v>
      </c>
      <c r="C8" s="178">
        <f ca="1">C7-C5</f>
        <v>326.89230219907768</v>
      </c>
    </row>
    <row r="9" spans="2:10" x14ac:dyDescent="0.25">
      <c r="B9" s="195" t="s">
        <v>220</v>
      </c>
      <c r="C9" s="180">
        <f ca="1">C8/(LOG(C6/C4)/LOG(2))</f>
        <v>33.317174950890191</v>
      </c>
      <c r="D9" t="s">
        <v>196</v>
      </c>
      <c r="F9" t="s">
        <v>239</v>
      </c>
    </row>
    <row r="10" spans="2:10" x14ac:dyDescent="0.25">
      <c r="B10" s="195" t="s">
        <v>225</v>
      </c>
      <c r="C10" s="179">
        <f>Projections!C59</f>
        <v>66648.400000000009</v>
      </c>
    </row>
    <row r="11" spans="2:10" x14ac:dyDescent="0.25">
      <c r="B11" s="196" t="s">
        <v>226</v>
      </c>
      <c r="C11" s="184">
        <f>Projections!C60</f>
        <v>1896.9159999999999</v>
      </c>
    </row>
    <row r="12" spans="2:10" s="81" customFormat="1" x14ac:dyDescent="0.25">
      <c r="B12" s="74" t="s">
        <v>272</v>
      </c>
      <c r="C12" s="185">
        <f>C6/Projections!B57</f>
        <v>90578.25</v>
      </c>
    </row>
    <row r="13" spans="2:10" s="81" customFormat="1" x14ac:dyDescent="0.25">
      <c r="B13" s="60" t="s">
        <v>273</v>
      </c>
      <c r="C13" s="186">
        <f ca="1">(C4/Projections!B57)*(2^(((C7-21)-C5)/C9))</f>
        <v>58517.134512051554</v>
      </c>
    </row>
    <row r="14" spans="2:10" s="81" customFormat="1" x14ac:dyDescent="0.25">
      <c r="B14" s="61" t="s">
        <v>274</v>
      </c>
      <c r="C14" s="165">
        <f ca="1">C12-C13</f>
        <v>32061.115487948446</v>
      </c>
      <c r="E14" s="182"/>
      <c r="F14" s="183" t="s">
        <v>243</v>
      </c>
      <c r="G14" s="181"/>
    </row>
    <row r="15" spans="2:10" x14ac:dyDescent="0.25">
      <c r="B15" s="16" t="s">
        <v>240</v>
      </c>
      <c r="C15" s="76">
        <f>C6*Projections!B61</f>
        <v>23291.550000000003</v>
      </c>
      <c r="I15" s="176"/>
    </row>
    <row r="16" spans="2:10" x14ac:dyDescent="0.25">
      <c r="B16" s="53" t="s">
        <v>250</v>
      </c>
      <c r="C16" s="95">
        <f ca="1">(C4*Projections!B61)*(2^(((C7-21)-C5)/C9))</f>
        <v>15047.263160241828</v>
      </c>
      <c r="I16" s="176"/>
    </row>
    <row r="17" spans="2:9" x14ac:dyDescent="0.25">
      <c r="B17" s="53" t="s">
        <v>241</v>
      </c>
      <c r="C17" s="95">
        <f ca="1">C15-C16</f>
        <v>8244.2868397581751</v>
      </c>
      <c r="F17" t="s">
        <v>244</v>
      </c>
      <c r="I17" s="176"/>
    </row>
    <row r="18" spans="2:9" x14ac:dyDescent="0.25">
      <c r="B18" s="16" t="s">
        <v>246</v>
      </c>
      <c r="C18" s="76">
        <f>C6*Projections!B62</f>
        <v>4025.7000000000003</v>
      </c>
    </row>
    <row r="19" spans="2:9" x14ac:dyDescent="0.25">
      <c r="B19" s="53" t="s">
        <v>251</v>
      </c>
      <c r="C19" s="95">
        <f ca="1">(C4*Projections!B62)*(2^(((C7-49)-C5)/C9))</f>
        <v>1452.4884933788703</v>
      </c>
    </row>
    <row r="20" spans="2:9" x14ac:dyDescent="0.25">
      <c r="B20" s="53" t="s">
        <v>245</v>
      </c>
      <c r="C20" s="95">
        <f ca="1">C18-C19</f>
        <v>2573.21150662113</v>
      </c>
      <c r="F20" t="s">
        <v>249</v>
      </c>
    </row>
    <row r="21" spans="2:9" x14ac:dyDescent="0.25">
      <c r="B21" s="16" t="s">
        <v>247</v>
      </c>
      <c r="C21" s="76">
        <f>C6*Projections!B63</f>
        <v>287.55</v>
      </c>
      <c r="I21" s="176"/>
    </row>
    <row r="22" spans="2:9" x14ac:dyDescent="0.25">
      <c r="B22" s="53" t="s">
        <v>252</v>
      </c>
      <c r="C22" s="95">
        <f ca="1">(C4*Projections!B63)*(2^(((C7-49)-C5)/C9))</f>
        <v>103.74917809849072</v>
      </c>
      <c r="I22" s="176"/>
    </row>
    <row r="23" spans="2:9" x14ac:dyDescent="0.25">
      <c r="B23" s="53" t="s">
        <v>248</v>
      </c>
      <c r="C23" s="95">
        <f ca="1">C21-C22</f>
        <v>183.80082190150929</v>
      </c>
      <c r="I23" s="176"/>
    </row>
    <row r="24" spans="2:9" x14ac:dyDescent="0.25">
      <c r="B24" s="16" t="s">
        <v>253</v>
      </c>
      <c r="C24" s="76">
        <f>C6*Projections!B64</f>
        <v>905.78250000000003</v>
      </c>
    </row>
    <row r="25" spans="2:9" x14ac:dyDescent="0.25">
      <c r="B25" s="49" t="s">
        <v>254</v>
      </c>
      <c r="C25" s="73">
        <f ca="1">(C4*Projections!B64)*(2^(((C7-42)-C5)/C9))</f>
        <v>378.0438495446237</v>
      </c>
      <c r="F25" t="s">
        <v>255</v>
      </c>
    </row>
    <row r="26" spans="2:9" x14ac:dyDescent="0.25">
      <c r="B26" s="53" t="s">
        <v>231</v>
      </c>
      <c r="C26" s="189">
        <f ca="1">C9*(LOG(C10/C21)/LOG(2))</f>
        <v>261.76016961973738</v>
      </c>
      <c r="D26" t="s">
        <v>196</v>
      </c>
      <c r="F26" s="81" t="s">
        <v>256</v>
      </c>
    </row>
    <row r="27" spans="2:9" x14ac:dyDescent="0.25">
      <c r="B27" s="49" t="s">
        <v>227</v>
      </c>
      <c r="C27" s="188">
        <f ca="1">C7+C26</f>
        <v>44480.652471818816</v>
      </c>
      <c r="F27" t="s">
        <v>257</v>
      </c>
    </row>
    <row r="28" spans="2:9" x14ac:dyDescent="0.25">
      <c r="B28" s="16" t="s">
        <v>232</v>
      </c>
      <c r="C28" s="187">
        <f ca="1">C9*(LOG(C11/C21)/LOG(2))</f>
        <v>90.681722293092079</v>
      </c>
      <c r="D28" t="s">
        <v>196</v>
      </c>
    </row>
    <row r="29" spans="2:9" x14ac:dyDescent="0.25">
      <c r="B29" s="49" t="s">
        <v>228</v>
      </c>
      <c r="C29" s="188">
        <f ca="1">C7+C28</f>
        <v>44309.574024492169</v>
      </c>
      <c r="F29" t="s">
        <v>257</v>
      </c>
    </row>
    <row r="30" spans="2:9" x14ac:dyDescent="0.25">
      <c r="B30" s="16" t="s">
        <v>233</v>
      </c>
      <c r="C30" s="187">
        <f ca="1">C9*(LOG((C3*0.6)/C12)/LOG(2))</f>
        <v>246.80405809481417</v>
      </c>
      <c r="D30" t="s">
        <v>196</v>
      </c>
    </row>
    <row r="31" spans="2:9" x14ac:dyDescent="0.25">
      <c r="B31" s="49" t="s">
        <v>230</v>
      </c>
      <c r="C31" s="188">
        <f ca="1">C7+C30</f>
        <v>44465.696360293892</v>
      </c>
    </row>
    <row r="34" spans="2:6" x14ac:dyDescent="0.25">
      <c r="B34" s="16" t="s">
        <v>234</v>
      </c>
      <c r="C34" s="177">
        <f ca="1">C7+30</f>
        <v>44248.892302199078</v>
      </c>
      <c r="F34" t="s">
        <v>275</v>
      </c>
    </row>
    <row r="35" spans="2:6" x14ac:dyDescent="0.25">
      <c r="B35" s="53" t="s">
        <v>235</v>
      </c>
      <c r="C35" s="95">
        <f ca="1">C6*(2^((C34-C7)/C9))</f>
        <v>53674.964267053299</v>
      </c>
      <c r="F35" t="s">
        <v>242</v>
      </c>
    </row>
    <row r="36" spans="2:6" x14ac:dyDescent="0.25">
      <c r="B36" s="53" t="s">
        <v>229</v>
      </c>
      <c r="C36" s="95">
        <f ca="1">C35/Projections!B57</f>
        <v>169076.1374412179</v>
      </c>
    </row>
    <row r="37" spans="2:6" x14ac:dyDescent="0.25">
      <c r="B37" s="53" t="s">
        <v>171</v>
      </c>
      <c r="C37" s="95">
        <f ca="1">C35*Projections!B61</f>
        <v>43476.721056313174</v>
      </c>
    </row>
    <row r="38" spans="2:6" x14ac:dyDescent="0.25">
      <c r="B38" s="53" t="s">
        <v>222</v>
      </c>
      <c r="C38" s="95">
        <f ca="1">C35*Projections!B62</f>
        <v>7514.4949973874627</v>
      </c>
    </row>
    <row r="39" spans="2:6" x14ac:dyDescent="0.25">
      <c r="B39" s="53" t="s">
        <v>223</v>
      </c>
      <c r="C39" s="95">
        <f ca="1">C35*Projections!B63</f>
        <v>536.74964267053304</v>
      </c>
    </row>
    <row r="40" spans="2:6" x14ac:dyDescent="0.25">
      <c r="B40" s="49" t="s">
        <v>224</v>
      </c>
      <c r="C40" s="73">
        <f ca="1">C35*Projections!B64</f>
        <v>1690.7613744121788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T31"/>
  <sheetViews>
    <sheetView workbookViewId="0">
      <selection activeCell="P14" sqref="P14"/>
    </sheetView>
  </sheetViews>
  <sheetFormatPr defaultRowHeight="15" x14ac:dyDescent="0.25"/>
  <cols>
    <col min="1" max="1" width="10.7109375" bestFit="1" customWidth="1"/>
  </cols>
  <sheetData>
    <row r="1" spans="1:5" x14ac:dyDescent="0.25">
      <c r="A1" s="302" t="s">
        <v>341</v>
      </c>
    </row>
    <row r="3" spans="1:5" x14ac:dyDescent="0.25">
      <c r="A3" s="267">
        <v>44065</v>
      </c>
    </row>
    <row r="4" spans="1:5" x14ac:dyDescent="0.25">
      <c r="A4" t="s">
        <v>298</v>
      </c>
    </row>
    <row r="5" spans="1:5" x14ac:dyDescent="0.25">
      <c r="A5" t="s">
        <v>136</v>
      </c>
      <c r="B5" t="s">
        <v>296</v>
      </c>
      <c r="C5" t="s">
        <v>297</v>
      </c>
      <c r="D5" t="s">
        <v>137</v>
      </c>
      <c r="E5" t="s">
        <v>138</v>
      </c>
    </row>
    <row r="6" spans="1:5" x14ac:dyDescent="0.25">
      <c r="A6" s="53" t="s">
        <v>13</v>
      </c>
      <c r="B6" s="28">
        <v>674</v>
      </c>
      <c r="C6" s="28">
        <v>1223</v>
      </c>
      <c r="D6">
        <f>SUM(B6:C6)</f>
        <v>1897</v>
      </c>
      <c r="E6" s="3">
        <f t="shared" ref="E6:E14" si="0">D6/$D$16</f>
        <v>7.4599866294388292E-2</v>
      </c>
    </row>
    <row r="7" spans="1:5" x14ac:dyDescent="0.25">
      <c r="A7" s="53" t="s">
        <v>14</v>
      </c>
      <c r="B7" s="28">
        <v>799</v>
      </c>
      <c r="C7" s="28">
        <v>710</v>
      </c>
      <c r="D7">
        <f t="shared" ref="D7:D14" si="1">SUM(B7:C7)</f>
        <v>1509</v>
      </c>
      <c r="E7" s="3">
        <f t="shared" si="0"/>
        <v>5.9341696488261431E-2</v>
      </c>
    </row>
    <row r="8" spans="1:5" x14ac:dyDescent="0.25">
      <c r="A8" s="53" t="s">
        <v>15</v>
      </c>
      <c r="B8" s="28">
        <v>1097</v>
      </c>
      <c r="C8" s="28">
        <v>1137</v>
      </c>
      <c r="D8">
        <f t="shared" si="1"/>
        <v>2234</v>
      </c>
      <c r="E8" s="3">
        <f t="shared" si="0"/>
        <v>8.7852451924967559E-2</v>
      </c>
    </row>
    <row r="9" spans="1:5" x14ac:dyDescent="0.25">
      <c r="A9" s="53" t="s">
        <v>16</v>
      </c>
      <c r="B9" s="59">
        <v>1461</v>
      </c>
      <c r="C9" s="59">
        <v>1579</v>
      </c>
      <c r="D9">
        <f t="shared" si="1"/>
        <v>3040</v>
      </c>
      <c r="E9" s="3">
        <f t="shared" si="0"/>
        <v>0.11954854693460222</v>
      </c>
    </row>
    <row r="10" spans="1:5" x14ac:dyDescent="0.25">
      <c r="A10" s="53" t="s">
        <v>17</v>
      </c>
      <c r="B10" s="59">
        <v>1651</v>
      </c>
      <c r="C10" s="59">
        <v>1620</v>
      </c>
      <c r="D10">
        <f t="shared" si="1"/>
        <v>3271</v>
      </c>
      <c r="E10" s="3">
        <f t="shared" si="0"/>
        <v>0.1286326634944355</v>
      </c>
    </row>
    <row r="11" spans="1:5" x14ac:dyDescent="0.25">
      <c r="A11" s="53" t="s">
        <v>18</v>
      </c>
      <c r="B11" s="59">
        <v>2222</v>
      </c>
      <c r="C11" s="59">
        <v>2178</v>
      </c>
      <c r="D11">
        <f t="shared" si="1"/>
        <v>4400</v>
      </c>
      <c r="E11" s="3">
        <f t="shared" si="0"/>
        <v>0.17303079161587165</v>
      </c>
    </row>
    <row r="12" spans="1:5" x14ac:dyDescent="0.25">
      <c r="A12" s="53" t="s">
        <v>19</v>
      </c>
      <c r="B12" s="59">
        <v>2735</v>
      </c>
      <c r="C12" s="59">
        <v>3011</v>
      </c>
      <c r="D12">
        <f t="shared" si="1"/>
        <v>5746</v>
      </c>
      <c r="E12" s="3">
        <f t="shared" si="0"/>
        <v>0.22596248377836328</v>
      </c>
    </row>
    <row r="13" spans="1:5" ht="15.75" customHeight="1" x14ac:dyDescent="0.25">
      <c r="A13" s="54" t="s">
        <v>20</v>
      </c>
      <c r="B13" s="272">
        <v>1073</v>
      </c>
      <c r="C13" s="272">
        <v>1031</v>
      </c>
      <c r="D13">
        <f t="shared" si="1"/>
        <v>2104</v>
      </c>
      <c r="E13" s="3">
        <f t="shared" si="0"/>
        <v>8.2740178536316808E-2</v>
      </c>
    </row>
    <row r="14" spans="1:5" x14ac:dyDescent="0.25">
      <c r="A14" s="54" t="s">
        <v>21</v>
      </c>
      <c r="B14" s="272">
        <v>649</v>
      </c>
      <c r="C14" s="272">
        <v>579</v>
      </c>
      <c r="D14">
        <f t="shared" si="1"/>
        <v>1228</v>
      </c>
      <c r="E14" s="3">
        <f t="shared" si="0"/>
        <v>4.8291320932793265E-2</v>
      </c>
    </row>
    <row r="16" spans="1:5" x14ac:dyDescent="0.25">
      <c r="A16" t="s">
        <v>139</v>
      </c>
      <c r="D16">
        <f>SUM(D6:D14)</f>
        <v>25429</v>
      </c>
    </row>
    <row r="18" spans="1:20" x14ac:dyDescent="0.25">
      <c r="A18" t="s">
        <v>224</v>
      </c>
      <c r="T18">
        <f>5*15</f>
        <v>75</v>
      </c>
    </row>
    <row r="19" spans="1:20" x14ac:dyDescent="0.25">
      <c r="A19" t="s">
        <v>136</v>
      </c>
      <c r="B19" t="s">
        <v>296</v>
      </c>
      <c r="C19" t="s">
        <v>297</v>
      </c>
      <c r="D19" t="s">
        <v>224</v>
      </c>
      <c r="E19" t="s">
        <v>138</v>
      </c>
      <c r="F19" t="s">
        <v>3</v>
      </c>
      <c r="H19" s="273" t="s">
        <v>299</v>
      </c>
      <c r="I19" s="194" t="s">
        <v>300</v>
      </c>
      <c r="J19" s="194" t="s">
        <v>301</v>
      </c>
    </row>
    <row r="20" spans="1:20" x14ac:dyDescent="0.25">
      <c r="A20" s="53" t="s">
        <v>13</v>
      </c>
      <c r="B20" s="28">
        <v>205</v>
      </c>
      <c r="C20" s="28">
        <v>246</v>
      </c>
      <c r="D20">
        <f>SUM(B20:C20)</f>
        <v>451</v>
      </c>
      <c r="E20" s="3">
        <f>D20/$D$30</f>
        <v>0.73572593800978792</v>
      </c>
      <c r="F20" s="3">
        <f>D20/D6</f>
        <v>0.23774380600948866</v>
      </c>
      <c r="H20" s="274">
        <v>0.14799999999999999</v>
      </c>
      <c r="I20" s="274">
        <v>0.20200000000000001</v>
      </c>
      <c r="J20" s="274">
        <v>0.156</v>
      </c>
    </row>
    <row r="21" spans="1:20" x14ac:dyDescent="0.25">
      <c r="A21" s="53" t="s">
        <v>14</v>
      </c>
      <c r="B21" s="28">
        <v>81</v>
      </c>
      <c r="C21" s="28">
        <v>37</v>
      </c>
      <c r="D21">
        <f t="shared" ref="D21:D28" si="2">SUM(B21:C21)</f>
        <v>118</v>
      </c>
      <c r="E21" s="3">
        <f t="shared" ref="E21:E28" si="3">D21/$D$30</f>
        <v>0.19249592169657423</v>
      </c>
      <c r="F21" s="3">
        <f t="shared" ref="F21:F28" si="4">D21/D7</f>
        <v>7.8197481776010602E-2</v>
      </c>
      <c r="H21" s="275">
        <v>0.08</v>
      </c>
      <c r="I21" s="275">
        <v>0.128</v>
      </c>
      <c r="J21" s="275">
        <v>4.8000000000000001E-2</v>
      </c>
    </row>
    <row r="22" spans="1:20" x14ac:dyDescent="0.25">
      <c r="A22" s="53" t="s">
        <v>15</v>
      </c>
      <c r="B22" s="28">
        <v>17</v>
      </c>
      <c r="C22" s="28">
        <v>9</v>
      </c>
      <c r="D22">
        <f t="shared" si="2"/>
        <v>26</v>
      </c>
      <c r="E22" s="3">
        <f t="shared" si="3"/>
        <v>4.2414355628058731E-2</v>
      </c>
      <c r="F22" s="3">
        <f t="shared" si="4"/>
        <v>1.1638316920322292E-2</v>
      </c>
      <c r="H22" s="275">
        <v>3.5999999999999997E-2</v>
      </c>
      <c r="I22" s="275">
        <v>3.5000000000000003E-2</v>
      </c>
      <c r="J22" s="275">
        <v>1.9E-2</v>
      </c>
    </row>
    <row r="23" spans="1:20" x14ac:dyDescent="0.25">
      <c r="A23" s="53" t="s">
        <v>16</v>
      </c>
      <c r="B23" s="59">
        <v>9</v>
      </c>
      <c r="C23" s="59">
        <v>4</v>
      </c>
      <c r="D23">
        <f t="shared" si="2"/>
        <v>13</v>
      </c>
      <c r="E23" s="3">
        <f t="shared" si="3"/>
        <v>2.1207177814029365E-2</v>
      </c>
      <c r="F23" s="3">
        <f>D23/D9</f>
        <v>4.2763157894736845E-3</v>
      </c>
      <c r="H23" s="275">
        <v>1.2999999999999999E-2</v>
      </c>
      <c r="I23" s="275">
        <v>0.01</v>
      </c>
      <c r="J23" s="275">
        <v>4.0000000000000001E-3</v>
      </c>
    </row>
    <row r="24" spans="1:20" x14ac:dyDescent="0.25">
      <c r="A24" s="53" t="s">
        <v>17</v>
      </c>
      <c r="B24" s="59">
        <v>2</v>
      </c>
      <c r="C24" s="59">
        <v>0</v>
      </c>
      <c r="D24">
        <f t="shared" si="2"/>
        <v>2</v>
      </c>
      <c r="E24" s="3">
        <f t="shared" si="3"/>
        <v>3.2626427406199023E-3</v>
      </c>
      <c r="F24" s="3">
        <f t="shared" si="4"/>
        <v>6.1143381228981959E-4</v>
      </c>
      <c r="H24" s="275">
        <v>4.0000000000000001E-3</v>
      </c>
      <c r="I24" s="275">
        <v>4.0000000000000001E-3</v>
      </c>
      <c r="J24" s="275">
        <v>3.0000000000000001E-3</v>
      </c>
    </row>
    <row r="25" spans="1:20" x14ac:dyDescent="0.25">
      <c r="A25" s="53" t="s">
        <v>18</v>
      </c>
      <c r="B25" s="59">
        <v>2</v>
      </c>
      <c r="C25" s="59">
        <v>0</v>
      </c>
      <c r="D25">
        <f t="shared" si="2"/>
        <v>2</v>
      </c>
      <c r="E25" s="3">
        <f t="shared" si="3"/>
        <v>3.2626427406199023E-3</v>
      </c>
      <c r="F25" s="3">
        <f t="shared" si="4"/>
        <v>4.5454545454545455E-4</v>
      </c>
      <c r="H25" s="275">
        <v>2E-3</v>
      </c>
      <c r="I25" s="275">
        <v>3.0000000000000001E-3</v>
      </c>
      <c r="J25" s="275">
        <v>1.4E-3</v>
      </c>
    </row>
    <row r="26" spans="1:20" x14ac:dyDescent="0.25">
      <c r="A26" s="53" t="s">
        <v>19</v>
      </c>
      <c r="B26" s="59">
        <v>1</v>
      </c>
      <c r="C26" s="59">
        <v>0</v>
      </c>
      <c r="D26">
        <f t="shared" si="2"/>
        <v>1</v>
      </c>
      <c r="E26" s="3">
        <f t="shared" si="3"/>
        <v>1.6313213703099511E-3</v>
      </c>
      <c r="F26" s="3">
        <f t="shared" si="4"/>
        <v>1.7403411068569441E-4</v>
      </c>
      <c r="H26" s="275">
        <v>2E-3</v>
      </c>
      <c r="I26" s="275">
        <v>0</v>
      </c>
      <c r="J26" s="275">
        <v>2.2000000000000001E-3</v>
      </c>
    </row>
    <row r="27" spans="1:20" x14ac:dyDescent="0.25">
      <c r="A27" s="54" t="s">
        <v>20</v>
      </c>
      <c r="B27" s="272">
        <v>0</v>
      </c>
      <c r="C27" s="272">
        <v>0</v>
      </c>
      <c r="D27">
        <f t="shared" si="2"/>
        <v>0</v>
      </c>
      <c r="E27" s="3">
        <f t="shared" si="3"/>
        <v>0</v>
      </c>
      <c r="F27" s="3">
        <f t="shared" si="4"/>
        <v>0</v>
      </c>
      <c r="H27" s="275">
        <v>2E-3</v>
      </c>
      <c r="I27" s="275">
        <v>0</v>
      </c>
      <c r="J27" s="275">
        <v>0</v>
      </c>
    </row>
    <row r="28" spans="1:20" x14ac:dyDescent="0.25">
      <c r="A28" s="54" t="s">
        <v>21</v>
      </c>
      <c r="B28" s="272">
        <v>0</v>
      </c>
      <c r="C28" s="272">
        <v>0</v>
      </c>
      <c r="D28">
        <f t="shared" si="2"/>
        <v>0</v>
      </c>
      <c r="E28" s="3">
        <f t="shared" si="3"/>
        <v>0</v>
      </c>
      <c r="F28" s="3">
        <f t="shared" si="4"/>
        <v>0</v>
      </c>
      <c r="H28" s="276">
        <v>0</v>
      </c>
      <c r="I28" s="276">
        <v>0</v>
      </c>
      <c r="J28" s="276">
        <v>0</v>
      </c>
    </row>
    <row r="30" spans="1:20" x14ac:dyDescent="0.25">
      <c r="A30" t="s">
        <v>139</v>
      </c>
      <c r="B30">
        <f t="shared" ref="B30:C30" si="5">SUM(B20:B28)</f>
        <v>317</v>
      </c>
      <c r="C30">
        <f t="shared" si="5"/>
        <v>296</v>
      </c>
      <c r="D30">
        <f>SUM(D20:D28)</f>
        <v>613</v>
      </c>
    </row>
    <row r="31" spans="1:20" x14ac:dyDescent="0.25">
      <c r="B31" s="3">
        <f>B30/D30</f>
        <v>0.5171288743882545</v>
      </c>
      <c r="C31" s="3">
        <f>C30/D30</f>
        <v>0.4828711256117455</v>
      </c>
    </row>
  </sheetData>
  <hyperlinks>
    <hyperlink ref="H19" r:id="rId1" location="case-fatality-rate-of-covid-19-by-age" display="Initial Chinese mortality" xr:uid="{0A2D38F3-CFFD-4A54-9984-E798414EC301}"/>
    <hyperlink ref="A1" r:id="rId2" xr:uid="{3ADD2D9D-B4A9-4463-94E6-52D945B549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2021-01-22T10:25:14Z</dcterms:modified>
</cp:coreProperties>
</file>