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B91E386E-A87A-4A84-88D6-FFB44058425E}" xr6:coauthVersionLast="46" xr6:coauthVersionMax="46" xr10:uidLastSave="{00000000-0000-0000-0000-000000000000}"/>
  <bookViews>
    <workbookView xWindow="2910" yWindow="1950" windowWidth="28800" windowHeight="15435"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32" i="1" l="1"/>
  <c r="AQ32" i="1"/>
  <c r="AO32" i="1"/>
  <c r="AN32" i="1"/>
  <c r="W32" i="1"/>
  <c r="X32" i="1"/>
  <c r="Y32" i="1"/>
  <c r="Z32" i="1"/>
  <c r="AA32" i="1"/>
  <c r="AB32" i="1"/>
  <c r="AC32" i="1"/>
  <c r="AD32" i="1"/>
  <c r="AE32" i="1"/>
  <c r="AF32" i="1"/>
  <c r="AG32" i="1"/>
  <c r="AH32" i="1"/>
  <c r="AI32" i="1"/>
  <c r="AJ32" i="1"/>
  <c r="AK32" i="1"/>
  <c r="AL32" i="1"/>
  <c r="AM32" i="1"/>
  <c r="V32" i="1"/>
  <c r="T32" i="1"/>
  <c r="U32" i="1"/>
  <c r="S32" i="1"/>
  <c r="L27" i="1"/>
  <c r="M27" i="1" s="1"/>
  <c r="L28" i="1"/>
  <c r="M28" i="1" s="1"/>
  <c r="N28" i="1" s="1"/>
  <c r="O28" i="1" s="1"/>
  <c r="P28" i="1" s="1"/>
  <c r="Q28" i="1" s="1"/>
  <c r="R28" i="1" s="1"/>
  <c r="AG55" i="1"/>
  <c r="N27" i="1" l="1"/>
  <c r="O27" i="1"/>
  <c r="P27" i="1" s="1"/>
  <c r="Q27" i="1" s="1"/>
  <c r="R27" i="1" s="1"/>
  <c r="AF55" i="1"/>
  <c r="AE55" i="1" l="1"/>
  <c r="AD55" i="1" l="1"/>
  <c r="AC55" i="1" l="1"/>
  <c r="B17" i="1" l="1"/>
  <c r="AR33" i="1" s="1"/>
  <c r="AB55" i="1" l="1"/>
  <c r="AA55" i="1" l="1"/>
  <c r="U55" i="1" l="1"/>
  <c r="V55" i="1"/>
  <c r="W55" i="1"/>
  <c r="X55" i="1"/>
  <c r="Y55" i="1"/>
  <c r="Z55" i="1"/>
  <c r="T55" i="1"/>
  <c r="S55" i="1"/>
  <c r="E34" i="4" l="1"/>
  <c r="C45" i="4"/>
  <c r="AQ29" i="1"/>
  <c r="AR52" i="1" s="1"/>
  <c r="AO33" i="1"/>
  <c r="AQ30" i="1"/>
  <c r="AN33" i="1"/>
  <c r="AP33" i="1"/>
  <c r="C20" i="1"/>
  <c r="C19" i="1"/>
  <c r="B76" i="1"/>
  <c r="B74" i="1"/>
  <c r="B72" i="1"/>
  <c r="B70" i="1"/>
  <c r="B68" i="1"/>
  <c r="B66" i="1"/>
  <c r="B64" i="1"/>
  <c r="B62" i="1"/>
  <c r="B60"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Q52" i="1" l="1"/>
  <c r="C21" i="5"/>
  <c r="B14" i="3"/>
  <c r="S51" i="1"/>
  <c r="AR30" i="1" l="1"/>
  <c r="AQ33" i="1"/>
  <c r="AR29" i="1" l="1"/>
  <c r="AR37" i="1" s="1"/>
  <c r="AR35" i="1"/>
  <c r="AR34" i="1"/>
  <c r="C5" i="5"/>
  <c r="C4" i="5"/>
  <c r="T28" i="1"/>
  <c r="U28" i="1" l="1"/>
  <c r="T53" i="1"/>
  <c r="V28" i="1" l="1"/>
  <c r="T51" i="1"/>
  <c r="S53" i="1"/>
  <c r="U39" i="1" s="1"/>
  <c r="S50" i="1"/>
  <c r="W28" i="1" l="1"/>
  <c r="V41" i="1"/>
  <c r="U51" i="1"/>
  <c r="S39" i="1"/>
  <c r="S40" i="1" s="1"/>
  <c r="S41" i="1"/>
  <c r="S42" i="1" s="1"/>
  <c r="X28" i="1" l="1"/>
  <c r="W41" i="1"/>
  <c r="V51" i="1"/>
  <c r="S37" i="1"/>
  <c r="S33" i="1"/>
  <c r="S35" i="1" s="1"/>
  <c r="S36" i="1" s="1"/>
  <c r="C12" i="5"/>
  <c r="C7" i="5"/>
  <c r="C8" i="5" s="1"/>
  <c r="C9" i="5" s="1"/>
  <c r="C18" i="5"/>
  <c r="C15" i="5"/>
  <c r="C24" i="5"/>
  <c r="C3" i="5"/>
  <c r="S38" i="1" l="1"/>
  <c r="S31" i="1" s="1"/>
  <c r="Y28" i="1"/>
  <c r="C30" i="5"/>
  <c r="S34" i="1"/>
  <c r="W51" i="1"/>
  <c r="C34" i="5"/>
  <c r="Z28" i="1" l="1"/>
  <c r="X51" i="1"/>
  <c r="C13" i="5"/>
  <c r="C14" i="5" s="1"/>
  <c r="S46" i="1"/>
  <c r="S44" i="1"/>
  <c r="S47" i="1"/>
  <c r="S45" i="1"/>
  <c r="AA28" i="1" l="1"/>
  <c r="Y51" i="1"/>
  <c r="AR43" i="1"/>
  <c r="AR41" i="1"/>
  <c r="AR39" i="1"/>
  <c r="C22" i="5"/>
  <c r="C23" i="5" s="1"/>
  <c r="C35" i="5"/>
  <c r="C40" i="5" s="1"/>
  <c r="C25" i="5"/>
  <c r="C19" i="5"/>
  <c r="C20" i="5" s="1"/>
  <c r="C16" i="5"/>
  <c r="C17" i="5" s="1"/>
  <c r="C31" i="5"/>
  <c r="AP25" i="4"/>
  <c r="E31" i="4"/>
  <c r="B17" i="4" s="1"/>
  <c r="AA53"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3" i="1"/>
  <c r="S84"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1" i="1" s="1"/>
  <c r="W23" i="4"/>
  <c r="W18" i="4"/>
  <c r="W19" i="4" s="1"/>
  <c r="AF20" i="4"/>
  <c r="W22" i="4"/>
  <c r="Z21" i="4"/>
  <c r="AN24" i="4" s="1"/>
  <c r="Z23" i="4"/>
  <c r="Z22" i="4"/>
  <c r="Z17" i="4"/>
  <c r="C93" i="1"/>
  <c r="C91" i="1"/>
  <c r="C89" i="1"/>
  <c r="C87" i="1"/>
  <c r="C85" i="1"/>
  <c r="C83" i="1"/>
  <c r="S43" i="1"/>
  <c r="D62" i="1"/>
  <c r="AL47" i="1" l="1"/>
  <c r="AL46" i="1"/>
  <c r="AL45" i="1"/>
  <c r="AL50" i="1"/>
  <c r="AL44" i="1"/>
  <c r="AM28" i="1"/>
  <c r="AM51" i="1" s="1"/>
  <c r="Z18" i="4"/>
  <c r="Z19" i="4" s="1"/>
  <c r="AI20" i="4"/>
  <c r="AC21" i="4"/>
  <c r="AC22" i="4"/>
  <c r="AC23" i="4"/>
  <c r="AC17" i="4"/>
  <c r="D66" i="1"/>
  <c r="D60" i="1"/>
  <c r="D76" i="1"/>
  <c r="D74" i="1"/>
  <c r="D72" i="1"/>
  <c r="D70" i="1"/>
  <c r="D68" i="1"/>
  <c r="D64" i="1"/>
  <c r="C10" i="5"/>
  <c r="C26" i="5" s="1"/>
  <c r="C27" i="5" s="1"/>
  <c r="C11" i="5"/>
  <c r="S63" i="1"/>
  <c r="S93" i="1"/>
  <c r="S91" i="1"/>
  <c r="S89" i="1"/>
  <c r="S90" i="1" s="1"/>
  <c r="S87" i="1"/>
  <c r="S88" i="1" s="1"/>
  <c r="S85" i="1"/>
  <c r="S86" i="1" s="1"/>
  <c r="C62" i="1"/>
  <c r="C64" i="1"/>
  <c r="C66" i="1"/>
  <c r="C68" i="1"/>
  <c r="C70" i="1"/>
  <c r="C72" i="1"/>
  <c r="C74" i="1"/>
  <c r="C76" i="1"/>
  <c r="C60" i="1"/>
  <c r="S30" i="1"/>
  <c r="T29" i="1"/>
  <c r="AM50" i="1" l="1"/>
  <c r="AN28" i="1"/>
  <c r="AO28" i="1" s="1"/>
  <c r="AP28" i="1" s="1"/>
  <c r="C28" i="5"/>
  <c r="C29" i="5" s="1"/>
  <c r="AL20" i="4"/>
  <c r="AC18" i="4"/>
  <c r="AC19" i="4" s="1"/>
  <c r="S77" i="1"/>
  <c r="T39" i="1"/>
  <c r="T41" i="1"/>
  <c r="T42" i="1" s="1"/>
  <c r="T37" i="1"/>
  <c r="T38" i="1" s="1"/>
  <c r="T44" i="1"/>
  <c r="T47" i="1"/>
  <c r="T50" i="1"/>
  <c r="T45" i="1"/>
  <c r="T46" i="1"/>
  <c r="T33" i="1"/>
  <c r="AF22" i="4"/>
  <c r="AF23" i="4"/>
  <c r="AF21" i="4"/>
  <c r="AF17" i="4"/>
  <c r="S61" i="1"/>
  <c r="S60" i="1"/>
  <c r="S69" i="1"/>
  <c r="S68" i="1"/>
  <c r="S72" i="1"/>
  <c r="S71" i="1"/>
  <c r="S74" i="1"/>
  <c r="S64" i="1"/>
  <c r="U29" i="1"/>
  <c r="U37" i="1" s="1"/>
  <c r="U38" i="1" s="1"/>
  <c r="T87" i="1"/>
  <c r="T88" i="1" s="1"/>
  <c r="S65" i="1"/>
  <c r="T76" i="1"/>
  <c r="T85" i="1"/>
  <c r="T86" i="1" s="1"/>
  <c r="S73" i="1"/>
  <c r="T74" i="1"/>
  <c r="T93" i="1"/>
  <c r="S62" i="1"/>
  <c r="S70" i="1"/>
  <c r="T91" i="1"/>
  <c r="T92" i="1" s="1"/>
  <c r="T89" i="1"/>
  <c r="T90" i="1" s="1"/>
  <c r="T72" i="1"/>
  <c r="T65" i="1"/>
  <c r="T69" i="1"/>
  <c r="T73" i="1"/>
  <c r="T77" i="1"/>
  <c r="S95" i="1"/>
  <c r="T83" i="1"/>
  <c r="T84" i="1" s="1"/>
  <c r="S66" i="1"/>
  <c r="T62" i="1"/>
  <c r="S67" i="1"/>
  <c r="S75" i="1"/>
  <c r="T66" i="1"/>
  <c r="T63" i="1"/>
  <c r="T70" i="1"/>
  <c r="S76" i="1"/>
  <c r="T60" i="1"/>
  <c r="T67" i="1"/>
  <c r="T71" i="1"/>
  <c r="T75" i="1"/>
  <c r="T64" i="1"/>
  <c r="T61" i="1"/>
  <c r="T68" i="1"/>
  <c r="S92" i="1"/>
  <c r="S96" i="1" s="1"/>
  <c r="T30" i="1"/>
  <c r="T43" i="1"/>
  <c r="AO51" i="1" l="1"/>
  <c r="AO50" i="1"/>
  <c r="AN50" i="1"/>
  <c r="AN51" i="1"/>
  <c r="AQ28" i="1"/>
  <c r="AR28" i="1" s="1"/>
  <c r="AR53" i="1" s="1"/>
  <c r="AP50" i="1"/>
  <c r="AP51" i="1"/>
  <c r="AO20" i="4"/>
  <c r="AF18" i="4"/>
  <c r="AF19" i="4" s="1"/>
  <c r="T40" i="1"/>
  <c r="T31" i="1" s="1"/>
  <c r="U85" i="1"/>
  <c r="U86" i="1" s="1"/>
  <c r="U66" i="1"/>
  <c r="U41" i="1"/>
  <c r="U42" i="1" s="1"/>
  <c r="U91" i="1"/>
  <c r="U92" i="1" s="1"/>
  <c r="U62" i="1"/>
  <c r="U61" i="1"/>
  <c r="U83" i="1"/>
  <c r="U84" i="1" s="1"/>
  <c r="U63" i="1"/>
  <c r="U30" i="1"/>
  <c r="T34" i="1"/>
  <c r="T35" i="1"/>
  <c r="T36" i="1" s="1"/>
  <c r="U53" i="1"/>
  <c r="V29" i="1"/>
  <c r="V37" i="1" s="1"/>
  <c r="V38" i="1" s="1"/>
  <c r="U33" i="1"/>
  <c r="U43" i="1"/>
  <c r="U76" i="1"/>
  <c r="U75" i="1"/>
  <c r="U87" i="1"/>
  <c r="U88" i="1" s="1"/>
  <c r="U71" i="1"/>
  <c r="U70" i="1"/>
  <c r="U46" i="1"/>
  <c r="U44" i="1"/>
  <c r="U47" i="1"/>
  <c r="U50" i="1"/>
  <c r="U45" i="1"/>
  <c r="AI23" i="4"/>
  <c r="AI21" i="4"/>
  <c r="AI22" i="4"/>
  <c r="AI17" i="4"/>
  <c r="AI18" i="4" s="1"/>
  <c r="S79" i="1"/>
  <c r="T79" i="1"/>
  <c r="U73" i="1"/>
  <c r="U72" i="1"/>
  <c r="U68" i="1"/>
  <c r="U65" i="1"/>
  <c r="U67" i="1"/>
  <c r="U60" i="1"/>
  <c r="U69" i="1"/>
  <c r="U74" i="1"/>
  <c r="U93" i="1"/>
  <c r="U64" i="1"/>
  <c r="U89" i="1"/>
  <c r="U90" i="1" s="1"/>
  <c r="U77" i="1"/>
  <c r="T95" i="1"/>
  <c r="S78" i="1"/>
  <c r="T78" i="1"/>
  <c r="T96" i="1"/>
  <c r="AQ53" i="1" l="1"/>
  <c r="AQ50" i="1"/>
  <c r="AQ51" i="1"/>
  <c r="V67" i="1"/>
  <c r="V65" i="1"/>
  <c r="V63" i="1"/>
  <c r="V77" i="1"/>
  <c r="V85" i="1"/>
  <c r="V86" i="1" s="1"/>
  <c r="V73" i="1"/>
  <c r="V72" i="1"/>
  <c r="V64" i="1"/>
  <c r="V75" i="1"/>
  <c r="V70" i="1"/>
  <c r="V93" i="1"/>
  <c r="V60" i="1"/>
  <c r="V71" i="1"/>
  <c r="V69" i="1"/>
  <c r="V62" i="1"/>
  <c r="V83" i="1"/>
  <c r="V84" i="1" s="1"/>
  <c r="V66" i="1"/>
  <c r="W29" i="1"/>
  <c r="W72" i="1" s="1"/>
  <c r="V76" i="1"/>
  <c r="V74" i="1"/>
  <c r="V43" i="1"/>
  <c r="V87" i="1"/>
  <c r="V88" i="1" s="1"/>
  <c r="U96" i="1"/>
  <c r="V61" i="1"/>
  <c r="V89" i="1"/>
  <c r="V90" i="1" s="1"/>
  <c r="V91" i="1"/>
  <c r="V92" i="1" s="1"/>
  <c r="V30" i="1"/>
  <c r="V68" i="1"/>
  <c r="V53" i="1"/>
  <c r="U34" i="1"/>
  <c r="U35" i="1"/>
  <c r="U36" i="1" s="1"/>
  <c r="V45" i="1"/>
  <c r="V46" i="1"/>
  <c r="V47" i="1"/>
  <c r="V50" i="1"/>
  <c r="V44" i="1"/>
  <c r="U95" i="1"/>
  <c r="V33" i="1"/>
  <c r="AL22" i="4"/>
  <c r="AL21" i="4"/>
  <c r="AL23" i="4"/>
  <c r="AL17" i="4"/>
  <c r="AL18" i="4" s="1"/>
  <c r="AI19" i="4"/>
  <c r="U78" i="1"/>
  <c r="U79" i="1"/>
  <c r="W76" i="1" l="1"/>
  <c r="W73" i="1"/>
  <c r="W85" i="1"/>
  <c r="W86" i="1" s="1"/>
  <c r="W70" i="1"/>
  <c r="W71" i="1"/>
  <c r="W62" i="1"/>
  <c r="W68" i="1"/>
  <c r="W83" i="1"/>
  <c r="W84" i="1" s="1"/>
  <c r="V79" i="1"/>
  <c r="W69" i="1"/>
  <c r="W61" i="1"/>
  <c r="W91" i="1"/>
  <c r="W92" i="1" s="1"/>
  <c r="W75" i="1"/>
  <c r="W67" i="1"/>
  <c r="W74" i="1"/>
  <c r="W89" i="1"/>
  <c r="W90" i="1" s="1"/>
  <c r="V96" i="1"/>
  <c r="W37" i="1"/>
  <c r="W38" i="1" s="1"/>
  <c r="W30" i="1"/>
  <c r="W63" i="1"/>
  <c r="W64" i="1"/>
  <c r="W87" i="1"/>
  <c r="W88" i="1" s="1"/>
  <c r="W33" i="1"/>
  <c r="W35" i="1" s="1"/>
  <c r="W36" i="1" s="1"/>
  <c r="W43" i="1"/>
  <c r="W66" i="1"/>
  <c r="X29" i="1"/>
  <c r="X73" i="1" s="1"/>
  <c r="W77" i="1"/>
  <c r="V78" i="1"/>
  <c r="W65" i="1"/>
  <c r="W93" i="1"/>
  <c r="V95" i="1"/>
  <c r="W60" i="1"/>
  <c r="W53" i="1"/>
  <c r="V34" i="1"/>
  <c r="V35" i="1"/>
  <c r="V36" i="1" s="1"/>
  <c r="W45" i="1"/>
  <c r="W50" i="1"/>
  <c r="W46" i="1"/>
  <c r="W47" i="1"/>
  <c r="W44" i="1"/>
  <c r="AO21" i="4"/>
  <c r="AO22" i="4"/>
  <c r="AO23" i="4"/>
  <c r="AO17" i="4"/>
  <c r="AO18" i="4" s="1"/>
  <c r="AO19" i="4" s="1"/>
  <c r="AL19" i="4"/>
  <c r="X70" i="1"/>
  <c r="X60" i="1"/>
  <c r="X63" i="1" l="1"/>
  <c r="W78" i="1"/>
  <c r="W96" i="1"/>
  <c r="X76" i="1"/>
  <c r="X43" i="1"/>
  <c r="Y29" i="1"/>
  <c r="Y74" i="1" s="1"/>
  <c r="X65" i="1"/>
  <c r="X91" i="1"/>
  <c r="X92" i="1" s="1"/>
  <c r="X71" i="1"/>
  <c r="X72" i="1"/>
  <c r="W95" i="1"/>
  <c r="X68" i="1"/>
  <c r="W79" i="1"/>
  <c r="X30" i="1"/>
  <c r="X66" i="1"/>
  <c r="X89" i="1"/>
  <c r="X90" i="1" s="1"/>
  <c r="X37" i="1"/>
  <c r="X85" i="1"/>
  <c r="X86" i="1" s="1"/>
  <c r="X67" i="1"/>
  <c r="X33" i="1"/>
  <c r="X34" i="1" s="1"/>
  <c r="X75" i="1"/>
  <c r="X74" i="1"/>
  <c r="X69" i="1"/>
  <c r="X87" i="1"/>
  <c r="X88" i="1" s="1"/>
  <c r="X62" i="1"/>
  <c r="X83" i="1"/>
  <c r="X84" i="1" s="1"/>
  <c r="X93" i="1"/>
  <c r="X64" i="1"/>
  <c r="W34" i="1"/>
  <c r="X61" i="1"/>
  <c r="X77" i="1"/>
  <c r="Y33" i="1"/>
  <c r="Y37" i="1"/>
  <c r="X53" i="1"/>
  <c r="X45" i="1"/>
  <c r="X46" i="1"/>
  <c r="X44" i="1"/>
  <c r="X47" i="1"/>
  <c r="X50" i="1"/>
  <c r="Y43" i="1" l="1"/>
  <c r="Y71" i="1"/>
  <c r="Y83" i="1"/>
  <c r="Y84" i="1" s="1"/>
  <c r="Y93" i="1"/>
  <c r="Y68" i="1"/>
  <c r="Y69" i="1"/>
  <c r="Y61" i="1"/>
  <c r="Y75" i="1"/>
  <c r="Y62" i="1"/>
  <c r="Y60" i="1"/>
  <c r="Y65" i="1"/>
  <c r="Y72" i="1"/>
  <c r="Y73" i="1"/>
  <c r="Y30" i="1"/>
  <c r="Y85" i="1"/>
  <c r="Y86" i="1" s="1"/>
  <c r="Y70" i="1"/>
  <c r="Y63" i="1"/>
  <c r="Y89" i="1"/>
  <c r="Y90" i="1" s="1"/>
  <c r="Y87" i="1"/>
  <c r="Y88" i="1" s="1"/>
  <c r="Y67" i="1"/>
  <c r="Y66" i="1"/>
  <c r="Z29" i="1"/>
  <c r="Z70" i="1" s="1"/>
  <c r="Y77" i="1"/>
  <c r="Y76" i="1"/>
  <c r="Y91" i="1"/>
  <c r="Y92" i="1" s="1"/>
  <c r="Y64" i="1"/>
  <c r="X96" i="1"/>
  <c r="X79" i="1"/>
  <c r="X95" i="1"/>
  <c r="X78" i="1"/>
  <c r="X35" i="1"/>
  <c r="Y53" i="1"/>
  <c r="Y34" i="1"/>
  <c r="Y35" i="1"/>
  <c r="Y45" i="1"/>
  <c r="Y46" i="1"/>
  <c r="Y47" i="1"/>
  <c r="Y44" i="1"/>
  <c r="Y50" i="1"/>
  <c r="Z73" i="1" l="1"/>
  <c r="Z85" i="1"/>
  <c r="Z86" i="1" s="1"/>
  <c r="Z60" i="1"/>
  <c r="Z83" i="1"/>
  <c r="Z84" i="1" s="1"/>
  <c r="Z43" i="1"/>
  <c r="Z71" i="1"/>
  <c r="Z76" i="1"/>
  <c r="Z93" i="1"/>
  <c r="Z65" i="1"/>
  <c r="AA29" i="1"/>
  <c r="AA37" i="1" s="1"/>
  <c r="Z72" i="1"/>
  <c r="Z77" i="1"/>
  <c r="Z61" i="1"/>
  <c r="Y78" i="1"/>
  <c r="Z67" i="1"/>
  <c r="Y79" i="1"/>
  <c r="Y95" i="1"/>
  <c r="Z63" i="1"/>
  <c r="Z74" i="1"/>
  <c r="Z69" i="1"/>
  <c r="Z68" i="1"/>
  <c r="Z87" i="1"/>
  <c r="Z88" i="1" s="1"/>
  <c r="Y96" i="1"/>
  <c r="Z33" i="1"/>
  <c r="Z34" i="1" s="1"/>
  <c r="Z89" i="1"/>
  <c r="Z90" i="1" s="1"/>
  <c r="Z37" i="1"/>
  <c r="Z30" i="1"/>
  <c r="Z62" i="1"/>
  <c r="Z64" i="1"/>
  <c r="Z75" i="1"/>
  <c r="Z91" i="1"/>
  <c r="Z92" i="1" s="1"/>
  <c r="Z66" i="1"/>
  <c r="Z53" i="1"/>
  <c r="Z51" i="1"/>
  <c r="Z50" i="1"/>
  <c r="Z45" i="1"/>
  <c r="Z47" i="1"/>
  <c r="Z46" i="1"/>
  <c r="Z44" i="1"/>
  <c r="AA73" i="1" l="1"/>
  <c r="AA76" i="1"/>
  <c r="AA77" i="1"/>
  <c r="AA30" i="1"/>
  <c r="AA91" i="1"/>
  <c r="AA92" i="1" s="1"/>
  <c r="AA89" i="1"/>
  <c r="AA90" i="1" s="1"/>
  <c r="AA87" i="1"/>
  <c r="AA88" i="1" s="1"/>
  <c r="AA68" i="1"/>
  <c r="AA85" i="1"/>
  <c r="AA86" i="1" s="1"/>
  <c r="AA71" i="1"/>
  <c r="AA63" i="1"/>
  <c r="AA61" i="1"/>
  <c r="AA60" i="1"/>
  <c r="AA69" i="1"/>
  <c r="AA75" i="1"/>
  <c r="AA43" i="1"/>
  <c r="AA62" i="1"/>
  <c r="AA70" i="1"/>
  <c r="AA74" i="1"/>
  <c r="AA83" i="1"/>
  <c r="AA84" i="1" s="1"/>
  <c r="AA67" i="1"/>
  <c r="AA72" i="1"/>
  <c r="AA66" i="1"/>
  <c r="AA65" i="1"/>
  <c r="AB29" i="1"/>
  <c r="AB43" i="1" s="1"/>
  <c r="AA64" i="1"/>
  <c r="AA93" i="1"/>
  <c r="AA33" i="1"/>
  <c r="AA34" i="1" s="1"/>
  <c r="Z79" i="1"/>
  <c r="Z35" i="1"/>
  <c r="Z78" i="1"/>
  <c r="Z95" i="1"/>
  <c r="Z96" i="1"/>
  <c r="AA50" i="1"/>
  <c r="AA51" i="1"/>
  <c r="AA45" i="1"/>
  <c r="AA47" i="1"/>
  <c r="AA44" i="1"/>
  <c r="AA46" i="1"/>
  <c r="AB33" i="1" l="1"/>
  <c r="AB34" i="1" s="1"/>
  <c r="AB30" i="1"/>
  <c r="AB66" i="1"/>
  <c r="AB89" i="1"/>
  <c r="AB90" i="1" s="1"/>
  <c r="AB93" i="1"/>
  <c r="AA96" i="1"/>
  <c r="AA95" i="1"/>
  <c r="AA79" i="1"/>
  <c r="AA78" i="1"/>
  <c r="AB63" i="1"/>
  <c r="AB65" i="1"/>
  <c r="AB73" i="1"/>
  <c r="AB60" i="1"/>
  <c r="AC29" i="1"/>
  <c r="AC37" i="1" s="1"/>
  <c r="AB74" i="1"/>
  <c r="AB87" i="1"/>
  <c r="AB88" i="1" s="1"/>
  <c r="AB83" i="1"/>
  <c r="AB84" i="1" s="1"/>
  <c r="AB76" i="1"/>
  <c r="AB85" i="1"/>
  <c r="AB86" i="1" s="1"/>
  <c r="AB71" i="1"/>
  <c r="AB67" i="1"/>
  <c r="AB72" i="1"/>
  <c r="AB62" i="1"/>
  <c r="AB37" i="1"/>
  <c r="AB70" i="1"/>
  <c r="AB68" i="1"/>
  <c r="AB61" i="1"/>
  <c r="AB77" i="1"/>
  <c r="AB69" i="1"/>
  <c r="AB91" i="1"/>
  <c r="AB92" i="1" s="1"/>
  <c r="AB75" i="1"/>
  <c r="AB64" i="1"/>
  <c r="AA35" i="1"/>
  <c r="AB53" i="1"/>
  <c r="AB51" i="1"/>
  <c r="AB50" i="1"/>
  <c r="AB46" i="1"/>
  <c r="AB47" i="1"/>
  <c r="AB44" i="1"/>
  <c r="AB45" i="1"/>
  <c r="AB35" i="1" l="1"/>
  <c r="AC65" i="1"/>
  <c r="AC70" i="1"/>
  <c r="AC68" i="1"/>
  <c r="AC85" i="1"/>
  <c r="AC86" i="1" s="1"/>
  <c r="AC72" i="1"/>
  <c r="AB78" i="1"/>
  <c r="AC76" i="1"/>
  <c r="AC83" i="1"/>
  <c r="AC84" i="1" s="1"/>
  <c r="AC62" i="1"/>
  <c r="AC69" i="1"/>
  <c r="AC43" i="1"/>
  <c r="AC87" i="1"/>
  <c r="AC88" i="1" s="1"/>
  <c r="AC74" i="1"/>
  <c r="AC71" i="1"/>
  <c r="AC77" i="1"/>
  <c r="AC63" i="1"/>
  <c r="AC67" i="1"/>
  <c r="AC89" i="1"/>
  <c r="AC90" i="1" s="1"/>
  <c r="AC75" i="1"/>
  <c r="AD29" i="1"/>
  <c r="AD30" i="1" s="1"/>
  <c r="AC60" i="1"/>
  <c r="AC33" i="1"/>
  <c r="AC35" i="1" s="1"/>
  <c r="AB79" i="1"/>
  <c r="AC73" i="1"/>
  <c r="AC66" i="1"/>
  <c r="AC91" i="1"/>
  <c r="AC92" i="1" s="1"/>
  <c r="AC61" i="1"/>
  <c r="AC64" i="1"/>
  <c r="AC93" i="1"/>
  <c r="AC30" i="1"/>
  <c r="AB95" i="1"/>
  <c r="AB96" i="1"/>
  <c r="AC53" i="1"/>
  <c r="AC51" i="1"/>
  <c r="AC50" i="1"/>
  <c r="AC47" i="1"/>
  <c r="AC44" i="1"/>
  <c r="AC46" i="1"/>
  <c r="AC45" i="1"/>
  <c r="AD74" i="1" l="1"/>
  <c r="AC34" i="1"/>
  <c r="AD87" i="1"/>
  <c r="AD88" i="1" s="1"/>
  <c r="AD72" i="1"/>
  <c r="AD65" i="1"/>
  <c r="AD91" i="1"/>
  <c r="AD92" i="1" s="1"/>
  <c r="AD93" i="1"/>
  <c r="AD77" i="1"/>
  <c r="AD67" i="1"/>
  <c r="AD68" i="1"/>
  <c r="AD66" i="1"/>
  <c r="AD63" i="1"/>
  <c r="AD76" i="1"/>
  <c r="AD60" i="1"/>
  <c r="AC95" i="1"/>
  <c r="AC78" i="1"/>
  <c r="AD70" i="1"/>
  <c r="AD75" i="1"/>
  <c r="AD43" i="1"/>
  <c r="AD73" i="1"/>
  <c r="AD37" i="1"/>
  <c r="AD64" i="1"/>
  <c r="AD62" i="1"/>
  <c r="AE29" i="1"/>
  <c r="AE37" i="1" s="1"/>
  <c r="AD61" i="1"/>
  <c r="AD33" i="1"/>
  <c r="AD35" i="1" s="1"/>
  <c r="AD71" i="1"/>
  <c r="AD89" i="1"/>
  <c r="AD90" i="1" s="1"/>
  <c r="AD69" i="1"/>
  <c r="AC79" i="1"/>
  <c r="AC96" i="1"/>
  <c r="AD85" i="1"/>
  <c r="AD86" i="1" s="1"/>
  <c r="AD83" i="1"/>
  <c r="AD84" i="1" s="1"/>
  <c r="AD51" i="1"/>
  <c r="AD53" i="1"/>
  <c r="AD44" i="1"/>
  <c r="AD46" i="1"/>
  <c r="AD50" i="1"/>
  <c r="AD45" i="1"/>
  <c r="AD47" i="1"/>
  <c r="AE85" i="1" l="1"/>
  <c r="AE86" i="1" s="1"/>
  <c r="AE74" i="1"/>
  <c r="AE67" i="1"/>
  <c r="AE64" i="1"/>
  <c r="AE70" i="1"/>
  <c r="AE93" i="1"/>
  <c r="AE30" i="1"/>
  <c r="AE87" i="1"/>
  <c r="AE88" i="1" s="1"/>
  <c r="AE63" i="1"/>
  <c r="AE33" i="1"/>
  <c r="AE34" i="1" s="1"/>
  <c r="AD79" i="1"/>
  <c r="AE71" i="1"/>
  <c r="AE68" i="1"/>
  <c r="AD78" i="1"/>
  <c r="AE60" i="1"/>
  <c r="AE61" i="1"/>
  <c r="AE69" i="1"/>
  <c r="AE65" i="1"/>
  <c r="AE62" i="1"/>
  <c r="AE72" i="1"/>
  <c r="AE89" i="1"/>
  <c r="AE90" i="1" s="1"/>
  <c r="AE75" i="1"/>
  <c r="AE66" i="1"/>
  <c r="AD34" i="1"/>
  <c r="AE76" i="1"/>
  <c r="AF29" i="1"/>
  <c r="AF37" i="1" s="1"/>
  <c r="AE91" i="1"/>
  <c r="AE92" i="1" s="1"/>
  <c r="AD95" i="1"/>
  <c r="AE83" i="1"/>
  <c r="AE84" i="1" s="1"/>
  <c r="AE73" i="1"/>
  <c r="AE77" i="1"/>
  <c r="AE43" i="1"/>
  <c r="AD96" i="1"/>
  <c r="AE51" i="1"/>
  <c r="AE53" i="1"/>
  <c r="AE44" i="1"/>
  <c r="AE46" i="1"/>
  <c r="AE47" i="1"/>
  <c r="AE50" i="1"/>
  <c r="AE45" i="1"/>
  <c r="AE78" i="1" l="1"/>
  <c r="AE35" i="1"/>
  <c r="AF66" i="1"/>
  <c r="AE96" i="1"/>
  <c r="AF64" i="1"/>
  <c r="AF70" i="1"/>
  <c r="AF65" i="1"/>
  <c r="AG29" i="1"/>
  <c r="AG77" i="1" s="1"/>
  <c r="AF33" i="1"/>
  <c r="AF35" i="1" s="1"/>
  <c r="AF87" i="1"/>
  <c r="AF88" i="1" s="1"/>
  <c r="AF72" i="1"/>
  <c r="AF43" i="1"/>
  <c r="AF73" i="1"/>
  <c r="AF67" i="1"/>
  <c r="AF76" i="1"/>
  <c r="AF62" i="1"/>
  <c r="AF74" i="1"/>
  <c r="AE79" i="1"/>
  <c r="AF63" i="1"/>
  <c r="AF85" i="1"/>
  <c r="AF86" i="1" s="1"/>
  <c r="AF30" i="1"/>
  <c r="AF77" i="1"/>
  <c r="AF60" i="1"/>
  <c r="AF71" i="1"/>
  <c r="AF93" i="1"/>
  <c r="AF61" i="1"/>
  <c r="AF69" i="1"/>
  <c r="AE95" i="1"/>
  <c r="AF83" i="1"/>
  <c r="AF68" i="1"/>
  <c r="AF75" i="1"/>
  <c r="AF91" i="1"/>
  <c r="AF92" i="1" s="1"/>
  <c r="AF89" i="1"/>
  <c r="AF90" i="1" s="1"/>
  <c r="AF51" i="1"/>
  <c r="AF53" i="1"/>
  <c r="AG33" i="1"/>
  <c r="AF47" i="1"/>
  <c r="AF46" i="1"/>
  <c r="AF44" i="1"/>
  <c r="AF50" i="1"/>
  <c r="AF45" i="1"/>
  <c r="AG64" i="1"/>
  <c r="AG85" i="1"/>
  <c r="AG86" i="1" s="1"/>
  <c r="AG62" i="1"/>
  <c r="AG72" i="1"/>
  <c r="AG67" i="1" l="1"/>
  <c r="AG37" i="1"/>
  <c r="AG68" i="1"/>
  <c r="AG66" i="1"/>
  <c r="AG63" i="1"/>
  <c r="AG75" i="1"/>
  <c r="AG76" i="1"/>
  <c r="AG60" i="1"/>
  <c r="AH29" i="1"/>
  <c r="AG93" i="1"/>
  <c r="AG71" i="1"/>
  <c r="AG61" i="1"/>
  <c r="AG73" i="1"/>
  <c r="AG87" i="1"/>
  <c r="AG88" i="1" s="1"/>
  <c r="AG69" i="1"/>
  <c r="AF34" i="1"/>
  <c r="AF79" i="1"/>
  <c r="U40" i="1"/>
  <c r="V42" i="1"/>
  <c r="V39" i="1"/>
  <c r="W42" i="1"/>
  <c r="X36" i="1"/>
  <c r="X41" i="1"/>
  <c r="X42" i="1" s="1"/>
  <c r="Y41" i="1"/>
  <c r="Y42" i="1" s="1"/>
  <c r="Y36" i="1"/>
  <c r="Z36" i="1"/>
  <c r="Z41" i="1"/>
  <c r="Z42" i="1" s="1"/>
  <c r="X38" i="1"/>
  <c r="Y38" i="1"/>
  <c r="Z38" i="1"/>
  <c r="AF95" i="1"/>
  <c r="AF78" i="1"/>
  <c r="AG30" i="1"/>
  <c r="AG74" i="1"/>
  <c r="AF84" i="1"/>
  <c r="AF96" i="1" s="1"/>
  <c r="AG65" i="1"/>
  <c r="AG70" i="1"/>
  <c r="AG43" i="1"/>
  <c r="AG83" i="1"/>
  <c r="AG84" i="1" s="1"/>
  <c r="AG89" i="1"/>
  <c r="AG90" i="1" s="1"/>
  <c r="AG91" i="1"/>
  <c r="AG92"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1" i="1"/>
  <c r="AG53" i="1"/>
  <c r="AG34" i="1"/>
  <c r="AG35" i="1"/>
  <c r="AG47" i="1"/>
  <c r="AG44" i="1"/>
  <c r="AG46" i="1"/>
  <c r="AG50" i="1"/>
  <c r="AG45" i="1"/>
  <c r="AH43" i="1"/>
  <c r="AH65" i="1"/>
  <c r="AH61" i="1"/>
  <c r="AH70" i="1"/>
  <c r="AH91" i="1"/>
  <c r="AH92" i="1" s="1"/>
  <c r="AH69" i="1"/>
  <c r="AH62" i="1"/>
  <c r="AH67" i="1"/>
  <c r="AH83" i="1"/>
  <c r="AH73" i="1"/>
  <c r="AH30" i="1"/>
  <c r="AH85" i="1"/>
  <c r="AH86" i="1" s="1"/>
  <c r="AH76" i="1"/>
  <c r="AH75" i="1"/>
  <c r="AH74" i="1"/>
  <c r="AH68" i="1"/>
  <c r="AH63" i="1" l="1"/>
  <c r="AH52" i="1"/>
  <c r="AB40" i="1"/>
  <c r="AB31" i="1" s="1"/>
  <c r="AA40" i="1"/>
  <c r="AA31" i="1" s="1"/>
  <c r="V40" i="1"/>
  <c r="V31" i="1" s="1"/>
  <c r="Z31" i="1"/>
  <c r="AG78" i="1"/>
  <c r="AG79" i="1"/>
  <c r="AH72" i="1"/>
  <c r="AH71" i="1"/>
  <c r="AH87" i="1"/>
  <c r="AH88" i="1" s="1"/>
  <c r="AH93" i="1"/>
  <c r="AH66" i="1"/>
  <c r="AI29" i="1"/>
  <c r="AH37" i="1"/>
  <c r="AH89" i="1"/>
  <c r="AH90" i="1" s="1"/>
  <c r="AH60" i="1"/>
  <c r="AH77" i="1"/>
  <c r="AH64" i="1"/>
  <c r="AC40" i="1"/>
  <c r="AC31" i="1" s="1"/>
  <c r="U31" i="1"/>
  <c r="AG95" i="1"/>
  <c r="AG96" i="1"/>
  <c r="W40" i="1"/>
  <c r="W31" i="1" s="1"/>
  <c r="X31" i="1"/>
  <c r="Y31" i="1"/>
  <c r="AH53" i="1"/>
  <c r="AH51" i="1"/>
  <c r="AH34" i="1"/>
  <c r="AH35" i="1"/>
  <c r="AH44" i="1"/>
  <c r="AH46" i="1"/>
  <c r="AH50" i="1"/>
  <c r="AH45" i="1"/>
  <c r="AH47" i="1"/>
  <c r="AI43" i="1"/>
  <c r="AJ29" i="1"/>
  <c r="AJ52" i="1" s="1"/>
  <c r="AH84" i="1"/>
  <c r="AI83" i="1"/>
  <c r="AI30" i="1"/>
  <c r="AH95" i="1" l="1"/>
  <c r="AI91" i="1"/>
  <c r="AI92" i="1" s="1"/>
  <c r="AI52" i="1"/>
  <c r="AF36" i="1"/>
  <c r="AI89" i="1"/>
  <c r="AI90" i="1" s="1"/>
  <c r="AI75" i="1"/>
  <c r="AI67" i="1"/>
  <c r="AI70" i="1"/>
  <c r="AI85" i="1"/>
  <c r="AI86" i="1" s="1"/>
  <c r="AI93" i="1"/>
  <c r="AI61" i="1"/>
  <c r="AH79" i="1"/>
  <c r="AH78" i="1"/>
  <c r="AI60" i="1"/>
  <c r="AI74" i="1"/>
  <c r="AI63" i="1"/>
  <c r="AI77" i="1"/>
  <c r="AI76" i="1"/>
  <c r="AI69" i="1"/>
  <c r="AI62" i="1"/>
  <c r="AI72" i="1"/>
  <c r="AI66" i="1"/>
  <c r="AI65" i="1"/>
  <c r="AI64" i="1"/>
  <c r="AI71" i="1"/>
  <c r="AI73" i="1"/>
  <c r="AH96" i="1"/>
  <c r="AI37" i="1"/>
  <c r="AI68" i="1"/>
  <c r="AI33" i="1"/>
  <c r="AI34" i="1" s="1"/>
  <c r="AI87" i="1"/>
  <c r="AI88" i="1" s="1"/>
  <c r="AJ33" i="1"/>
  <c r="AJ35" i="1" s="1"/>
  <c r="AJ37" i="1"/>
  <c r="AI53" i="1"/>
  <c r="AI51" i="1"/>
  <c r="AI50" i="1"/>
  <c r="AI45" i="1"/>
  <c r="AI44" i="1"/>
  <c r="AI46" i="1"/>
  <c r="AI47" i="1"/>
  <c r="AJ43" i="1"/>
  <c r="AK29" i="1"/>
  <c r="AJ83" i="1"/>
  <c r="AJ89" i="1"/>
  <c r="AJ90" i="1" s="1"/>
  <c r="AJ85" i="1"/>
  <c r="AJ86" i="1" s="1"/>
  <c r="AJ30" i="1"/>
  <c r="AJ91" i="1"/>
  <c r="AJ92" i="1" s="1"/>
  <c r="AJ87" i="1"/>
  <c r="AJ88" i="1" s="1"/>
  <c r="AJ93" i="1"/>
  <c r="AJ62" i="1"/>
  <c r="AJ63" i="1"/>
  <c r="AJ69" i="1"/>
  <c r="AJ64" i="1"/>
  <c r="AJ77" i="1"/>
  <c r="AJ68" i="1"/>
  <c r="AJ76" i="1"/>
  <c r="AJ74" i="1"/>
  <c r="AJ60" i="1"/>
  <c r="AJ65" i="1"/>
  <c r="AJ75" i="1"/>
  <c r="AJ70" i="1"/>
  <c r="AJ61" i="1"/>
  <c r="AJ71" i="1"/>
  <c r="AJ72" i="1"/>
  <c r="AJ66" i="1"/>
  <c r="AJ73" i="1"/>
  <c r="AJ67" i="1"/>
  <c r="AI84" i="1"/>
  <c r="AL29" i="1" l="1"/>
  <c r="AL33" i="1" s="1"/>
  <c r="AK52" i="1"/>
  <c r="AL52" i="1" s="1"/>
  <c r="D25" i="1"/>
  <c r="AL34" i="1"/>
  <c r="AL35" i="1"/>
  <c r="AI78" i="1"/>
  <c r="AI79" i="1"/>
  <c r="AL62" i="1"/>
  <c r="AL66" i="1"/>
  <c r="AL70" i="1"/>
  <c r="AL74" i="1"/>
  <c r="AL85" i="1"/>
  <c r="AL86" i="1" s="1"/>
  <c r="AL89" i="1"/>
  <c r="AL90" i="1" s="1"/>
  <c r="AL93" i="1"/>
  <c r="AL67" i="1"/>
  <c r="AL75" i="1"/>
  <c r="AL43" i="1"/>
  <c r="AL69" i="1"/>
  <c r="AL63" i="1"/>
  <c r="AL71" i="1"/>
  <c r="AL73" i="1"/>
  <c r="AL37" i="1"/>
  <c r="AL61" i="1"/>
  <c r="AM29" i="1"/>
  <c r="AM33" i="1" s="1"/>
  <c r="AL30" i="1"/>
  <c r="AL60" i="1"/>
  <c r="AL64" i="1"/>
  <c r="AL68" i="1"/>
  <c r="AL72" i="1"/>
  <c r="AL76" i="1"/>
  <c r="AL83" i="1"/>
  <c r="AL87" i="1"/>
  <c r="AL88" i="1" s="1"/>
  <c r="AL91" i="1"/>
  <c r="AL92" i="1" s="1"/>
  <c r="AL65" i="1"/>
  <c r="AL77" i="1"/>
  <c r="AI35" i="1"/>
  <c r="AI95" i="1"/>
  <c r="AI96" i="1"/>
  <c r="AE38" i="1"/>
  <c r="AF38" i="1"/>
  <c r="AD38" i="1"/>
  <c r="AD41" i="1"/>
  <c r="AD42" i="1" s="1"/>
  <c r="AD39" i="1"/>
  <c r="AE39" i="1"/>
  <c r="AE41" i="1"/>
  <c r="AE42" i="1" s="1"/>
  <c r="AF41" i="1"/>
  <c r="AF42" i="1" s="1"/>
  <c r="AK33" i="1"/>
  <c r="AK37" i="1"/>
  <c r="AJ51" i="1"/>
  <c r="AJ53" i="1"/>
  <c r="AJ34" i="1"/>
  <c r="AJ45" i="1"/>
  <c r="AJ46" i="1"/>
  <c r="AJ44" i="1"/>
  <c r="AJ47" i="1"/>
  <c r="AJ50" i="1"/>
  <c r="AK43" i="1"/>
  <c r="AJ84" i="1"/>
  <c r="AJ96" i="1" s="1"/>
  <c r="AJ95" i="1"/>
  <c r="AJ78" i="1"/>
  <c r="AJ79" i="1"/>
  <c r="AK83" i="1"/>
  <c r="AK89" i="1"/>
  <c r="AK90" i="1" s="1"/>
  <c r="AK91" i="1"/>
  <c r="AK92" i="1" s="1"/>
  <c r="AK87" i="1"/>
  <c r="AK88" i="1" s="1"/>
  <c r="AK93" i="1"/>
  <c r="AK85" i="1"/>
  <c r="AK86" i="1" s="1"/>
  <c r="AK63" i="1"/>
  <c r="AK30" i="1"/>
  <c r="AK62" i="1"/>
  <c r="AK68" i="1"/>
  <c r="AK64" i="1"/>
  <c r="AK77" i="1"/>
  <c r="AK61" i="1"/>
  <c r="AK69" i="1"/>
  <c r="AK65" i="1"/>
  <c r="AK71" i="1"/>
  <c r="AK76" i="1"/>
  <c r="AK67" i="1"/>
  <c r="AK60" i="1"/>
  <c r="AK70" i="1"/>
  <c r="AK72" i="1"/>
  <c r="AK66" i="1"/>
  <c r="AK75" i="1"/>
  <c r="AK74" i="1"/>
  <c r="AK73" i="1"/>
  <c r="AM52" i="1" l="1"/>
  <c r="AL53" i="1"/>
  <c r="AK35" i="1"/>
  <c r="AK34" i="1"/>
  <c r="AM34" i="1"/>
  <c r="AM35" i="1"/>
  <c r="AM36" i="1" s="1"/>
  <c r="AM77" i="1"/>
  <c r="AM71" i="1"/>
  <c r="AM43" i="1"/>
  <c r="AM61" i="1"/>
  <c r="AM62" i="1"/>
  <c r="AM66" i="1"/>
  <c r="AM70" i="1"/>
  <c r="AM74" i="1"/>
  <c r="AM85" i="1"/>
  <c r="AM86" i="1" s="1"/>
  <c r="AM89" i="1"/>
  <c r="AM90" i="1" s="1"/>
  <c r="AM93" i="1"/>
  <c r="AM73" i="1"/>
  <c r="AM75" i="1"/>
  <c r="AM37" i="1"/>
  <c r="AN29" i="1"/>
  <c r="AM63" i="1"/>
  <c r="AM67" i="1"/>
  <c r="AM69" i="1"/>
  <c r="AM30" i="1"/>
  <c r="AM60" i="1"/>
  <c r="AM64" i="1"/>
  <c r="AM68" i="1"/>
  <c r="AM72" i="1"/>
  <c r="AM76" i="1"/>
  <c r="AM83" i="1"/>
  <c r="AM87" i="1"/>
  <c r="AM88" i="1" s="1"/>
  <c r="AM91" i="1"/>
  <c r="AM92" i="1" s="1"/>
  <c r="AM65" i="1"/>
  <c r="AL79" i="1"/>
  <c r="AL78" i="1"/>
  <c r="AL95" i="1"/>
  <c r="AL84" i="1"/>
  <c r="AL96" i="1" s="1"/>
  <c r="AE40" i="1"/>
  <c r="AE31" i="1" s="1"/>
  <c r="AD40" i="1"/>
  <c r="AH38" i="1"/>
  <c r="AK51" i="1"/>
  <c r="AK53" i="1"/>
  <c r="AL36" i="1" s="1"/>
  <c r="AK46" i="1"/>
  <c r="AK45" i="1"/>
  <c r="AK44" i="1"/>
  <c r="AK47" i="1"/>
  <c r="AK50" i="1"/>
  <c r="AK79" i="1"/>
  <c r="AK95" i="1"/>
  <c r="AK84" i="1"/>
  <c r="AK96" i="1" s="1"/>
  <c r="AK78" i="1"/>
  <c r="AN52" i="1" l="1"/>
  <c r="AM53" i="1"/>
  <c r="AN39" i="1" s="1"/>
  <c r="AD31" i="1"/>
  <c r="AM79" i="1"/>
  <c r="AM78" i="1"/>
  <c r="AL41" i="1"/>
  <c r="AL42" i="1" s="1"/>
  <c r="AL39" i="1"/>
  <c r="AM41" i="1"/>
  <c r="AM42" i="1" s="1"/>
  <c r="AN41" i="1"/>
  <c r="AN42" i="1" s="1"/>
  <c r="AM39" i="1"/>
  <c r="AN61" i="1"/>
  <c r="AN65" i="1"/>
  <c r="AN69" i="1"/>
  <c r="AN73" i="1"/>
  <c r="AN77" i="1"/>
  <c r="AN64" i="1"/>
  <c r="AN85" i="1"/>
  <c r="AN86" i="1" s="1"/>
  <c r="AN93" i="1"/>
  <c r="AN68" i="1"/>
  <c r="AN83" i="1"/>
  <c r="AN89" i="1"/>
  <c r="AN90" i="1" s="1"/>
  <c r="AN60" i="1"/>
  <c r="AN76" i="1"/>
  <c r="AN91" i="1"/>
  <c r="AN92" i="1" s="1"/>
  <c r="AN62" i="1"/>
  <c r="AN66" i="1"/>
  <c r="AN70" i="1"/>
  <c r="AN74" i="1"/>
  <c r="AN37" i="1"/>
  <c r="AN38" i="1" s="1"/>
  <c r="AN63" i="1"/>
  <c r="AN67" i="1"/>
  <c r="AN71" i="1"/>
  <c r="AN75" i="1"/>
  <c r="AN30" i="1"/>
  <c r="AN72" i="1"/>
  <c r="AN87" i="1"/>
  <c r="AN88" i="1" s="1"/>
  <c r="AN43" i="1"/>
  <c r="AM38" i="1"/>
  <c r="AM95" i="1"/>
  <c r="AM84" i="1"/>
  <c r="AM96" i="1" s="1"/>
  <c r="AL38" i="1"/>
  <c r="AG36" i="1"/>
  <c r="AH36" i="1"/>
  <c r="AF39" i="1"/>
  <c r="AF40" i="1" s="1"/>
  <c r="AF31" i="1" s="1"/>
  <c r="AI36" i="1"/>
  <c r="AG41" i="1"/>
  <c r="AG42" i="1" s="1"/>
  <c r="AJ36" i="1"/>
  <c r="AH41" i="1"/>
  <c r="AH42" i="1" s="1"/>
  <c r="AG38" i="1"/>
  <c r="AK36" i="1"/>
  <c r="AO52" i="1" l="1"/>
  <c r="AN53" i="1"/>
  <c r="AN40" i="1"/>
  <c r="AM40" i="1"/>
  <c r="AM31" i="1" s="1"/>
  <c r="AN78" i="1"/>
  <c r="AL40" i="1"/>
  <c r="AL31" i="1" s="1"/>
  <c r="AN79" i="1"/>
  <c r="AN84" i="1"/>
  <c r="AN96" i="1" s="1"/>
  <c r="AN95" i="1"/>
  <c r="AN34" i="1"/>
  <c r="AN35" i="1"/>
  <c r="AN36" i="1" s="1"/>
  <c r="AN31" i="1"/>
  <c r="AO39" i="1"/>
  <c r="AO29" i="1"/>
  <c r="AO34" i="1" s="1"/>
  <c r="AO41" i="1"/>
  <c r="AO42" i="1" s="1"/>
  <c r="AG39" i="1"/>
  <c r="AG40" i="1" s="1"/>
  <c r="AP52" i="1" l="1"/>
  <c r="AP53" i="1" s="1"/>
  <c r="AQ41" i="1" s="1"/>
  <c r="AQ42" i="1" s="1"/>
  <c r="AO53" i="1"/>
  <c r="AO40" i="1"/>
  <c r="AO83" i="1"/>
  <c r="AO89" i="1"/>
  <c r="AO90" i="1" s="1"/>
  <c r="AO74" i="1"/>
  <c r="AO93" i="1"/>
  <c r="AO61" i="1"/>
  <c r="AO63" i="1"/>
  <c r="AO65" i="1"/>
  <c r="AO67" i="1"/>
  <c r="AO69" i="1"/>
  <c r="AO71" i="1"/>
  <c r="AO73" i="1"/>
  <c r="AO75" i="1"/>
  <c r="AO77" i="1"/>
  <c r="AO64" i="1"/>
  <c r="AO76" i="1"/>
  <c r="AO60" i="1"/>
  <c r="AO68" i="1"/>
  <c r="AO87" i="1"/>
  <c r="AO88" i="1" s="1"/>
  <c r="AO91" i="1"/>
  <c r="AO92" i="1" s="1"/>
  <c r="AO66" i="1"/>
  <c r="AO62" i="1"/>
  <c r="AO85" i="1"/>
  <c r="AO86" i="1" s="1"/>
  <c r="AO72" i="1"/>
  <c r="AO70" i="1"/>
  <c r="AG31" i="1"/>
  <c r="AK38" i="1"/>
  <c r="AO30" i="1"/>
  <c r="AO37" i="1"/>
  <c r="AO43" i="1"/>
  <c r="AP29" i="1"/>
  <c r="AJ39" i="1"/>
  <c r="AH39" i="1"/>
  <c r="AH40" i="1" s="1"/>
  <c r="AJ38" i="1"/>
  <c r="AI39" i="1"/>
  <c r="AK41" i="1"/>
  <c r="AK42" i="1" s="1"/>
  <c r="AI41" i="1"/>
  <c r="AI42" i="1" s="1"/>
  <c r="AI38" i="1"/>
  <c r="AK39" i="1"/>
  <c r="AJ41" i="1"/>
  <c r="AJ42" i="1" s="1"/>
  <c r="AR51" i="1"/>
  <c r="AQ39" i="1" s="1"/>
  <c r="AQ40" i="1" s="1"/>
  <c r="AR50" i="1"/>
  <c r="AP39" i="1" l="1"/>
  <c r="AP41" i="1"/>
  <c r="AP42" i="1" s="1"/>
  <c r="AP40" i="1" s="1"/>
  <c r="AO78" i="1"/>
  <c r="AO79" i="1"/>
  <c r="AO84" i="1"/>
  <c r="AO96" i="1" s="1"/>
  <c r="AO95" i="1"/>
  <c r="AO35" i="1"/>
  <c r="AO36" i="1" s="1"/>
  <c r="AP83" i="1"/>
  <c r="AP89" i="1"/>
  <c r="AP90" i="1" s="1"/>
  <c r="AP87" i="1"/>
  <c r="AP88" i="1" s="1"/>
  <c r="AP93" i="1"/>
  <c r="AP61" i="1"/>
  <c r="AP63" i="1"/>
  <c r="AP65" i="1"/>
  <c r="AP67" i="1"/>
  <c r="AP69" i="1"/>
  <c r="AP71" i="1"/>
  <c r="AP73" i="1"/>
  <c r="AP75" i="1"/>
  <c r="AP77" i="1"/>
  <c r="AP91" i="1"/>
  <c r="AP92" i="1" s="1"/>
  <c r="AP60" i="1"/>
  <c r="AP62" i="1"/>
  <c r="AP64" i="1"/>
  <c r="AP66" i="1"/>
  <c r="AP68" i="1"/>
  <c r="AP70" i="1"/>
  <c r="AP72" i="1"/>
  <c r="AP74" i="1"/>
  <c r="AP76" i="1"/>
  <c r="AP85" i="1"/>
  <c r="AP86" i="1" s="1"/>
  <c r="AH31" i="1"/>
  <c r="AP30" i="1"/>
  <c r="AP43" i="1"/>
  <c r="AP37" i="1"/>
  <c r="AP38" i="1" s="1"/>
  <c r="AP31" i="1" s="1"/>
  <c r="AO38" i="1"/>
  <c r="AO31" i="1" s="1"/>
  <c r="AJ40" i="1"/>
  <c r="AJ31" i="1" s="1"/>
  <c r="AI40" i="1"/>
  <c r="AI31" i="1" s="1"/>
  <c r="AK40" i="1"/>
  <c r="AK31" i="1" s="1"/>
  <c r="AP79" i="1" l="1"/>
  <c r="AQ85" i="1"/>
  <c r="AQ86" i="1" s="1"/>
  <c r="AQ83" i="1"/>
  <c r="AQ89" i="1"/>
  <c r="AQ90" i="1" s="1"/>
  <c r="AQ93" i="1"/>
  <c r="AQ61" i="1"/>
  <c r="AQ63" i="1"/>
  <c r="AQ65" i="1"/>
  <c r="AQ67" i="1"/>
  <c r="AQ69" i="1"/>
  <c r="AQ71" i="1"/>
  <c r="AQ73" i="1"/>
  <c r="AQ75" i="1"/>
  <c r="AQ77" i="1"/>
  <c r="AQ87" i="1"/>
  <c r="AQ88" i="1" s="1"/>
  <c r="AQ91" i="1"/>
  <c r="AQ92" i="1" s="1"/>
  <c r="AQ60" i="1"/>
  <c r="AQ62" i="1"/>
  <c r="AQ64" i="1"/>
  <c r="AQ66" i="1"/>
  <c r="AQ68" i="1"/>
  <c r="AQ70" i="1"/>
  <c r="AQ72" i="1"/>
  <c r="AQ74" i="1"/>
  <c r="AQ76" i="1"/>
  <c r="AP35" i="1"/>
  <c r="AP36" i="1" s="1"/>
  <c r="AP34" i="1"/>
  <c r="AP84" i="1"/>
  <c r="AP96" i="1" s="1"/>
  <c r="AP95" i="1"/>
  <c r="AP78" i="1"/>
  <c r="AQ43" i="1"/>
  <c r="AQ37" i="1"/>
  <c r="AQ38" i="1" l="1"/>
  <c r="AQ31" i="1" s="1"/>
  <c r="AQ78" i="1"/>
  <c r="AQ79" i="1"/>
  <c r="AQ34" i="1"/>
  <c r="AQ35" i="1"/>
  <c r="AQ36" i="1" s="1"/>
  <c r="AQ84" i="1"/>
  <c r="AQ96" i="1" s="1"/>
  <c r="AQ95"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<sst xmlns="http://schemas.openxmlformats.org/spreadsheetml/2006/main" count="284" uniqueCount="213">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</sst>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4-8BCC-427B-903C-670C749E04E9}"/>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Projections!$S$52:$AQ$52</c15:sqref>
                  </c15:fullRef>
                </c:ext>
              </c:extLst>
              <c:f>Projections!$S$52:$AH$52</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50BE-40C1-B679-81AF0BCE3FCD}"/>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Projections!$S$56:$AQ$56</c15:sqref>
                  </c15:fullRef>
                </c:ext>
              </c:extLst>
              <c:f>Projections!$S$56:$AH$56</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27453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0-9DE3-43B6-B60B-9B4AA4851702}"/>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Projections!$S$52:$AQ$52</c15:sqref>
                  </c15:fullRef>
                </c:ext>
              </c:extLst>
              <c:f>Projections!$S$52:$AH$52</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FE1B-4946-A476-7952C5C71231}"/>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Projections!$S$56:$AQ$56</c15:sqref>
                  </c15:fullRef>
                </c:ext>
              </c:extLst>
              <c:f>Projections!$S$56:$AH$56</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27453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44178.931250231479</c:v>
                </c:pt>
                <c:pt idx="1">
                  <c:v>44181.931250231479</c:v>
                </c:pt>
                <c:pt idx="2">
                  <c:v>44184.931250231479</c:v>
                </c:pt>
                <c:pt idx="3">
                  <c:v>44187.931250231479</c:v>
                </c:pt>
                <c:pt idx="4">
                  <c:v>44190.931250231479</c:v>
                </c:pt>
                <c:pt idx="5">
                  <c:v>44193.931250231479</c:v>
                </c:pt>
                <c:pt idx="6">
                  <c:v>44196.931250231479</c:v>
                </c:pt>
                <c:pt idx="7">
                  <c:v>44199.931250231479</c:v>
                </c:pt>
                <c:pt idx="8">
                  <c:v>44202.931250231479</c:v>
                </c:pt>
                <c:pt idx="9">
                  <c:v>44205.931250231479</c:v>
                </c:pt>
                <c:pt idx="10">
                  <c:v>44208.931250231479</c:v>
                </c:pt>
                <c:pt idx="11">
                  <c:v>44211.931250231479</c:v>
                </c:pt>
                <c:pt idx="12">
                  <c:v>44214.931250231479</c:v>
                </c:pt>
                <c:pt idx="13">
                  <c:v>44217.931250231479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98</xdr:row>
      <xdr:rowOff>5814</xdr:rowOff>
    </xdr:from>
    <xdr:to>
      <xdr:col>57</xdr:col>
      <xdr:colOff>19050</xdr:colOff>
      <xdr:row>121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122</xdr:row>
      <xdr:rowOff>10576</xdr:rowOff>
    </xdr:from>
    <xdr:to>
      <xdr:col>57</xdr:col>
      <xdr:colOff>28575</xdr:colOff>
      <xdr:row>138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139</xdr:row>
      <xdr:rowOff>182025</xdr:rowOff>
    </xdr:from>
    <xdr:to>
      <xdr:col>57</xdr:col>
      <xdr:colOff>38099</xdr:colOff>
      <xdr:row>155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157</xdr:row>
      <xdr:rowOff>10575</xdr:rowOff>
    </xdr:from>
    <xdr:to>
      <xdr:col>57</xdr:col>
      <xdr:colOff>19050</xdr:colOff>
      <xdr:row>176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60</xdr:row>
      <xdr:rowOff>4762</xdr:rowOff>
    </xdr:from>
    <xdr:to>
      <xdr:col>57</xdr:col>
      <xdr:colOff>19050</xdr:colOff>
      <xdr:row>80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81</xdr:row>
      <xdr:rowOff>2721</xdr:rowOff>
    </xdr:from>
    <xdr:to>
      <xdr:col>56</xdr:col>
      <xdr:colOff>590550</xdr:colOff>
      <xdr:row>96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97</xdr:row>
      <xdr:rowOff>177264</xdr:rowOff>
    </xdr:from>
    <xdr:to>
      <xdr:col>70</xdr:col>
      <xdr:colOff>209550</xdr:colOff>
      <xdr:row>120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122</xdr:row>
      <xdr:rowOff>1051</xdr:rowOff>
    </xdr:from>
    <xdr:to>
      <xdr:col>70</xdr:col>
      <xdr:colOff>200025</xdr:colOff>
      <xdr:row>138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139</xdr:row>
      <xdr:rowOff>182025</xdr:rowOff>
    </xdr:from>
    <xdr:to>
      <xdr:col>70</xdr:col>
      <xdr:colOff>219074</xdr:colOff>
      <xdr:row>155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157</xdr:row>
      <xdr:rowOff>10575</xdr:rowOff>
    </xdr:from>
    <xdr:to>
      <xdr:col>70</xdr:col>
      <xdr:colOff>228600</xdr:colOff>
      <xdr:row>176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60</xdr:row>
      <xdr:rowOff>14287</xdr:rowOff>
    </xdr:from>
    <xdr:to>
      <xdr:col>70</xdr:col>
      <xdr:colOff>200025</xdr:colOff>
      <xdr:row>80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81</xdr:row>
      <xdr:rowOff>2721</xdr:rowOff>
    </xdr:from>
    <xdr:to>
      <xdr:col>70</xdr:col>
      <xdr:colOff>161925</xdr:colOff>
      <xdr:row>96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61</v>
      </c>
    </row>
    <row r="3" spans="2:2" x14ac:dyDescent="0.25">
      <c r="B3" t="s">
        <v>50</v>
      </c>
    </row>
    <row r="4" spans="2:2" x14ac:dyDescent="0.25">
      <c r="B4" t="s">
        <v>59</v>
      </c>
    </row>
    <row r="5" spans="2:2" x14ac:dyDescent="0.25">
      <c r="B5" t="s">
        <v>62</v>
      </c>
    </row>
    <row r="6" spans="2:2" x14ac:dyDescent="0.25">
      <c r="B6" t="s">
        <v>63</v>
      </c>
    </row>
    <row r="7" spans="2:2" x14ac:dyDescent="0.25">
      <c r="B7" t="s">
        <v>51</v>
      </c>
    </row>
    <row r="11" spans="2:2" x14ac:dyDescent="0.25">
      <c r="B11" t="s">
        <v>70</v>
      </c>
    </row>
    <row r="12" spans="2:2" x14ac:dyDescent="0.25">
      <c r="B12" t="s">
        <v>83</v>
      </c>
    </row>
    <row r="13" spans="2:2" x14ac:dyDescent="0.25">
      <c r="B13" t="s">
        <v>85</v>
      </c>
    </row>
    <row r="14" spans="2:2" x14ac:dyDescent="0.25">
      <c r="B14" t="s">
        <v>84</v>
      </c>
    </row>
    <row r="15" spans="2:2" x14ac:dyDescent="0.25">
      <c r="B15" t="s">
        <v>91</v>
      </c>
    </row>
    <row r="17" spans="1:43" x14ac:dyDescent="0.25">
      <c r="A17" t="s">
        <v>89</v>
      </c>
      <c r="B17" s="98">
        <f>(AP25/E31) /Projections!B17</f>
        <v>100.00000000000001</v>
      </c>
      <c r="C17" s="99"/>
      <c r="D17" s="100"/>
      <c r="E17" s="94">
        <f>B17*2</f>
        <v>200.00000000000003</v>
      </c>
      <c r="F17" s="99"/>
      <c r="G17" s="94"/>
      <c r="H17" s="94">
        <f>E17*2</f>
        <v>400.00000000000006</v>
      </c>
      <c r="I17" s="99"/>
      <c r="J17" s="100"/>
      <c r="K17" s="91">
        <f>H17*2</f>
        <v>800.00000000000011</v>
      </c>
      <c r="L17" s="89"/>
      <c r="M17" s="90"/>
      <c r="N17" s="91">
        <f>K17*2</f>
        <v>1600.0000000000002</v>
      </c>
      <c r="O17" s="89"/>
      <c r="P17" s="90"/>
      <c r="Q17" s="91">
        <f>N17*2</f>
        <v>3200.0000000000005</v>
      </c>
      <c r="R17" s="89"/>
      <c r="S17" s="90"/>
      <c r="T17" s="91">
        <f>Q17*2</f>
        <v>6400.0000000000009</v>
      </c>
      <c r="U17" s="89"/>
      <c r="V17" s="90"/>
      <c r="W17" s="91">
        <f>T17*2</f>
        <v>12800.000000000002</v>
      </c>
      <c r="X17" s="89"/>
      <c r="Y17" s="90"/>
      <c r="Z17" s="91">
        <f>W17*2</f>
        <v>25600.000000000004</v>
      </c>
      <c r="AA17" s="89"/>
      <c r="AB17" s="90"/>
      <c r="AC17" s="91">
        <f>Z17*2</f>
        <v>51200.000000000007</v>
      </c>
      <c r="AD17" s="89"/>
      <c r="AE17" s="90"/>
      <c r="AF17" s="91">
        <f>AC17*2</f>
        <v>102400.00000000001</v>
      </c>
      <c r="AG17" s="89"/>
      <c r="AH17" s="90"/>
      <c r="AI17" s="91">
        <f>AF17*2</f>
        <v>204800.00000000003</v>
      </c>
      <c r="AJ17" s="89"/>
      <c r="AK17" s="90"/>
      <c r="AL17" s="91">
        <f>AI17*2</f>
        <v>409600.00000000006</v>
      </c>
      <c r="AM17" s="89"/>
      <c r="AN17" s="90"/>
      <c r="AO17" s="91">
        <f>AL17*2</f>
        <v>819200.00000000012</v>
      </c>
      <c r="AP17" s="94"/>
      <c r="AQ17" t="s">
        <v>89</v>
      </c>
    </row>
    <row r="18" spans="1:43" s="69" customFormat="1" x14ac:dyDescent="0.25">
      <c r="A18" t="s">
        <v>163</v>
      </c>
      <c r="B18" s="84">
        <f>B17*$E$34</f>
        <v>68.253968253968267</v>
      </c>
      <c r="C18" s="101"/>
      <c r="D18" s="101"/>
      <c r="E18" s="101">
        <f>E17*$E$34</f>
        <v>136.50793650793653</v>
      </c>
      <c r="F18" s="101"/>
      <c r="G18" s="33"/>
      <c r="H18" s="101">
        <f>H17*$E$34</f>
        <v>273.01587301587307</v>
      </c>
      <c r="I18" s="101"/>
      <c r="J18" s="101"/>
      <c r="K18" s="101">
        <f>K17*$E$34</f>
        <v>546.03174603174614</v>
      </c>
      <c r="L18" s="101"/>
      <c r="M18" s="101"/>
      <c r="N18" s="101">
        <f>N17*$E$34</f>
        <v>1092.0634920634923</v>
      </c>
      <c r="O18" s="101"/>
      <c r="P18" s="101"/>
      <c r="Q18" s="101">
        <f>Q17*$E$34</f>
        <v>2184.1269841269846</v>
      </c>
      <c r="R18" s="101"/>
      <c r="S18" s="101"/>
      <c r="T18" s="101">
        <f>T17*$E$34</f>
        <v>4368.2539682539691</v>
      </c>
      <c r="U18" s="101"/>
      <c r="V18" s="101"/>
      <c r="W18" s="101">
        <f>W17*$E$34</f>
        <v>8736.5079365079382</v>
      </c>
      <c r="X18" s="101"/>
      <c r="Y18" s="101"/>
      <c r="Z18" s="101">
        <f>Z17*$E$34</f>
        <v>17473.015873015876</v>
      </c>
      <c r="AA18" s="101"/>
      <c r="AB18" s="101"/>
      <c r="AC18" s="101">
        <f>AC17*$E$34</f>
        <v>34946.031746031753</v>
      </c>
      <c r="AD18" s="101"/>
      <c r="AE18" s="101"/>
      <c r="AF18" s="101">
        <f>AF17*$E$34</f>
        <v>69892.063492063506</v>
      </c>
      <c r="AG18" s="101"/>
      <c r="AH18" s="101"/>
      <c r="AI18" s="101">
        <f>AI17*$E$34</f>
        <v>139784.12698412701</v>
      </c>
      <c r="AJ18" s="101"/>
      <c r="AK18" s="101"/>
      <c r="AL18" s="101">
        <f>AL17*$E$34</f>
        <v>279568.25396825402</v>
      </c>
      <c r="AM18" s="101"/>
      <c r="AN18" s="101"/>
      <c r="AO18" s="101">
        <f>AO17*$E$34</f>
        <v>559136.50793650805</v>
      </c>
      <c r="AP18" s="33"/>
      <c r="AQ18" t="s">
        <v>163</v>
      </c>
    </row>
    <row r="19" spans="1:43" s="69" customFormat="1" x14ac:dyDescent="0.25">
      <c r="A19" t="s">
        <v>165</v>
      </c>
      <c r="B19" s="82">
        <f>B18</f>
        <v>68.253968253968267</v>
      </c>
      <c r="C19" s="83"/>
      <c r="D19" s="83"/>
      <c r="E19" s="83">
        <f>E18</f>
        <v>136.50793650793653</v>
      </c>
      <c r="F19" s="83"/>
      <c r="G19" s="34"/>
      <c r="H19" s="83">
        <f>H18</f>
        <v>273.01587301587307</v>
      </c>
      <c r="I19" s="83"/>
      <c r="J19" s="83"/>
      <c r="K19" s="83">
        <f>K18</f>
        <v>546.03174603174614</v>
      </c>
      <c r="L19" s="83"/>
      <c r="M19" s="83"/>
      <c r="N19" s="83">
        <f>N18</f>
        <v>1092.0634920634923</v>
      </c>
      <c r="O19" s="83"/>
      <c r="P19" s="83"/>
      <c r="Q19" s="83">
        <f>Q18</f>
        <v>2184.1269841269846</v>
      </c>
      <c r="R19" s="83"/>
      <c r="S19" s="83"/>
      <c r="T19" s="83">
        <f>T18</f>
        <v>4368.2539682539691</v>
      </c>
      <c r="U19" s="83"/>
      <c r="V19" s="83"/>
      <c r="W19" s="117">
        <f>W18-B18</f>
        <v>8668.25396825397</v>
      </c>
      <c r="X19" s="117"/>
      <c r="Y19" s="117"/>
      <c r="Z19" s="117">
        <f>Z18-E18</f>
        <v>17336.50793650794</v>
      </c>
      <c r="AA19" s="117"/>
      <c r="AB19" s="117"/>
      <c r="AC19" s="117">
        <f>AC18-H18</f>
        <v>34673.01587301588</v>
      </c>
      <c r="AD19" s="117"/>
      <c r="AE19" s="117"/>
      <c r="AF19" s="117">
        <f>AF18-K18</f>
        <v>69346.03174603176</v>
      </c>
      <c r="AG19" s="117"/>
      <c r="AH19" s="117"/>
      <c r="AI19" s="117">
        <f>AI18-N18</f>
        <v>138692.06349206352</v>
      </c>
      <c r="AJ19" s="117"/>
      <c r="AK19" s="117"/>
      <c r="AL19" s="117">
        <f>AL18-Q18</f>
        <v>277384.12698412704</v>
      </c>
      <c r="AM19" s="117"/>
      <c r="AN19" s="117"/>
      <c r="AO19" s="117">
        <f>AO18-T18</f>
        <v>554768.25396825408</v>
      </c>
      <c r="AP19" s="118"/>
      <c r="AQ19" t="s">
        <v>165</v>
      </c>
    </row>
    <row r="20" spans="1:43" s="69" customFormat="1" x14ac:dyDescent="0.25">
      <c r="A20" t="s">
        <v>90</v>
      </c>
      <c r="B20" s="84"/>
      <c r="C20" s="101"/>
      <c r="D20" s="101"/>
      <c r="E20" s="101"/>
      <c r="F20" s="101"/>
      <c r="G20" s="33"/>
      <c r="H20" s="102"/>
      <c r="I20" s="103"/>
      <c r="J20" s="104"/>
      <c r="K20" s="127">
        <f>B17*(1-$E$34)</f>
        <v>31.74603174603175</v>
      </c>
      <c r="L20" s="124"/>
      <c r="M20" s="125"/>
      <c r="N20" s="126">
        <f>E17*(1-$E$34)</f>
        <v>63.492063492063501</v>
      </c>
      <c r="O20" s="124"/>
      <c r="P20" s="125"/>
      <c r="Q20" s="126">
        <f>H17*(1-$E$34)</f>
        <v>126.984126984127</v>
      </c>
      <c r="R20" s="124"/>
      <c r="S20" s="125"/>
      <c r="T20" s="126">
        <f>K17*(1-$E$34)</f>
        <v>253.968253968254</v>
      </c>
      <c r="U20" s="124"/>
      <c r="V20" s="125"/>
      <c r="W20" s="126">
        <f>N17*(1-$E$34)</f>
        <v>507.93650793650801</v>
      </c>
      <c r="X20" s="124"/>
      <c r="Y20" s="125"/>
      <c r="Z20" s="126">
        <f>Q17*(1-$E$34)</f>
        <v>1015.873015873016</v>
      </c>
      <c r="AA20" s="124"/>
      <c r="AB20" s="125"/>
      <c r="AC20" s="126">
        <f>T17*(1-$E$34)</f>
        <v>2031.746031746032</v>
      </c>
      <c r="AD20" s="124"/>
      <c r="AE20" s="125"/>
      <c r="AF20" s="126">
        <f>W17*(1-$E$34)</f>
        <v>4063.4920634920641</v>
      </c>
      <c r="AG20" s="124"/>
      <c r="AH20" s="125"/>
      <c r="AI20" s="126">
        <f>Z17*(1-$E$34)</f>
        <v>8126.9841269841281</v>
      </c>
      <c r="AJ20" s="124"/>
      <c r="AK20" s="125"/>
      <c r="AL20" s="126">
        <f>AC17*(1-$E$34)</f>
        <v>16253.968253968256</v>
      </c>
      <c r="AM20" s="124"/>
      <c r="AN20" s="125"/>
      <c r="AO20" s="126">
        <f>AF17*(1-$E$34)</f>
        <v>32507.936507936512</v>
      </c>
      <c r="AP20" s="75"/>
      <c r="AQ20" t="s">
        <v>90</v>
      </c>
    </row>
    <row r="21" spans="1:43" s="69" customFormat="1" x14ac:dyDescent="0.25">
      <c r="A21" s="69" t="s">
        <v>71</v>
      </c>
      <c r="B21" s="76"/>
      <c r="C21" s="77"/>
      <c r="D21" s="77"/>
      <c r="E21" s="77"/>
      <c r="F21" s="77"/>
      <c r="G21" s="78"/>
      <c r="H21" s="119">
        <f>B17-B18</f>
        <v>31.746031746031747</v>
      </c>
      <c r="I21" s="119"/>
      <c r="J21" s="119"/>
      <c r="K21" s="119">
        <f>E17-E18</f>
        <v>63.492063492063494</v>
      </c>
      <c r="L21" s="119"/>
      <c r="M21" s="119"/>
      <c r="N21" s="119">
        <f>(H17-H18)*$E$35</f>
        <v>102.85714285714286</v>
      </c>
      <c r="O21" s="119"/>
      <c r="P21" s="119"/>
      <c r="Q21" s="119">
        <f>(K17-K18)*$E$35</f>
        <v>205.71428571428572</v>
      </c>
      <c r="R21" s="119"/>
      <c r="S21" s="119"/>
      <c r="T21" s="119">
        <f>(N17-N18)*$E$35</f>
        <v>411.42857142857144</v>
      </c>
      <c r="U21" s="119"/>
      <c r="V21" s="119"/>
      <c r="W21" s="119">
        <f>((Q17-Q18)*$E$35)-(H21*$E$35)</f>
        <v>797.14285714285722</v>
      </c>
      <c r="X21" s="119"/>
      <c r="Y21" s="119"/>
      <c r="Z21" s="119">
        <f>((T17-T18)*$E$35)-(K21*$E$35)</f>
        <v>1594.2857142857144</v>
      </c>
      <c r="AA21" s="119"/>
      <c r="AB21" s="119"/>
      <c r="AC21" s="119">
        <f>((W17-W18)*$E$35)-N21</f>
        <v>3188.5714285714289</v>
      </c>
      <c r="AD21" s="119"/>
      <c r="AE21" s="119"/>
      <c r="AF21" s="119">
        <f>((Z17-Z18)*$E$35)-Q21</f>
        <v>6377.1428571428578</v>
      </c>
      <c r="AG21" s="119"/>
      <c r="AH21" s="119"/>
      <c r="AI21" s="119">
        <f>((AC17-AC18)*$E$35)-T21</f>
        <v>12754.285714285716</v>
      </c>
      <c r="AJ21" s="119"/>
      <c r="AK21" s="119"/>
      <c r="AL21" s="119">
        <f>((AF17-AF18)*$E$35)-W21</f>
        <v>25534.285714285714</v>
      </c>
      <c r="AM21" s="119"/>
      <c r="AN21" s="119"/>
      <c r="AO21" s="119">
        <f>((AI17-AI18)*$E$35)-Z21</f>
        <v>51068.571428571428</v>
      </c>
      <c r="AP21" s="120"/>
      <c r="AQ21" s="69" t="s">
        <v>71</v>
      </c>
    </row>
    <row r="22" spans="1:43" s="69" customFormat="1" x14ac:dyDescent="0.25">
      <c r="A22" s="69" t="s">
        <v>72</v>
      </c>
      <c r="B22" s="76"/>
      <c r="C22" s="77"/>
      <c r="D22" s="77"/>
      <c r="E22" s="77"/>
      <c r="F22" s="77"/>
      <c r="G22" s="78"/>
      <c r="H22" s="103"/>
      <c r="I22" s="103"/>
      <c r="J22" s="103"/>
      <c r="K22" s="103"/>
      <c r="L22" s="103"/>
      <c r="M22" s="104"/>
      <c r="N22" s="121">
        <f>(H17-H18)*($E$36+$E$37)</f>
        <v>24.126984126984127</v>
      </c>
      <c r="O22" s="121"/>
      <c r="P22" s="121"/>
      <c r="Q22" s="121">
        <f>(K17-K18)*($E$36+$E$37)</f>
        <v>48.253968253968253</v>
      </c>
      <c r="R22" s="121"/>
      <c r="S22" s="121"/>
      <c r="T22" s="121">
        <f>(N17-N18)*$E$36</f>
        <v>71.111111111111114</v>
      </c>
      <c r="U22" s="121"/>
      <c r="V22" s="121"/>
      <c r="W22" s="121">
        <f>(Q17-Q18)*$E$36</f>
        <v>142.22222222222223</v>
      </c>
      <c r="X22" s="121"/>
      <c r="Y22" s="121"/>
      <c r="Z22" s="121">
        <f>(T17-T18)*$E$36</f>
        <v>284.44444444444446</v>
      </c>
      <c r="AA22" s="121"/>
      <c r="AB22" s="121"/>
      <c r="AC22" s="121">
        <f>(W17-W18)*$E$36</f>
        <v>568.88888888888891</v>
      </c>
      <c r="AD22" s="121"/>
      <c r="AE22" s="121"/>
      <c r="AF22" s="121">
        <f>(Z17-Z18)*$E$36</f>
        <v>1137.7777777777778</v>
      </c>
      <c r="AG22" s="121"/>
      <c r="AH22" s="121"/>
      <c r="AI22" s="121">
        <f>(AC17-AC18)*$E$36</f>
        <v>2275.5555555555557</v>
      </c>
      <c r="AJ22" s="121"/>
      <c r="AK22" s="121"/>
      <c r="AL22" s="121">
        <f>(AF17-AF18)*$E$36</f>
        <v>4551.1111111111113</v>
      </c>
      <c r="AM22" s="121"/>
      <c r="AN22" s="121"/>
      <c r="AO22" s="121">
        <f>(AI17-AI18)*$E$36</f>
        <v>9102.2222222222226</v>
      </c>
      <c r="AP22" s="122"/>
      <c r="AQ22" s="69" t="s">
        <v>72</v>
      </c>
    </row>
    <row r="23" spans="1:43" s="69" customFormat="1" x14ac:dyDescent="0.25">
      <c r="A23" s="47" t="s">
        <v>73</v>
      </c>
      <c r="B23" s="76"/>
      <c r="C23" s="77"/>
      <c r="D23" s="77"/>
      <c r="E23" s="77"/>
      <c r="F23" s="77"/>
      <c r="G23" s="78"/>
      <c r="H23" s="83"/>
      <c r="I23" s="83"/>
      <c r="J23" s="83"/>
      <c r="K23" s="83"/>
      <c r="L23" s="83"/>
      <c r="M23" s="83"/>
      <c r="N23" s="103"/>
      <c r="O23" s="103"/>
      <c r="P23" s="103"/>
      <c r="Q23" s="103"/>
      <c r="R23" s="103"/>
      <c r="S23" s="104"/>
      <c r="T23" s="40">
        <f>(N17-N18)*$E$37</f>
        <v>25.396825396825399</v>
      </c>
      <c r="U23" s="40"/>
      <c r="V23" s="40"/>
      <c r="W23" s="40">
        <f>(Q17-Q18)*$E$37</f>
        <v>50.793650793650798</v>
      </c>
      <c r="X23" s="40"/>
      <c r="Y23" s="40"/>
      <c r="Z23" s="40">
        <f>(T17-T18)*$E$37</f>
        <v>101.5873015873016</v>
      </c>
      <c r="AA23" s="40"/>
      <c r="AB23" s="40"/>
      <c r="AC23" s="40">
        <f>(W17-W18)*$E$37</f>
        <v>203.17460317460319</v>
      </c>
      <c r="AD23" s="40"/>
      <c r="AE23" s="40"/>
      <c r="AF23" s="40">
        <f>(Z17-Z18)*$E$37</f>
        <v>406.34920634920638</v>
      </c>
      <c r="AG23" s="40"/>
      <c r="AH23" s="40"/>
      <c r="AI23" s="40">
        <f>(AC17-AC18)*$E$37</f>
        <v>812.69841269841277</v>
      </c>
      <c r="AJ23" s="40"/>
      <c r="AK23" s="40"/>
      <c r="AL23" s="40">
        <f>(AF17-AF18)*$E$37</f>
        <v>1625.3968253968255</v>
      </c>
      <c r="AM23" s="40"/>
      <c r="AN23" s="40"/>
      <c r="AO23" s="40">
        <f>(AI17-AI18)*$E$37</f>
        <v>3250.7936507936511</v>
      </c>
      <c r="AP23" s="123"/>
      <c r="AQ23" s="47" t="s">
        <v>73</v>
      </c>
    </row>
    <row r="24" spans="1:43" s="69" customFormat="1" x14ac:dyDescent="0.25">
      <c r="A24" s="47" t="s">
        <v>78</v>
      </c>
      <c r="B24" s="82"/>
      <c r="C24" s="83"/>
      <c r="D24" s="83"/>
      <c r="E24" s="83"/>
      <c r="F24" s="83"/>
      <c r="G24" s="34"/>
      <c r="H24" s="83"/>
      <c r="I24" s="83"/>
      <c r="J24" s="83"/>
      <c r="K24" s="83"/>
      <c r="L24" s="83"/>
      <c r="M24" s="83"/>
      <c r="N24" s="83"/>
      <c r="O24" s="83"/>
      <c r="P24" s="83"/>
      <c r="Q24" s="83"/>
      <c r="R24" s="83"/>
      <c r="S24" s="83"/>
      <c r="T24" s="103"/>
      <c r="U24" s="104"/>
      <c r="V24" s="105">
        <f>H21*$E$35</f>
        <v>25.714285714285715</v>
      </c>
      <c r="W24" s="105"/>
      <c r="X24" s="105"/>
      <c r="Y24" s="105">
        <f>K21*$E$35</f>
        <v>51.428571428571431</v>
      </c>
      <c r="Z24" s="105"/>
      <c r="AA24" s="105"/>
      <c r="AB24" s="105">
        <f>N21</f>
        <v>102.85714285714286</v>
      </c>
      <c r="AC24" s="105"/>
      <c r="AD24" s="105"/>
      <c r="AE24" s="105">
        <f>Q21</f>
        <v>205.71428571428572</v>
      </c>
      <c r="AF24" s="105"/>
      <c r="AG24" s="105"/>
      <c r="AH24" s="105">
        <f>T21</f>
        <v>411.42857142857144</v>
      </c>
      <c r="AI24" s="105"/>
      <c r="AJ24" s="105"/>
      <c r="AK24" s="105">
        <f>W21</f>
        <v>797.14285714285722</v>
      </c>
      <c r="AL24" s="105"/>
      <c r="AM24" s="105"/>
      <c r="AN24" s="105">
        <f>Z21</f>
        <v>1594.2857142857144</v>
      </c>
      <c r="AO24" s="105"/>
      <c r="AP24" s="106"/>
      <c r="AQ24" s="47" t="s">
        <v>78</v>
      </c>
    </row>
    <row r="25" spans="1:43" x14ac:dyDescent="0.25">
      <c r="A25" s="47" t="s">
        <v>67</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67</v>
      </c>
    </row>
    <row r="26" spans="1:43" x14ac:dyDescent="0.25">
      <c r="A26" s="129" t="s">
        <v>94</v>
      </c>
      <c r="B26" s="85">
        <f t="shared" ref="B26:G26" ca="1" si="0">C26-1</f>
        <v>44178.931250231479</v>
      </c>
      <c r="C26" s="86">
        <f t="shared" ca="1" si="0"/>
        <v>44179.931250231479</v>
      </c>
      <c r="D26" s="86">
        <f t="shared" ca="1" si="0"/>
        <v>44180.931250231479</v>
      </c>
      <c r="E26" s="86">
        <f t="shared" ca="1" si="0"/>
        <v>44181.931250231479</v>
      </c>
      <c r="F26" s="86">
        <f t="shared" ca="1" si="0"/>
        <v>44182.931250231479</v>
      </c>
      <c r="G26" s="87">
        <f t="shared" ca="1" si="0"/>
        <v>44183.931250231479</v>
      </c>
      <c r="H26" s="86">
        <f t="shared" ref="H26:U26" ca="1" si="1">I26-1</f>
        <v>44184.931250231479</v>
      </c>
      <c r="I26" s="86">
        <f t="shared" ca="1" si="1"/>
        <v>44185.931250231479</v>
      </c>
      <c r="J26" s="86">
        <f t="shared" ca="1" si="1"/>
        <v>44186.931250231479</v>
      </c>
      <c r="K26" s="86">
        <f t="shared" ca="1" si="1"/>
        <v>44187.931250231479</v>
      </c>
      <c r="L26" s="86">
        <f t="shared" ca="1" si="1"/>
        <v>44188.931250231479</v>
      </c>
      <c r="M26" s="86">
        <f t="shared" ca="1" si="1"/>
        <v>44189.931250231479</v>
      </c>
      <c r="N26" s="87">
        <f t="shared" ca="1" si="1"/>
        <v>44190.931250231479</v>
      </c>
      <c r="O26" s="85">
        <f t="shared" ca="1" si="1"/>
        <v>44191.931250231479</v>
      </c>
      <c r="P26" s="86">
        <f t="shared" ca="1" si="1"/>
        <v>44192.931250231479</v>
      </c>
      <c r="Q26" s="86">
        <f t="shared" ca="1" si="1"/>
        <v>44193.931250231479</v>
      </c>
      <c r="R26" s="86">
        <f t="shared" ca="1" si="1"/>
        <v>44194.931250231479</v>
      </c>
      <c r="S26" s="86">
        <f t="shared" ca="1" si="1"/>
        <v>44195.931250231479</v>
      </c>
      <c r="T26" s="86">
        <f t="shared" ca="1" si="1"/>
        <v>44196.931250231479</v>
      </c>
      <c r="U26" s="87">
        <f t="shared" ca="1" si="1"/>
        <v>44197.931250231479</v>
      </c>
      <c r="V26" s="85">
        <f t="shared" ref="V26:AN26" ca="1" si="2">W26-1</f>
        <v>44198.931250231479</v>
      </c>
      <c r="W26" s="86">
        <f t="shared" ca="1" si="2"/>
        <v>44199.931250231479</v>
      </c>
      <c r="X26" s="86">
        <f t="shared" ca="1" si="2"/>
        <v>44200.931250231479</v>
      </c>
      <c r="Y26" s="86">
        <f t="shared" ca="1" si="2"/>
        <v>44201.931250231479</v>
      </c>
      <c r="Z26" s="86">
        <f t="shared" ca="1" si="2"/>
        <v>44202.931250231479</v>
      </c>
      <c r="AA26" s="86">
        <f t="shared" ca="1" si="2"/>
        <v>44203.931250231479</v>
      </c>
      <c r="AB26" s="87">
        <f t="shared" ca="1" si="2"/>
        <v>44204.931250231479</v>
      </c>
      <c r="AC26" s="85">
        <f t="shared" ca="1" si="2"/>
        <v>44205.931250231479</v>
      </c>
      <c r="AD26" s="86">
        <f t="shared" ca="1" si="2"/>
        <v>44206.931250231479</v>
      </c>
      <c r="AE26" s="86">
        <f t="shared" ca="1" si="2"/>
        <v>44207.931250231479</v>
      </c>
      <c r="AF26" s="86">
        <f t="shared" ca="1" si="2"/>
        <v>44208.931250231479</v>
      </c>
      <c r="AG26" s="86">
        <f t="shared" ca="1" si="2"/>
        <v>44209.931250231479</v>
      </c>
      <c r="AH26" s="86">
        <f t="shared" ca="1" si="2"/>
        <v>44210.931250231479</v>
      </c>
      <c r="AI26" s="87">
        <f t="shared" ca="1" si="2"/>
        <v>44211.931250231479</v>
      </c>
      <c r="AJ26" s="85">
        <f t="shared" ca="1" si="2"/>
        <v>44212.931250231479</v>
      </c>
      <c r="AK26" s="86">
        <f t="shared" ca="1" si="2"/>
        <v>44213.931250231479</v>
      </c>
      <c r="AL26" s="86">
        <f t="shared" ca="1" si="2"/>
        <v>44214.931250231479</v>
      </c>
      <c r="AM26" s="86">
        <f t="shared" ca="1" si="2"/>
        <v>44215.931250231479</v>
      </c>
      <c r="AN26" s="86">
        <f t="shared" ca="1" si="2"/>
        <v>44216.931250231479</v>
      </c>
      <c r="AO26" s="86">
        <f ca="1">AP26-1</f>
        <v>44217.931250231479</v>
      </c>
      <c r="AP26" s="107">
        <f ca="1">NOW()</f>
        <v>44218.931250231479</v>
      </c>
    </row>
    <row r="27" spans="1:43" x14ac:dyDescent="0.25">
      <c r="A27" s="130" t="s">
        <v>95</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96</v>
      </c>
      <c r="B28" s="285" t="s">
        <v>65</v>
      </c>
      <c r="C28" s="286"/>
      <c r="D28" s="286"/>
      <c r="E28" s="286"/>
      <c r="F28" s="286"/>
      <c r="G28" s="287"/>
      <c r="H28" s="291" t="s">
        <v>54</v>
      </c>
      <c r="I28" s="291"/>
      <c r="J28" s="291"/>
      <c r="K28" s="291"/>
      <c r="L28" s="291"/>
      <c r="M28" s="291"/>
      <c r="N28" s="292"/>
      <c r="O28" s="290" t="s">
        <v>55</v>
      </c>
      <c r="P28" s="291"/>
      <c r="Q28" s="291"/>
      <c r="R28" s="291"/>
      <c r="S28" s="291"/>
      <c r="T28" s="291"/>
      <c r="U28" s="292"/>
      <c r="V28" s="290" t="s">
        <v>56</v>
      </c>
      <c r="W28" s="291"/>
      <c r="X28" s="291"/>
      <c r="Y28" s="291"/>
      <c r="Z28" s="291"/>
      <c r="AA28" s="291"/>
      <c r="AB28" s="292"/>
      <c r="AC28" s="290" t="s">
        <v>57</v>
      </c>
      <c r="AD28" s="291"/>
      <c r="AE28" s="291"/>
      <c r="AF28" s="291"/>
      <c r="AG28" s="291"/>
      <c r="AH28" s="291"/>
      <c r="AI28" s="292"/>
      <c r="AJ28" s="290" t="s">
        <v>58</v>
      </c>
      <c r="AK28" s="291"/>
      <c r="AL28" s="291"/>
      <c r="AM28" s="291"/>
      <c r="AN28" s="291"/>
      <c r="AO28" s="291"/>
      <c r="AP28" s="292"/>
    </row>
    <row r="29" spans="1:43" x14ac:dyDescent="0.25">
      <c r="B29" s="51" t="s">
        <v>77</v>
      </c>
      <c r="C29" s="92"/>
      <c r="D29" s="92"/>
      <c r="E29" s="92"/>
      <c r="F29" s="92"/>
      <c r="G29" s="93"/>
      <c r="H29" s="288" t="s">
        <v>64</v>
      </c>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9"/>
    </row>
    <row r="31" spans="1:43" x14ac:dyDescent="0.25">
      <c r="B31" s="57" t="s">
        <v>66</v>
      </c>
      <c r="C31" s="134" t="s">
        <v>186</v>
      </c>
      <c r="D31" s="9"/>
      <c r="E31" s="81">
        <f>VLOOKUP(C31,B43:C54,2,FALSE)</f>
        <v>3.15E-2</v>
      </c>
      <c r="F31" s="9"/>
      <c r="G31" s="9"/>
      <c r="H31" s="9"/>
      <c r="I31" s="5"/>
    </row>
    <row r="32" spans="1:43" x14ac:dyDescent="0.25">
      <c r="B32" s="41" t="s">
        <v>93</v>
      </c>
      <c r="C32" s="16"/>
      <c r="D32" s="16"/>
      <c r="E32" s="135">
        <v>1</v>
      </c>
      <c r="F32" s="16"/>
      <c r="G32" s="16"/>
      <c r="H32" s="16"/>
      <c r="I32" s="17"/>
    </row>
    <row r="33" spans="2:9" x14ac:dyDescent="0.25">
      <c r="B33" s="41" t="s">
        <v>68</v>
      </c>
      <c r="C33" s="16"/>
      <c r="D33" s="16"/>
      <c r="E33" s="16">
        <v>3</v>
      </c>
      <c r="F33" s="16" t="s">
        <v>69</v>
      </c>
      <c r="G33" s="16"/>
      <c r="H33" s="16"/>
      <c r="I33" s="17"/>
    </row>
    <row r="34" spans="2:9" x14ac:dyDescent="0.25">
      <c r="B34" s="41" t="s">
        <v>171</v>
      </c>
      <c r="C34" s="16"/>
      <c r="D34" s="16"/>
      <c r="E34" s="136">
        <f>1-Projections!B17</f>
        <v>0.68253968253968256</v>
      </c>
      <c r="F34" s="16" t="s">
        <v>187</v>
      </c>
      <c r="G34" s="16"/>
      <c r="H34" s="16"/>
      <c r="I34" s="17"/>
    </row>
    <row r="35" spans="2:9" x14ac:dyDescent="0.25">
      <c r="B35" s="41" t="s">
        <v>74</v>
      </c>
      <c r="C35" s="16"/>
      <c r="D35" s="16"/>
      <c r="E35" s="136">
        <v>0.81</v>
      </c>
      <c r="F35" s="16" t="s">
        <v>92</v>
      </c>
      <c r="G35" s="16"/>
      <c r="H35" s="16"/>
      <c r="I35" s="17"/>
    </row>
    <row r="36" spans="2:9" x14ac:dyDescent="0.25">
      <c r="B36" s="41" t="s">
        <v>75</v>
      </c>
      <c r="C36" s="16"/>
      <c r="D36" s="16"/>
      <c r="E36" s="136">
        <v>0.14000000000000001</v>
      </c>
      <c r="F36" s="16" t="s">
        <v>92</v>
      </c>
      <c r="G36" s="16"/>
      <c r="H36" s="16"/>
      <c r="I36" s="17"/>
    </row>
    <row r="37" spans="2:9" x14ac:dyDescent="0.25">
      <c r="B37" s="41" t="s">
        <v>76</v>
      </c>
      <c r="C37" s="16"/>
      <c r="D37" s="16"/>
      <c r="E37" s="136">
        <v>0.05</v>
      </c>
      <c r="F37" s="16" t="s">
        <v>92</v>
      </c>
      <c r="G37" s="16"/>
      <c r="H37" s="16"/>
      <c r="I37" s="17"/>
    </row>
    <row r="38" spans="2:9" x14ac:dyDescent="0.25">
      <c r="B38" s="41" t="s">
        <v>79</v>
      </c>
      <c r="C38" s="16"/>
      <c r="D38" s="16"/>
      <c r="E38" s="132">
        <v>2</v>
      </c>
      <c r="F38" s="16" t="s">
        <v>80</v>
      </c>
      <c r="G38" s="16"/>
      <c r="H38" s="16"/>
      <c r="I38" s="17"/>
    </row>
    <row r="39" spans="2:9" x14ac:dyDescent="0.25">
      <c r="B39" s="37" t="s">
        <v>81</v>
      </c>
      <c r="C39" s="133"/>
      <c r="D39" s="39"/>
      <c r="E39" s="112">
        <v>4</v>
      </c>
      <c r="F39" s="39" t="s">
        <v>80</v>
      </c>
      <c r="G39" s="39" t="s">
        <v>82</v>
      </c>
      <c r="H39" s="39"/>
      <c r="I39" s="63"/>
    </row>
    <row r="42" spans="2:9" x14ac:dyDescent="0.25">
      <c r="B42" t="s">
        <v>88</v>
      </c>
    </row>
    <row r="43" spans="2:9" x14ac:dyDescent="0.25">
      <c r="B43" s="4" t="s">
        <v>87</v>
      </c>
      <c r="C43" s="111">
        <v>3.5000000000000003E-2</v>
      </c>
    </row>
    <row r="44" spans="2:9" x14ac:dyDescent="0.25">
      <c r="B44" s="41" t="s">
        <v>86</v>
      </c>
      <c r="C44" s="27">
        <v>2.3E-2</v>
      </c>
    </row>
    <row r="45" spans="2:9" x14ac:dyDescent="0.25">
      <c r="B45" s="41" t="s">
        <v>186</v>
      </c>
      <c r="C45" s="27">
        <f>Projections!B24</f>
        <v>3.15E-2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3"/>
  <sheetViews>
    <sheetView tabSelected="1" topLeftCell="P22" zoomScaleNormal="100" workbookViewId="0">
      <selection activeCell="AK24" sqref="AK2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114</v>
      </c>
    </row>
    <row r="2" spans="1:36" x14ac:dyDescent="0.25">
      <c r="C2" s="148">
        <v>43866</v>
      </c>
      <c r="D2" s="149" t="s">
        <v>193</v>
      </c>
      <c r="E2" s="149"/>
      <c r="F2" s="149"/>
      <c r="G2" s="149"/>
      <c r="H2" s="148">
        <v>43880</v>
      </c>
    </row>
    <row r="3" spans="1:36" x14ac:dyDescent="0.25">
      <c r="C3" s="155"/>
      <c r="D3" s="155">
        <v>43876</v>
      </c>
      <c r="E3" s="69" t="s">
        <v>200</v>
      </c>
      <c r="F3" s="69"/>
      <c r="G3" s="69"/>
      <c r="H3" s="69"/>
      <c r="I3" s="69"/>
      <c r="J3" s="155"/>
      <c r="K3" s="155"/>
      <c r="L3" s="155"/>
      <c r="M3" s="155"/>
      <c r="N3" s="155"/>
      <c r="O3" s="155"/>
      <c r="P3" s="155"/>
      <c r="Q3" s="155"/>
      <c r="R3" s="69"/>
      <c r="S3" s="69"/>
      <c r="T3" s="69"/>
      <c r="U3" s="69"/>
      <c r="V3" s="69"/>
      <c r="W3" s="69"/>
      <c r="X3" s="69"/>
      <c r="Y3" s="69"/>
    </row>
    <row r="4" spans="1:36" x14ac:dyDescent="0.25">
      <c r="D4" s="155"/>
      <c r="E4" s="260">
        <v>43878</v>
      </c>
      <c r="F4" s="261" t="s">
        <v>195</v>
      </c>
      <c r="G4" s="261"/>
      <c r="H4" s="261"/>
      <c r="I4" s="261"/>
      <c r="J4" s="260">
        <v>43892</v>
      </c>
      <c r="K4" s="260"/>
      <c r="L4" s="260"/>
      <c r="M4" s="260"/>
      <c r="N4" s="260"/>
      <c r="O4" s="260"/>
      <c r="P4" s="260"/>
      <c r="Q4" s="260"/>
    </row>
    <row r="5" spans="1:36" x14ac:dyDescent="0.25">
      <c r="D5" s="69"/>
      <c r="E5" s="69"/>
      <c r="F5" s="155"/>
      <c r="G5" s="155"/>
      <c r="H5" s="155"/>
      <c r="I5" s="155"/>
      <c r="J5" s="155"/>
      <c r="K5" s="155"/>
      <c r="L5" s="155"/>
      <c r="M5" s="155"/>
      <c r="N5" s="155"/>
      <c r="O5" s="155"/>
      <c r="P5" s="155"/>
      <c r="Q5" s="155"/>
      <c r="R5" s="155"/>
      <c r="S5" s="69"/>
      <c r="T5" s="148">
        <v>43905</v>
      </c>
      <c r="U5" s="149" t="s">
        <v>190</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192</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189</v>
      </c>
      <c r="Z7" s="149"/>
      <c r="AA7" s="148">
        <v>43935</v>
      </c>
      <c r="AB7" s="69"/>
      <c r="AC7" s="69"/>
    </row>
    <row r="8" spans="1:36" x14ac:dyDescent="0.25">
      <c r="X8" s="155"/>
      <c r="Y8" s="148">
        <v>43931</v>
      </c>
      <c r="Z8" s="148" t="s">
        <v>191</v>
      </c>
      <c r="AA8" s="148">
        <v>43945</v>
      </c>
      <c r="AB8" s="69"/>
      <c r="AC8" s="69"/>
    </row>
    <row r="9" spans="1:36" x14ac:dyDescent="0.25">
      <c r="X9" s="155"/>
      <c r="Y9" s="47"/>
      <c r="Z9" s="200">
        <v>43934</v>
      </c>
      <c r="AA9" t="s">
        <v>199</v>
      </c>
      <c r="AB9" s="69"/>
      <c r="AC9" s="155"/>
    </row>
    <row r="10" spans="1:36" x14ac:dyDescent="0.25">
      <c r="X10" s="47"/>
      <c r="Y10" s="69"/>
      <c r="Z10" s="260">
        <v>43940</v>
      </c>
      <c r="AA10" s="260" t="s">
        <v>205</v>
      </c>
      <c r="AC10" s="69"/>
      <c r="AD10" s="69"/>
      <c r="AE10" s="69"/>
      <c r="AF10" s="69"/>
      <c r="AG10" s="69"/>
      <c r="AH10" s="69"/>
      <c r="AI10" s="69"/>
    </row>
    <row r="11" spans="1:36" s="69" customFormat="1" x14ac:dyDescent="0.25">
      <c r="Z11" s="148">
        <v>43944</v>
      </c>
      <c r="AA11" s="149" t="s">
        <v>198</v>
      </c>
      <c r="AB11" s="148">
        <v>43958</v>
      </c>
    </row>
    <row r="12" spans="1:36" x14ac:dyDescent="0.25">
      <c r="Z12" s="155"/>
      <c r="AA12" s="260">
        <v>43958</v>
      </c>
      <c r="AB12" s="261" t="s">
        <v>203</v>
      </c>
      <c r="AC12" s="69"/>
      <c r="AD12" s="69"/>
      <c r="AE12" s="69"/>
      <c r="AF12" s="69"/>
      <c r="AG12" s="69"/>
      <c r="AH12" s="69"/>
      <c r="AI12" s="69"/>
    </row>
    <row r="13" spans="1:36" x14ac:dyDescent="0.25">
      <c r="AB13" s="260">
        <v>43974</v>
      </c>
      <c r="AC13" s="261" t="s">
        <v>204</v>
      </c>
      <c r="AE13" s="69"/>
      <c r="AF13" s="69"/>
      <c r="AG13" s="69"/>
      <c r="AH13" s="69"/>
      <c r="AI13" s="69"/>
    </row>
    <row r="14" spans="1:36" x14ac:dyDescent="0.25">
      <c r="Z14" s="259"/>
      <c r="AA14" s="214"/>
      <c r="AB14" s="200">
        <v>43976</v>
      </c>
      <c r="AC14" t="s">
        <v>208</v>
      </c>
      <c r="AD14" s="69"/>
      <c r="AE14" s="69"/>
      <c r="AF14" s="69"/>
      <c r="AG14" s="69"/>
      <c r="AH14" s="69"/>
      <c r="AI14" s="69"/>
      <c r="AJ14" s="200"/>
    </row>
    <row r="15" spans="1:36" x14ac:dyDescent="0.25">
      <c r="A15" s="57" t="s">
        <v>182</v>
      </c>
      <c r="B15" s="234">
        <v>272886000</v>
      </c>
      <c r="C15" t="s">
        <v>174</v>
      </c>
      <c r="D15" s="69"/>
      <c r="E15" s="69"/>
      <c r="F15" s="69"/>
      <c r="G15" s="69"/>
      <c r="H15" s="69"/>
      <c r="I15" s="69"/>
      <c r="J15" s="155"/>
      <c r="K15" s="155"/>
      <c r="L15" s="155"/>
      <c r="M15" s="155"/>
      <c r="N15" s="155"/>
      <c r="O15" s="155"/>
      <c r="P15" s="155"/>
      <c r="Q15" s="155"/>
      <c r="R15" s="69"/>
      <c r="S15" s="69"/>
      <c r="T15" s="69"/>
      <c r="U15" s="155"/>
      <c r="V15" s="155"/>
      <c r="W15" s="69"/>
      <c r="X15" s="155"/>
      <c r="Y15" s="69"/>
      <c r="Z15" s="225"/>
      <c r="AA15" s="185"/>
      <c r="AB15" s="200">
        <v>43980</v>
      </c>
      <c r="AC15" t="s">
        <v>206</v>
      </c>
      <c r="AE15" s="69"/>
      <c r="AF15" s="69"/>
      <c r="AG15" s="69"/>
      <c r="AH15" s="69"/>
      <c r="AI15" s="69"/>
    </row>
    <row r="16" spans="1:36" x14ac:dyDescent="0.25">
      <c r="A16" s="57" t="s">
        <v>201</v>
      </c>
      <c r="B16" s="278">
        <v>0.01</v>
      </c>
      <c r="D16" s="69"/>
      <c r="E16" s="69"/>
      <c r="F16" s="69"/>
      <c r="G16" s="69"/>
      <c r="H16" s="69"/>
      <c r="I16" s="69"/>
      <c r="J16" s="155"/>
      <c r="K16" s="155"/>
      <c r="L16" s="155"/>
      <c r="M16" s="155"/>
      <c r="N16" s="155"/>
      <c r="O16" s="155"/>
      <c r="P16" s="155"/>
      <c r="Q16" s="155"/>
      <c r="R16" s="69"/>
      <c r="S16" s="69"/>
      <c r="T16" s="69"/>
      <c r="U16" s="155"/>
      <c r="V16" s="155"/>
      <c r="W16" s="69"/>
      <c r="X16" s="155"/>
      <c r="Y16" s="142"/>
      <c r="Z16" s="225"/>
      <c r="AA16" s="225"/>
      <c r="AB16" s="225">
        <v>43980</v>
      </c>
      <c r="AC16" t="s">
        <v>207</v>
      </c>
      <c r="AE16" s="69"/>
      <c r="AF16" s="69"/>
      <c r="AG16" s="69"/>
      <c r="AH16" s="69"/>
      <c r="AI16" s="69"/>
    </row>
    <row r="17" spans="1:47" x14ac:dyDescent="0.25">
      <c r="A17" s="4" t="s">
        <v>111</v>
      </c>
      <c r="B17" s="241">
        <f>B16/B24</f>
        <v>0.31746031746031744</v>
      </c>
      <c r="C17" t="s">
        <v>202</v>
      </c>
      <c r="D17" s="69"/>
      <c r="E17" s="69"/>
      <c r="F17" s="69"/>
      <c r="G17" s="69"/>
      <c r="H17" s="69"/>
      <c r="I17" s="69"/>
      <c r="J17" s="69"/>
      <c r="K17" s="69"/>
      <c r="L17" s="69"/>
      <c r="M17" s="69"/>
      <c r="N17" s="69"/>
      <c r="O17" s="69"/>
      <c r="P17" s="69"/>
      <c r="Q17" s="69"/>
      <c r="R17" s="69"/>
      <c r="S17" s="69"/>
      <c r="T17" s="69"/>
      <c r="U17" s="155"/>
      <c r="V17" s="155"/>
      <c r="W17" s="155"/>
      <c r="X17" s="69"/>
      <c r="AC17" s="260">
        <v>43990</v>
      </c>
      <c r="AD17" s="261" t="s">
        <v>209</v>
      </c>
      <c r="AE17" s="155"/>
      <c r="AF17" s="155"/>
      <c r="AG17" s="155"/>
      <c r="AH17" s="69"/>
      <c r="AI17" s="69"/>
    </row>
    <row r="18" spans="1:47" x14ac:dyDescent="0.25">
      <c r="A18" s="37" t="s">
        <v>113</v>
      </c>
      <c r="B18" s="110">
        <v>0.05</v>
      </c>
      <c r="C18" s="242"/>
      <c r="D18" s="69"/>
      <c r="E18" s="69"/>
      <c r="F18" s="69"/>
      <c r="G18" s="69"/>
      <c r="H18" s="69"/>
      <c r="I18" s="69"/>
      <c r="J18" s="69"/>
      <c r="K18" s="69"/>
      <c r="L18" s="69"/>
      <c r="M18" s="69"/>
      <c r="N18" s="69"/>
      <c r="O18" s="69"/>
      <c r="P18" s="69"/>
      <c r="Q18" s="69"/>
      <c r="R18" s="69"/>
      <c r="S18" s="69"/>
      <c r="T18" s="69"/>
      <c r="U18" s="69"/>
      <c r="V18" s="69"/>
      <c r="W18" s="155"/>
      <c r="X18" s="47"/>
      <c r="Y18" s="69"/>
      <c r="AC18" s="200">
        <v>43994</v>
      </c>
      <c r="AD18" t="s">
        <v>211</v>
      </c>
      <c r="AF18" s="270"/>
      <c r="AG18" s="155"/>
      <c r="AH18" s="69"/>
      <c r="AI18" s="69"/>
    </row>
    <row r="19" spans="1:47" x14ac:dyDescent="0.25">
      <c r="A19" s="4" t="s">
        <v>184</v>
      </c>
      <c r="B19" s="255">
        <v>0.6</v>
      </c>
      <c r="C19" s="64">
        <f>(B15/1000)*B19</f>
        <v>163731.6</v>
      </c>
      <c r="D19" s="69" t="s">
        <v>178</v>
      </c>
      <c r="E19" s="69"/>
      <c r="F19" s="69"/>
      <c r="G19" s="69"/>
      <c r="H19" s="69"/>
      <c r="I19" s="69"/>
      <c r="J19" s="69"/>
      <c r="K19" s="69"/>
      <c r="L19" s="69"/>
      <c r="M19" s="69"/>
      <c r="N19" s="69"/>
      <c r="O19" s="69"/>
      <c r="P19" s="69"/>
      <c r="Q19" s="69"/>
      <c r="R19" s="69"/>
      <c r="S19" s="69"/>
      <c r="T19" s="69"/>
      <c r="U19" s="155"/>
      <c r="V19" s="155"/>
      <c r="W19" s="155"/>
      <c r="X19" s="16"/>
      <c r="Y19" s="16"/>
      <c r="AC19" s="260">
        <v>43997</v>
      </c>
      <c r="AD19" s="261" t="s">
        <v>210</v>
      </c>
      <c r="AE19" s="69"/>
      <c r="AF19" s="69"/>
      <c r="AG19" s="155"/>
      <c r="AH19" s="69"/>
      <c r="AI19" s="69"/>
    </row>
    <row r="20" spans="1:47" x14ac:dyDescent="0.25">
      <c r="A20" s="37" t="s">
        <v>185</v>
      </c>
      <c r="B20" s="243">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5"/>
      <c r="Y20" s="16"/>
      <c r="AC20" s="155"/>
      <c r="AD20" s="260">
        <v>44043</v>
      </c>
      <c r="AE20" s="261" t="s">
        <v>212</v>
      </c>
      <c r="AF20" s="69"/>
      <c r="AG20" s="69"/>
      <c r="AH20" s="155"/>
      <c r="AI20" s="69"/>
    </row>
    <row r="21" spans="1:47" x14ac:dyDescent="0.25">
      <c r="A21" s="4" t="s">
        <v>71</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72</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0"/>
      <c r="AF22" s="69"/>
      <c r="AG22" s="69"/>
      <c r="AH22" s="69"/>
      <c r="AI22" s="69"/>
    </row>
    <row r="23" spans="1:47" x14ac:dyDescent="0.25">
      <c r="A23" s="37" t="s">
        <v>107</v>
      </c>
      <c r="B23" s="110">
        <v>0.05</v>
      </c>
      <c r="C23" s="2"/>
      <c r="D23" s="196" t="s">
        <v>167</v>
      </c>
      <c r="V23" s="200"/>
      <c r="W23" s="16"/>
      <c r="AE23" s="200"/>
      <c r="AL23" s="165"/>
      <c r="AM23" s="165"/>
      <c r="AN23" s="165"/>
      <c r="AO23" s="165"/>
      <c r="AP23" s="165"/>
      <c r="AQ23" s="165"/>
    </row>
    <row r="24" spans="1:47" x14ac:dyDescent="0.25">
      <c r="A24" s="37" t="s">
        <v>112</v>
      </c>
      <c r="B24" s="65">
        <v>3.15E-2</v>
      </c>
      <c r="C24" s="2"/>
      <c r="D24" s="169" t="s">
        <v>159</v>
      </c>
      <c r="AE24" s="200"/>
      <c r="AF24" s="200"/>
      <c r="AK24" s="166"/>
    </row>
    <row r="25" spans="1:47" x14ac:dyDescent="0.25">
      <c r="A25" s="145" t="s">
        <v>100</v>
      </c>
      <c r="B25" s="146">
        <v>43892</v>
      </c>
      <c r="C25" s="2"/>
      <c r="D25" s="262">
        <f>(AK28-S28)/(LOG(AK29/S29)/LOG(2))</f>
        <v>39.555555555555557</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197</v>
      </c>
      <c r="T26" s="16"/>
      <c r="U26" s="16"/>
      <c r="V26" s="16"/>
      <c r="W26" s="16"/>
      <c r="X26" s="16"/>
      <c r="Y26" s="16"/>
      <c r="Z26" s="16"/>
      <c r="AA26" s="16"/>
      <c r="AB26" s="16"/>
      <c r="AC26" s="16"/>
      <c r="AD26" s="16"/>
      <c r="AE26" s="16"/>
      <c r="AF26" s="16"/>
      <c r="AG26" s="16"/>
      <c r="AH26" s="16"/>
      <c r="AI26" s="16"/>
      <c r="AJ26" s="16"/>
      <c r="AN26" t="s">
        <v>168</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44243</v>
      </c>
      <c r="N27" s="179">
        <f t="shared" si="0"/>
        <v>44346</v>
      </c>
      <c r="O27" s="179">
        <f t="shared" si="0"/>
        <v>44469</v>
      </c>
      <c r="P27" s="179">
        <f t="shared" si="0"/>
        <v>44612</v>
      </c>
      <c r="Q27" s="179">
        <f t="shared" si="0"/>
        <v>44775</v>
      </c>
      <c r="R27" s="179">
        <f t="shared" si="0"/>
        <v>44958</v>
      </c>
      <c r="S27" t="s">
        <v>183</v>
      </c>
      <c r="T27" s="47"/>
      <c r="U27" s="16"/>
      <c r="V27" s="16"/>
      <c r="W27" s="16"/>
      <c r="X27" s="16"/>
      <c r="Y27" s="16"/>
      <c r="Z27" s="16"/>
      <c r="AA27" s="16"/>
      <c r="AB27" s="172"/>
      <c r="AC27" s="16"/>
      <c r="AD27" s="16"/>
      <c r="AE27" s="16"/>
      <c r="AG27" s="16"/>
      <c r="AH27" s="16"/>
      <c r="AI27" s="16"/>
      <c r="AJ27" s="16"/>
      <c r="AR27" s="220" t="s">
        <v>173</v>
      </c>
    </row>
    <row r="28" spans="1:47" x14ac:dyDescent="0.25">
      <c r="A28" s="4" t="s">
        <v>11</v>
      </c>
      <c r="B28" s="275">
        <v>3</v>
      </c>
      <c r="C28" s="254">
        <v>5</v>
      </c>
      <c r="D28" s="147">
        <v>8</v>
      </c>
      <c r="E28" s="80">
        <v>12</v>
      </c>
      <c r="F28" s="203">
        <v>20</v>
      </c>
      <c r="G28" s="203">
        <v>25</v>
      </c>
      <c r="H28" s="203">
        <v>27</v>
      </c>
      <c r="I28" s="203">
        <v>37</v>
      </c>
      <c r="J28" s="203">
        <v>43</v>
      </c>
      <c r="K28" s="203">
        <v>63</v>
      </c>
      <c r="L28" s="203">
        <f>K28 + (K28-J28)</f>
        <v>83</v>
      </c>
      <c r="M28" s="203">
        <f t="shared" ref="M28:R28" si="1">L28 + (L28-K28)</f>
        <v>103</v>
      </c>
      <c r="N28" s="203">
        <f t="shared" si="1"/>
        <v>123</v>
      </c>
      <c r="O28" s="203">
        <f t="shared" si="1"/>
        <v>143</v>
      </c>
      <c r="P28" s="203">
        <f t="shared" si="1"/>
        <v>163</v>
      </c>
      <c r="Q28" s="203">
        <f t="shared" si="1"/>
        <v>183</v>
      </c>
      <c r="R28" s="203">
        <f t="shared" si="1"/>
        <v>203</v>
      </c>
      <c r="S28" s="276">
        <v>43900</v>
      </c>
      <c r="T28" s="277">
        <f t="shared" ref="T28:AL28" si="2">S28+HLOOKUP(S28+1, $B$27:$R$28,2,TRUE)</f>
        <v>43903</v>
      </c>
      <c r="U28" s="277">
        <f t="shared" si="2"/>
        <v>43906</v>
      </c>
      <c r="V28" s="277">
        <f t="shared" si="2"/>
        <v>43909</v>
      </c>
      <c r="W28" s="271">
        <f t="shared" si="2"/>
        <v>43912</v>
      </c>
      <c r="X28" s="272">
        <f t="shared" si="2"/>
        <v>43917</v>
      </c>
      <c r="Y28" s="272">
        <f t="shared" si="2"/>
        <v>43925</v>
      </c>
      <c r="Z28" s="272">
        <f t="shared" si="2"/>
        <v>43933</v>
      </c>
      <c r="AA28" s="273">
        <f t="shared" si="2"/>
        <v>43945</v>
      </c>
      <c r="AB28" s="279">
        <f t="shared" si="2"/>
        <v>43965</v>
      </c>
      <c r="AC28" s="279">
        <f t="shared" si="2"/>
        <v>43990</v>
      </c>
      <c r="AD28" s="279">
        <f t="shared" si="2"/>
        <v>44017</v>
      </c>
      <c r="AE28" s="279">
        <f t="shared" si="2"/>
        <v>44054</v>
      </c>
      <c r="AF28" s="279">
        <f t="shared" si="2"/>
        <v>44097</v>
      </c>
      <c r="AG28" s="274">
        <f t="shared" si="2"/>
        <v>44160</v>
      </c>
      <c r="AH28" s="209">
        <f t="shared" si="2"/>
        <v>44243</v>
      </c>
      <c r="AI28" s="209">
        <f t="shared" si="2"/>
        <v>44346</v>
      </c>
      <c r="AJ28" s="209">
        <f t="shared" si="2"/>
        <v>44469</v>
      </c>
      <c r="AK28" s="215">
        <f t="shared" si="2"/>
        <v>44612</v>
      </c>
      <c r="AL28" s="209">
        <f t="shared" si="2"/>
        <v>44775</v>
      </c>
      <c r="AM28" s="209">
        <f t="shared" ref="AM28" si="3">AL28+HLOOKUP(AL28+1, $B$27:$R$28,2,TRUE)</f>
        <v>44958</v>
      </c>
      <c r="AN28" s="280">
        <f t="shared" ref="AN28" si="4">AM28+HLOOKUP(AM28+1, $B$27:$R$28,2,TRUE)</f>
        <v>45161</v>
      </c>
      <c r="AO28" s="209">
        <f>AN28+HLOOKUP(AN28+1, $B$27:$R$28,2,TRUE)</f>
        <v>45364</v>
      </c>
      <c r="AP28" s="209">
        <f>AO28+HLOOKUP(AO28+1, $B$27:$R$28,2,TRUE)</f>
        <v>45567</v>
      </c>
      <c r="AQ28" s="215">
        <f>AP28+HLOOKUP(AP28+1, $B$27:$R$28,2,TRUE)</f>
        <v>45770</v>
      </c>
      <c r="AR28" s="244">
        <f>AQ28+(7*8)</f>
        <v>45826</v>
      </c>
      <c r="AS28" s="70"/>
      <c r="AT28" s="70"/>
      <c r="AU28" s="69"/>
    </row>
    <row r="29" spans="1:47" x14ac:dyDescent="0.25">
      <c r="A29" s="41" t="s">
        <v>105</v>
      </c>
      <c r="B29" s="16"/>
      <c r="C29" s="16"/>
      <c r="D29" s="16"/>
      <c r="E29" s="16"/>
      <c r="F29" s="16"/>
      <c r="G29" s="16"/>
      <c r="H29" s="16"/>
      <c r="I29" s="16"/>
      <c r="J29" s="16"/>
      <c r="K29" s="16"/>
      <c r="L29" s="16"/>
      <c r="M29" s="16"/>
      <c r="N29" s="16"/>
      <c r="O29" s="16"/>
      <c r="P29" s="16"/>
      <c r="Q29" s="16"/>
      <c r="R29" s="16"/>
      <c r="S29" s="268">
        <v>31.25</v>
      </c>
      <c r="T29" s="269">
        <f>S29*2</f>
        <v>62.5</v>
      </c>
      <c r="U29" s="269">
        <f t="shared" ref="U29:AI29" si="5">T29*2</f>
        <v>125</v>
      </c>
      <c r="V29" s="269">
        <f t="shared" si="5"/>
        <v>250</v>
      </c>
      <c r="W29" s="269">
        <f t="shared" si="5"/>
        <v>500</v>
      </c>
      <c r="X29" s="269">
        <f t="shared" si="5"/>
        <v>1000</v>
      </c>
      <c r="Y29" s="269">
        <f t="shared" si="5"/>
        <v>2000</v>
      </c>
      <c r="Z29" s="269">
        <f t="shared" si="5"/>
        <v>4000</v>
      </c>
      <c r="AA29" s="269">
        <f t="shared" si="5"/>
        <v>8000</v>
      </c>
      <c r="AB29" s="269">
        <f>AA29*2</f>
        <v>16000</v>
      </c>
      <c r="AC29" s="269">
        <f>AB29*2</f>
        <v>32000</v>
      </c>
      <c r="AD29" s="269">
        <f>AC29*2</f>
        <v>64000</v>
      </c>
      <c r="AE29" s="269">
        <f>AD29*2</f>
        <v>128000</v>
      </c>
      <c r="AF29" s="269">
        <f t="shared" si="5"/>
        <v>256000</v>
      </c>
      <c r="AG29" s="269">
        <f t="shared" si="5"/>
        <v>512000</v>
      </c>
      <c r="AH29" s="269">
        <f t="shared" si="5"/>
        <v>1024000</v>
      </c>
      <c r="AI29" s="269">
        <f t="shared" si="5"/>
        <v>2048000</v>
      </c>
      <c r="AJ29" s="269">
        <f>AI29*2</f>
        <v>4096000</v>
      </c>
      <c r="AK29" s="269">
        <f>AJ29*2</f>
        <v>8192000</v>
      </c>
      <c r="AL29" s="269">
        <f>AK29*2</f>
        <v>16384000</v>
      </c>
      <c r="AM29" s="269">
        <f t="shared" ref="AM29:AP29" si="6">AL29*2</f>
        <v>32768000</v>
      </c>
      <c r="AN29" s="218">
        <f t="shared" si="6"/>
        <v>65536000</v>
      </c>
      <c r="AO29" s="186">
        <f>AN29*2</f>
        <v>131072000</v>
      </c>
      <c r="AP29" s="186">
        <f t="shared" si="6"/>
        <v>262144000</v>
      </c>
      <c r="AQ29" s="187">
        <f>$B$15</f>
        <v>272886000</v>
      </c>
      <c r="AR29" s="245">
        <f>B15*AR30</f>
        <v>13644300</v>
      </c>
      <c r="AS29" s="45"/>
      <c r="AT29" s="45"/>
      <c r="AU29" s="69"/>
    </row>
    <row r="30" spans="1:47" x14ac:dyDescent="0.25">
      <c r="A30" s="41" t="s">
        <v>106</v>
      </c>
      <c r="B30" s="16"/>
      <c r="C30" s="16"/>
      <c r="D30" s="16"/>
      <c r="E30" s="16"/>
      <c r="F30" s="16"/>
      <c r="G30" s="16"/>
      <c r="H30" s="16"/>
      <c r="I30" s="16"/>
      <c r="J30" s="16"/>
      <c r="K30" s="16"/>
      <c r="L30" s="16"/>
      <c r="M30" s="16"/>
      <c r="N30" s="16"/>
      <c r="O30" s="16"/>
      <c r="P30" s="16"/>
      <c r="Q30" s="16"/>
      <c r="R30" s="16"/>
      <c r="S30" s="201">
        <f t="shared" ref="S30:AI30" si="7">S29/$B$15</f>
        <v>1.1451668462288281E-7</v>
      </c>
      <c r="T30" s="202">
        <f t="shared" si="7"/>
        <v>2.2903336924576563E-7</v>
      </c>
      <c r="U30" s="202">
        <f t="shared" si="7"/>
        <v>4.5806673849153126E-7</v>
      </c>
      <c r="V30" s="183">
        <f t="shared" si="7"/>
        <v>9.1613347698306252E-7</v>
      </c>
      <c r="W30" s="183">
        <f t="shared" si="7"/>
        <v>1.832266953966125E-6</v>
      </c>
      <c r="X30" s="183">
        <f t="shared" si="7"/>
        <v>3.6645339079322501E-6</v>
      </c>
      <c r="Y30" s="183">
        <f t="shared" si="7"/>
        <v>7.3290678158645001E-6</v>
      </c>
      <c r="Z30" s="66">
        <f t="shared" si="7"/>
        <v>1.4658135631729E-5</v>
      </c>
      <c r="AA30" s="36">
        <f t="shared" si="7"/>
        <v>2.9316271263458001E-5</v>
      </c>
      <c r="AB30" s="36">
        <f>AB29/$B$15</f>
        <v>5.8632542526916001E-5</v>
      </c>
      <c r="AC30" s="36">
        <f>AC29/$B$15</f>
        <v>1.17265085053832E-4</v>
      </c>
      <c r="AD30" s="36">
        <f>AD29/$B$15</f>
        <v>2.34530170107664E-4</v>
      </c>
      <c r="AE30" s="36">
        <f>AE29/$B$15</f>
        <v>4.6906034021532801E-4</v>
      </c>
      <c r="AF30" s="14">
        <f t="shared" si="7"/>
        <v>9.3812068043065602E-4</v>
      </c>
      <c r="AG30" s="14">
        <f t="shared" si="7"/>
        <v>1.876241360861312E-3</v>
      </c>
      <c r="AH30" s="14">
        <f t="shared" si="7"/>
        <v>3.7524827217226241E-3</v>
      </c>
      <c r="AI30" s="14">
        <f t="shared" si="7"/>
        <v>7.5049654434452481E-3</v>
      </c>
      <c r="AJ30" s="15">
        <f>AJ29/$B$15</f>
        <v>1.5009930886890496E-2</v>
      </c>
      <c r="AK30" s="15">
        <f>AK29/$B$15</f>
        <v>3.0019861773780993E-2</v>
      </c>
      <c r="AL30" s="15">
        <f>AL29/$B$15</f>
        <v>6.0039723547561985E-2</v>
      </c>
      <c r="AM30" s="15">
        <f t="shared" ref="AM30:AP30" si="8">AM29/$B$15</f>
        <v>0.12007944709512397</v>
      </c>
      <c r="AN30" s="281">
        <f t="shared" si="8"/>
        <v>0.24015889419024794</v>
      </c>
      <c r="AO30" s="167">
        <f t="shared" si="8"/>
        <v>0.48031778838049588</v>
      </c>
      <c r="AP30" s="167">
        <f t="shared" si="8"/>
        <v>0.96063557676099176</v>
      </c>
      <c r="AQ30" s="168">
        <f t="shared" ref="AQ30" si="9">AQ29/$B$15</f>
        <v>1</v>
      </c>
      <c r="AR30" s="246">
        <f>B18</f>
        <v>0.05</v>
      </c>
      <c r="AS30" s="25"/>
      <c r="AT30" s="25"/>
      <c r="AU30" s="69"/>
    </row>
    <row r="31" spans="1:47" x14ac:dyDescent="0.25">
      <c r="A31" s="41" t="s">
        <v>155</v>
      </c>
      <c r="B31" s="16"/>
      <c r="C31" s="16"/>
      <c r="D31" s="16"/>
      <c r="E31" s="16"/>
      <c r="F31" s="16"/>
      <c r="G31" s="16"/>
      <c r="H31" s="16"/>
      <c r="I31" s="16"/>
      <c r="J31" s="16"/>
      <c r="K31" s="16"/>
      <c r="L31" s="16"/>
      <c r="M31" s="16"/>
      <c r="N31" s="16"/>
      <c r="O31" s="16"/>
      <c r="P31" s="16"/>
      <c r="Q31" s="16"/>
      <c r="R31" s="16"/>
      <c r="S31" s="267">
        <f>MAX(S29-(S37-S38)-(S39-S40)-(S41-S42),0)</f>
        <v>31.181614788291355</v>
      </c>
      <c r="T31" s="266">
        <f t="shared" ref="T31:AB31" si="10">MAX(T29-(T37-T38)-(T39-T40)-(T41-T42),0)</f>
        <v>62.264644903424632</v>
      </c>
      <c r="U31" s="266">
        <f t="shared" si="10"/>
        <v>124.19</v>
      </c>
      <c r="V31" s="266">
        <f>MAX(V29-(V37-V38)-(V39-V40)-(V41-V42),0)</f>
        <v>247.21229746223111</v>
      </c>
      <c r="W31" s="266">
        <f>MAX(W29-(W37-W38)-(W39-W40)-(W41-W42),0)</f>
        <v>490.40582044557635</v>
      </c>
      <c r="X31" s="266">
        <f t="shared" si="10"/>
        <v>935.3125</v>
      </c>
      <c r="Y31" s="266">
        <f t="shared" si="10"/>
        <v>1502.0645736639731</v>
      </c>
      <c r="Z31" s="266">
        <f>MAX(Z29-(Z37-Z38)-(Z39-Z40)-(Z41-Z42),0)</f>
        <v>2492.1912971035408</v>
      </c>
      <c r="AA31" s="266">
        <f t="shared" si="10"/>
        <v>2073.8311595686264</v>
      </c>
      <c r="AB31" s="266">
        <f t="shared" si="10"/>
        <v>1405.4535892255435</v>
      </c>
      <c r="AC31" s="266">
        <f>MAX(AC29-(AC37-AC38)-(AC39-AC40)-(AC41-AC42),0)</f>
        <v>1403.2011857018542</v>
      </c>
      <c r="AD31" s="266">
        <f>MAX(AD29-(AD37-AD38)-(AD39-AD40)-(AD41-AD42),0)</f>
        <v>80.129992813200261</v>
      </c>
      <c r="AE31" s="266">
        <f t="shared" ref="AE31:AL31" si="11">MAX(AE29-(AE37-AE38)-(AE39-AE40)-(AE41-AE42),0)</f>
        <v>0</v>
      </c>
      <c r="AF31" s="266">
        <f t="shared" si="11"/>
        <v>0</v>
      </c>
      <c r="AG31" s="266">
        <f t="shared" si="11"/>
        <v>0</v>
      </c>
      <c r="AH31" s="266">
        <f t="shared" si="11"/>
        <v>0</v>
      </c>
      <c r="AI31" s="266">
        <f t="shared" si="11"/>
        <v>0</v>
      </c>
      <c r="AJ31" s="266">
        <f t="shared" si="11"/>
        <v>0</v>
      </c>
      <c r="AK31" s="266">
        <f t="shared" si="11"/>
        <v>0</v>
      </c>
      <c r="AL31" s="266">
        <f t="shared" si="11"/>
        <v>0</v>
      </c>
      <c r="AM31" s="266">
        <f t="shared" ref="AM31:AP31" si="12">MAX(AM29-(AM37-AM38)-(AM39-AM40)-(AM41-AM42),0)</f>
        <v>0</v>
      </c>
      <c r="AN31" s="218">
        <f t="shared" si="12"/>
        <v>0</v>
      </c>
      <c r="AO31" s="186">
        <f t="shared" si="12"/>
        <v>0</v>
      </c>
      <c r="AP31" s="186">
        <f t="shared" si="12"/>
        <v>0</v>
      </c>
      <c r="AQ31" s="187">
        <f t="shared" ref="AQ31" si="13">MAX(AQ29-(AQ37-AQ38)-(AQ39-AQ40)-(AQ41-AQ42),0)</f>
        <v>0</v>
      </c>
      <c r="AR31" s="247"/>
      <c r="AS31" s="45"/>
      <c r="AT31" s="45"/>
      <c r="AU31" s="69"/>
    </row>
    <row r="32" spans="1:47" x14ac:dyDescent="0.25">
      <c r="A32" s="41" t="s">
        <v>169</v>
      </c>
      <c r="B32" s="16"/>
      <c r="C32" s="16"/>
      <c r="D32" s="16"/>
      <c r="E32" s="16"/>
      <c r="F32" s="16"/>
      <c r="G32" s="16"/>
      <c r="H32" s="16"/>
      <c r="I32" s="16"/>
      <c r="J32" s="16"/>
      <c r="K32" s="16"/>
      <c r="L32" s="16"/>
      <c r="M32" s="16"/>
      <c r="N32" s="16"/>
      <c r="O32" s="16"/>
      <c r="P32" s="16"/>
      <c r="Q32" s="16"/>
      <c r="R32" s="16"/>
      <c r="S32" s="82">
        <f>MAX(S29-S31,0)</f>
        <v>6.8385211708644533E-2</v>
      </c>
      <c r="T32" s="82">
        <f t="shared" ref="T32:U32" si="14">MAX(T29-T31,0)</f>
        <v>0.23535509657536835</v>
      </c>
      <c r="U32" s="82">
        <f t="shared" si="14"/>
        <v>0.81000000000000227</v>
      </c>
      <c r="V32" s="117">
        <f>MAX(V29-V31,0)</f>
        <v>2.7877025377688938</v>
      </c>
      <c r="W32" s="117">
        <f t="shared" ref="W32:AM32" si="15">MAX(W29-W31,0)</f>
        <v>9.594179554423647</v>
      </c>
      <c r="X32" s="117">
        <f t="shared" si="15"/>
        <v>64.6875</v>
      </c>
      <c r="Y32" s="117">
        <f t="shared" si="15"/>
        <v>497.93542633602692</v>
      </c>
      <c r="Z32" s="117">
        <f t="shared" si="15"/>
        <v>1507.8087028964592</v>
      </c>
      <c r="AA32" s="117">
        <f t="shared" si="15"/>
        <v>5926.1688404313736</v>
      </c>
      <c r="AB32" s="117">
        <f t="shared" si="15"/>
        <v>14594.546410774456</v>
      </c>
      <c r="AC32" s="117">
        <f t="shared" si="15"/>
        <v>30596.798814298145</v>
      </c>
      <c r="AD32" s="117">
        <f t="shared" si="15"/>
        <v>63919.870007186801</v>
      </c>
      <c r="AE32" s="117">
        <f t="shared" si="15"/>
        <v>128000</v>
      </c>
      <c r="AF32" s="117">
        <f t="shared" si="15"/>
        <v>256000</v>
      </c>
      <c r="AG32" s="117">
        <f t="shared" si="15"/>
        <v>512000</v>
      </c>
      <c r="AH32" s="117">
        <f t="shared" si="15"/>
        <v>1024000</v>
      </c>
      <c r="AI32" s="117">
        <f t="shared" si="15"/>
        <v>2048000</v>
      </c>
      <c r="AJ32" s="117">
        <f t="shared" si="15"/>
        <v>4096000</v>
      </c>
      <c r="AK32" s="117">
        <f t="shared" si="15"/>
        <v>8192000</v>
      </c>
      <c r="AL32" s="117">
        <f t="shared" si="15"/>
        <v>16384000</v>
      </c>
      <c r="AM32" s="117">
        <f t="shared" si="15"/>
        <v>32768000</v>
      </c>
      <c r="AN32" s="282">
        <f>MAX(AN29-AN31,0)</f>
        <v>65536000</v>
      </c>
      <c r="AO32" s="197">
        <f>MAX(AO29-AO31,0)</f>
        <v>131072000</v>
      </c>
      <c r="AP32" s="197">
        <f t="shared" ref="AP32:AQ32" si="16">MAX(AP29-AP31,0)</f>
        <v>262144000</v>
      </c>
      <c r="AQ32" s="197">
        <f t="shared" si="16"/>
        <v>272886000</v>
      </c>
      <c r="AR32" s="248"/>
      <c r="AS32" s="25"/>
      <c r="AT32" s="25"/>
      <c r="AU32" s="69"/>
    </row>
    <row r="33" spans="1:47" x14ac:dyDescent="0.25">
      <c r="A33" s="4" t="s">
        <v>162</v>
      </c>
      <c r="B33" s="9"/>
      <c r="C33" s="9"/>
      <c r="D33" s="9"/>
      <c r="E33" s="9"/>
      <c r="F33" s="9"/>
      <c r="G33" s="9"/>
      <c r="H33" s="9"/>
      <c r="I33" s="9"/>
      <c r="J33" s="9"/>
      <c r="K33" s="9"/>
      <c r="L33" s="9"/>
      <c r="M33" s="9"/>
      <c r="N33" s="9"/>
      <c r="O33" s="9"/>
      <c r="P33" s="9"/>
      <c r="Q33" s="9"/>
      <c r="R33" s="5"/>
      <c r="S33" s="184">
        <f t="shared" ref="S33:AK33" si="17">S29/$B$17</f>
        <v>98.4375</v>
      </c>
      <c r="T33" s="185">
        <f t="shared" si="17"/>
        <v>196.875</v>
      </c>
      <c r="U33" s="185">
        <f t="shared" si="17"/>
        <v>393.75</v>
      </c>
      <c r="V33" s="185">
        <f t="shared" si="17"/>
        <v>787.5</v>
      </c>
      <c r="W33" s="185">
        <f t="shared" si="17"/>
        <v>1575</v>
      </c>
      <c r="X33" s="185">
        <f t="shared" si="17"/>
        <v>3150</v>
      </c>
      <c r="Y33" s="185">
        <f t="shared" si="17"/>
        <v>6300</v>
      </c>
      <c r="Z33" s="185">
        <f t="shared" si="17"/>
        <v>12600</v>
      </c>
      <c r="AA33" s="185">
        <f t="shared" si="17"/>
        <v>25200</v>
      </c>
      <c r="AB33" s="185">
        <f t="shared" si="17"/>
        <v>50400</v>
      </c>
      <c r="AC33" s="185">
        <f t="shared" si="17"/>
        <v>100800</v>
      </c>
      <c r="AD33" s="185">
        <f t="shared" si="17"/>
        <v>201600</v>
      </c>
      <c r="AE33" s="185">
        <f t="shared" si="17"/>
        <v>403200</v>
      </c>
      <c r="AF33" s="185">
        <f t="shared" si="17"/>
        <v>806400</v>
      </c>
      <c r="AG33" s="185">
        <f t="shared" si="17"/>
        <v>1612800</v>
      </c>
      <c r="AH33" s="185">
        <f t="shared" si="17"/>
        <v>3225600</v>
      </c>
      <c r="AI33" s="185">
        <f t="shared" si="17"/>
        <v>6451200</v>
      </c>
      <c r="AJ33" s="185">
        <f t="shared" si="17"/>
        <v>12902400</v>
      </c>
      <c r="AK33" s="185">
        <f t="shared" si="17"/>
        <v>25804800</v>
      </c>
      <c r="AL33" s="185">
        <f t="shared" ref="AL33:AM33" si="18">AL29/$B$17</f>
        <v>51609600</v>
      </c>
      <c r="AM33" s="185">
        <f t="shared" si="18"/>
        <v>103219200</v>
      </c>
      <c r="AN33" s="216">
        <f>$B$15</f>
        <v>272886000</v>
      </c>
      <c r="AO33" s="193">
        <f>$B$15</f>
        <v>272886000</v>
      </c>
      <c r="AP33" s="193">
        <f>$B$15</f>
        <v>272886000</v>
      </c>
      <c r="AQ33" s="194">
        <f t="shared" ref="AQ33" si="19">$B$15</f>
        <v>272886000</v>
      </c>
      <c r="AR33" s="247">
        <f>($B$15*$B$18)/$B$17</f>
        <v>42979545</v>
      </c>
      <c r="AS33" s="25"/>
      <c r="AT33" s="25"/>
      <c r="AU33" s="69"/>
    </row>
    <row r="34" spans="1:47" x14ac:dyDescent="0.25">
      <c r="A34" s="41" t="s">
        <v>110</v>
      </c>
      <c r="B34" s="16"/>
      <c r="C34" s="16"/>
      <c r="D34" s="16"/>
      <c r="E34" s="16"/>
      <c r="F34" s="16"/>
      <c r="G34" s="16"/>
      <c r="H34" s="16"/>
      <c r="I34" s="16"/>
      <c r="J34" s="16"/>
      <c r="K34" s="16"/>
      <c r="L34" s="16"/>
      <c r="M34" s="16"/>
      <c r="N34" s="16"/>
      <c r="O34" s="16"/>
      <c r="P34" s="16"/>
      <c r="Q34" s="16"/>
      <c r="R34" s="17"/>
      <c r="S34" s="182">
        <f>S33/$B$15</f>
        <v>3.6072755656208085E-7</v>
      </c>
      <c r="T34" s="183">
        <f t="shared" ref="T34:AJ34" si="20">T33/$B$15</f>
        <v>7.214551131241617E-7</v>
      </c>
      <c r="U34" s="183">
        <f t="shared" si="20"/>
        <v>1.4429102262483234E-6</v>
      </c>
      <c r="V34" s="66">
        <f t="shared" si="20"/>
        <v>2.8858204524966468E-6</v>
      </c>
      <c r="W34" s="66">
        <f t="shared" si="20"/>
        <v>5.7716409049932936E-6</v>
      </c>
      <c r="X34" s="66">
        <f t="shared" si="20"/>
        <v>1.1543281809986587E-5</v>
      </c>
      <c r="Y34" s="66">
        <f t="shared" si="20"/>
        <v>2.3086563619973174E-5</v>
      </c>
      <c r="Z34" s="66">
        <f t="shared" si="20"/>
        <v>4.6173127239946349E-5</v>
      </c>
      <c r="AA34" s="36">
        <f t="shared" si="20"/>
        <v>9.2346254479892698E-5</v>
      </c>
      <c r="AB34" s="36">
        <f t="shared" si="20"/>
        <v>1.846925089597854E-4</v>
      </c>
      <c r="AC34" s="36">
        <f t="shared" si="20"/>
        <v>3.6938501791957079E-4</v>
      </c>
      <c r="AD34" s="36">
        <f t="shared" si="20"/>
        <v>7.3877003583914158E-4</v>
      </c>
      <c r="AE34" s="14">
        <f t="shared" si="20"/>
        <v>1.4775400716782832E-3</v>
      </c>
      <c r="AF34" s="15">
        <f t="shared" si="20"/>
        <v>2.9550801433565663E-3</v>
      </c>
      <c r="AG34" s="15">
        <f t="shared" si="20"/>
        <v>5.9101602867131326E-3</v>
      </c>
      <c r="AH34" s="15">
        <f t="shared" si="20"/>
        <v>1.1820320573426265E-2</v>
      </c>
      <c r="AI34" s="15">
        <f t="shared" si="20"/>
        <v>2.3640641146852531E-2</v>
      </c>
      <c r="AJ34" s="15">
        <f t="shared" si="20"/>
        <v>4.7281282293705061E-2</v>
      </c>
      <c r="AK34" s="15">
        <f>AK33/$B$15</f>
        <v>9.4562564587410122E-2</v>
      </c>
      <c r="AL34" s="15">
        <f>AL33/$B$15</f>
        <v>0.18912512917482024</v>
      </c>
      <c r="AM34" s="15">
        <f>AM33/$B$15</f>
        <v>0.37825025834964049</v>
      </c>
      <c r="AN34" s="217">
        <f t="shared" ref="AN34:AQ34" si="21">AN33/$B$15</f>
        <v>1</v>
      </c>
      <c r="AO34" s="167">
        <f t="shared" ref="AO34" si="22">AO33/$B$15</f>
        <v>1</v>
      </c>
      <c r="AP34" s="167">
        <f t="shared" si="21"/>
        <v>1</v>
      </c>
      <c r="AQ34" s="168">
        <f t="shared" si="21"/>
        <v>1</v>
      </c>
      <c r="AR34" s="246">
        <f>AR33/B15</f>
        <v>0.1575</v>
      </c>
      <c r="AS34" s="25"/>
      <c r="AT34" s="25"/>
      <c r="AU34" s="69"/>
    </row>
    <row r="35" spans="1:47" x14ac:dyDescent="0.25">
      <c r="A35" s="41" t="s">
        <v>160</v>
      </c>
      <c r="B35" s="16"/>
      <c r="C35" s="16"/>
      <c r="D35" s="16"/>
      <c r="E35" s="16"/>
      <c r="F35" s="16"/>
      <c r="G35" s="16"/>
      <c r="H35" s="16"/>
      <c r="I35" s="16"/>
      <c r="J35" s="16"/>
      <c r="K35" s="16"/>
      <c r="L35" s="16"/>
      <c r="M35" s="16"/>
      <c r="N35" s="16"/>
      <c r="O35" s="16"/>
      <c r="P35" s="16"/>
      <c r="Q35" s="16"/>
      <c r="R35" s="17"/>
      <c r="S35" s="184">
        <f>S33-S29</f>
        <v>67.1875</v>
      </c>
      <c r="T35" s="185">
        <f t="shared" ref="T35:AJ35" si="23">T33-T29</f>
        <v>134.375</v>
      </c>
      <c r="U35" s="185">
        <f t="shared" si="23"/>
        <v>268.75</v>
      </c>
      <c r="V35" s="185">
        <f t="shared" si="23"/>
        <v>537.5</v>
      </c>
      <c r="W35" s="185">
        <f>W33-W29</f>
        <v>1075</v>
      </c>
      <c r="X35" s="185">
        <f t="shared" si="23"/>
        <v>2150</v>
      </c>
      <c r="Y35" s="185">
        <f t="shared" si="23"/>
        <v>4300</v>
      </c>
      <c r="Z35" s="185">
        <f t="shared" si="23"/>
        <v>8600</v>
      </c>
      <c r="AA35" s="185">
        <f t="shared" si="23"/>
        <v>17200</v>
      </c>
      <c r="AB35" s="185">
        <f t="shared" si="23"/>
        <v>34400</v>
      </c>
      <c r="AC35" s="185">
        <f t="shared" si="23"/>
        <v>68800</v>
      </c>
      <c r="AD35" s="185">
        <f t="shared" si="23"/>
        <v>137600</v>
      </c>
      <c r="AE35" s="185">
        <f t="shared" si="23"/>
        <v>275200</v>
      </c>
      <c r="AF35" s="185">
        <f t="shared" si="23"/>
        <v>550400</v>
      </c>
      <c r="AG35" s="185">
        <f t="shared" si="23"/>
        <v>1100800</v>
      </c>
      <c r="AH35" s="185">
        <f t="shared" si="23"/>
        <v>2201600</v>
      </c>
      <c r="AI35" s="185">
        <f t="shared" si="23"/>
        <v>4403200</v>
      </c>
      <c r="AJ35" s="185">
        <f t="shared" si="23"/>
        <v>8806400</v>
      </c>
      <c r="AK35" s="185">
        <f>AK33-AK29</f>
        <v>17612800</v>
      </c>
      <c r="AL35" s="185">
        <f>AL33-AL29</f>
        <v>35225600</v>
      </c>
      <c r="AM35" s="185">
        <f>AM33-AM29</f>
        <v>70451200</v>
      </c>
      <c r="AN35" s="218">
        <f t="shared" ref="AN35:AQ35" si="24">AN33</f>
        <v>272886000</v>
      </c>
      <c r="AO35" s="186">
        <f t="shared" si="24"/>
        <v>272886000</v>
      </c>
      <c r="AP35" s="186">
        <f t="shared" si="24"/>
        <v>272886000</v>
      </c>
      <c r="AQ35" s="187">
        <f t="shared" si="24"/>
        <v>272886000</v>
      </c>
      <c r="AR35" s="249">
        <f>AR33-AR29</f>
        <v>29335245</v>
      </c>
      <c r="AS35" s="25"/>
      <c r="AT35" s="25"/>
      <c r="AU35" s="69"/>
    </row>
    <row r="36" spans="1:47" x14ac:dyDescent="0.25">
      <c r="A36" s="37" t="s">
        <v>161</v>
      </c>
      <c r="B36" s="39"/>
      <c r="C36" s="39"/>
      <c r="D36" s="39"/>
      <c r="E36" s="39"/>
      <c r="F36" s="39"/>
      <c r="G36" s="39"/>
      <c r="H36" s="39"/>
      <c r="I36" s="39"/>
      <c r="J36" s="39"/>
      <c r="K36" s="39"/>
      <c r="L36" s="39"/>
      <c r="M36" s="39"/>
      <c r="N36" s="39"/>
      <c r="O36" s="39"/>
      <c r="P36" s="39"/>
      <c r="Q36" s="39"/>
      <c r="R36" s="63"/>
      <c r="S36" s="191">
        <f>MIN((1/$B$17)*(2^(((S28 - 14) - $B$25)/$S$53)),S35)</f>
        <v>0.26594248997805758</v>
      </c>
      <c r="T36" s="192">
        <f>MIN((1/$B$17)*(2^(((T28 - 14) - $B$25)/$S$53)),T35)</f>
        <v>0.91526982001532275</v>
      </c>
      <c r="U36" s="192">
        <f>MIN((1/$B$17)*(2^(((U28 - 14) - $B$25)/$S$53)),U35)</f>
        <v>3.1500000000000004</v>
      </c>
      <c r="V36" s="192">
        <f>MIN((1/$B$17)*(2^(((V28 - 14) - $B$25)/$S$53)),V35)</f>
        <v>10.841065424656838</v>
      </c>
      <c r="W36" s="192">
        <f>MIN((1/$B$17)*(2^(((W28 - 14) - $B$25)/$S$53)),W35)</f>
        <v>37.310698267203151</v>
      </c>
      <c r="X36" s="185">
        <f t="shared" ref="X36:AQ36" si="25">MIN(($S$29/$B$17)*(2^(((X28 - 14) - $S$28)/HLOOKUP((X28-14)-$B$25,$S$51:$AR$53,3,TRUE))),X35)</f>
        <v>251.56249999999997</v>
      </c>
      <c r="Y36" s="185">
        <f t="shared" si="25"/>
        <v>1936.4155468623269</v>
      </c>
      <c r="Z36" s="185">
        <f t="shared" si="25"/>
        <v>5863.7005112640081</v>
      </c>
      <c r="AA36" s="185">
        <f t="shared" si="25"/>
        <v>17200</v>
      </c>
      <c r="AB36" s="185">
        <f t="shared" si="25"/>
        <v>34400</v>
      </c>
      <c r="AC36" s="185">
        <f t="shared" si="25"/>
        <v>68800</v>
      </c>
      <c r="AD36" s="185">
        <f t="shared" si="25"/>
        <v>137600</v>
      </c>
      <c r="AE36" s="185">
        <f t="shared" si="25"/>
        <v>275200</v>
      </c>
      <c r="AF36" s="185">
        <f t="shared" si="25"/>
        <v>550400</v>
      </c>
      <c r="AG36" s="185">
        <f t="shared" si="25"/>
        <v>1100800</v>
      </c>
      <c r="AH36" s="185">
        <f t="shared" si="25"/>
        <v>2201600</v>
      </c>
      <c r="AI36" s="185">
        <f t="shared" si="25"/>
        <v>4403200</v>
      </c>
      <c r="AJ36" s="185">
        <f t="shared" si="25"/>
        <v>8806400</v>
      </c>
      <c r="AK36" s="185">
        <f t="shared" si="25"/>
        <v>17612800</v>
      </c>
      <c r="AL36" s="185">
        <f t="shared" si="25"/>
        <v>35225600</v>
      </c>
      <c r="AM36" s="185">
        <f t="shared" si="25"/>
        <v>70451200</v>
      </c>
      <c r="AN36" s="219">
        <f t="shared" si="25"/>
        <v>272886000</v>
      </c>
      <c r="AO36" s="188">
        <f t="shared" si="25"/>
        <v>272886000</v>
      </c>
      <c r="AP36" s="188">
        <f t="shared" si="25"/>
        <v>272886000</v>
      </c>
      <c r="AQ36" s="189">
        <f t="shared" si="25"/>
        <v>272886000</v>
      </c>
      <c r="AR36" s="249"/>
      <c r="AS36" s="25"/>
      <c r="AT36" s="25"/>
      <c r="AU36" s="69"/>
    </row>
    <row r="37" spans="1:47" x14ac:dyDescent="0.25">
      <c r="A37" s="41" t="s">
        <v>158</v>
      </c>
      <c r="B37" s="16"/>
      <c r="C37" s="16"/>
      <c r="D37" s="16"/>
      <c r="E37" s="16"/>
      <c r="F37" s="16"/>
      <c r="G37" s="16"/>
      <c r="H37" s="16"/>
      <c r="I37" s="16"/>
      <c r="J37" s="16"/>
      <c r="K37" s="16"/>
      <c r="L37" s="16"/>
      <c r="M37" s="16"/>
      <c r="N37" s="16"/>
      <c r="O37" s="16"/>
      <c r="P37" s="16"/>
      <c r="Q37" s="16"/>
      <c r="R37" s="16"/>
      <c r="S37" s="198">
        <f t="shared" ref="S37:AL37" si="26">S29*$B$21</f>
        <v>25.3125</v>
      </c>
      <c r="T37" s="199">
        <f t="shared" si="26"/>
        <v>50.625</v>
      </c>
      <c r="U37" s="199">
        <f t="shared" si="26"/>
        <v>101.25</v>
      </c>
      <c r="V37" s="199">
        <f t="shared" si="26"/>
        <v>202.5</v>
      </c>
      <c r="W37" s="199">
        <f t="shared" si="26"/>
        <v>405</v>
      </c>
      <c r="X37" s="199">
        <f t="shared" si="26"/>
        <v>810</v>
      </c>
      <c r="Y37" s="199">
        <f t="shared" si="26"/>
        <v>1620</v>
      </c>
      <c r="Z37" s="199">
        <f t="shared" si="26"/>
        <v>3240</v>
      </c>
      <c r="AA37" s="199">
        <f t="shared" si="26"/>
        <v>6480</v>
      </c>
      <c r="AB37" s="199">
        <f t="shared" si="26"/>
        <v>12960</v>
      </c>
      <c r="AC37" s="199">
        <f t="shared" si="26"/>
        <v>25920</v>
      </c>
      <c r="AD37" s="199">
        <f t="shared" si="26"/>
        <v>51840</v>
      </c>
      <c r="AE37" s="199">
        <f t="shared" si="26"/>
        <v>103680</v>
      </c>
      <c r="AF37" s="199">
        <f t="shared" si="26"/>
        <v>207360</v>
      </c>
      <c r="AG37" s="199">
        <f t="shared" si="26"/>
        <v>414720</v>
      </c>
      <c r="AH37" s="199">
        <f t="shared" si="26"/>
        <v>829440</v>
      </c>
      <c r="AI37" s="199">
        <f t="shared" si="26"/>
        <v>1658880</v>
      </c>
      <c r="AJ37" s="199">
        <f t="shared" si="26"/>
        <v>3317760</v>
      </c>
      <c r="AK37" s="199">
        <f t="shared" si="26"/>
        <v>6635520</v>
      </c>
      <c r="AL37" s="199">
        <f t="shared" si="26"/>
        <v>13271040</v>
      </c>
      <c r="AM37" s="199">
        <f t="shared" ref="AM37:AQ37" si="27">AM29*$B$21</f>
        <v>26542080</v>
      </c>
      <c r="AN37" s="216">
        <f t="shared" si="27"/>
        <v>53084160</v>
      </c>
      <c r="AO37" s="193">
        <f t="shared" si="27"/>
        <v>106168320</v>
      </c>
      <c r="AP37" s="193">
        <f t="shared" si="27"/>
        <v>212336640</v>
      </c>
      <c r="AQ37" s="194">
        <f t="shared" si="27"/>
        <v>221037660</v>
      </c>
      <c r="AR37" s="249">
        <f>AR29*B21</f>
        <v>11051883</v>
      </c>
      <c r="AS37" s="25"/>
      <c r="AT37" s="25"/>
      <c r="AU37" s="69"/>
    </row>
    <row r="38" spans="1:47" x14ac:dyDescent="0.25">
      <c r="A38" s="41" t="s">
        <v>170</v>
      </c>
      <c r="B38" s="16"/>
      <c r="C38" s="16"/>
      <c r="D38" s="16"/>
      <c r="E38" s="16"/>
      <c r="F38" s="16"/>
      <c r="G38" s="16"/>
      <c r="H38" s="16"/>
      <c r="I38" s="16"/>
      <c r="J38" s="16"/>
      <c r="K38" s="16"/>
      <c r="L38" s="16"/>
      <c r="M38" s="16"/>
      <c r="N38" s="16"/>
      <c r="O38" s="16"/>
      <c r="P38" s="16"/>
      <c r="Q38" s="16"/>
      <c r="R38" s="16"/>
      <c r="S38" s="191">
        <f>S37-(1*$B$21)*(2^(((S28 - 14) - $B$25)/$S$53))</f>
        <v>25.244114788291355</v>
      </c>
      <c r="T38" s="192">
        <f>T37-(1*$B$21)*(2^(((T28 - 14) - $B$25)/$S$53))</f>
        <v>50.389644903424632</v>
      </c>
      <c r="U38" s="192">
        <f>U37-(1*$B$21)*(2^(((U28 - 14) - $B$25)/$S$53))</f>
        <v>100.44</v>
      </c>
      <c r="V38" s="192">
        <f>V37-(1*$B$21)*(2^(((V28 - 14) - $B$25)/$S$53))</f>
        <v>199.71229746223111</v>
      </c>
      <c r="W38" s="192">
        <f>W37-(1*$B$21)*(2^(((W28 - 14) - $B$25)/$S$53))</f>
        <v>395.40582044557635</v>
      </c>
      <c r="X38" s="190">
        <f t="shared" ref="X38:AQ38" si="28">MAX(X37-(($S$29*$B$21)*(2^(((X28 -14) - $S$28)/HLOOKUP((X28-14)-$B$25,$S$51:$AR$53,3,TRUE)))),0)</f>
        <v>745.3125</v>
      </c>
      <c r="Y38" s="190">
        <f t="shared" si="28"/>
        <v>1122.0645736639731</v>
      </c>
      <c r="Z38" s="190">
        <f t="shared" si="28"/>
        <v>1732.1912971035408</v>
      </c>
      <c r="AA38" s="190">
        <f t="shared" si="28"/>
        <v>908.90638284952001</v>
      </c>
      <c r="AB38" s="190">
        <f t="shared" si="28"/>
        <v>0</v>
      </c>
      <c r="AC38" s="190">
        <f t="shared" si="28"/>
        <v>0</v>
      </c>
      <c r="AD38" s="190">
        <f t="shared" si="28"/>
        <v>0</v>
      </c>
      <c r="AE38" s="190">
        <f t="shared" si="28"/>
        <v>0</v>
      </c>
      <c r="AF38" s="190">
        <f t="shared" si="28"/>
        <v>0</v>
      </c>
      <c r="AG38" s="190">
        <f t="shared" si="28"/>
        <v>0</v>
      </c>
      <c r="AH38" s="190">
        <f t="shared" si="28"/>
        <v>0</v>
      </c>
      <c r="AI38" s="190">
        <f t="shared" si="28"/>
        <v>0</v>
      </c>
      <c r="AJ38" s="190">
        <f t="shared" si="28"/>
        <v>0</v>
      </c>
      <c r="AK38" s="190">
        <f t="shared" si="28"/>
        <v>0</v>
      </c>
      <c r="AL38" s="190">
        <f t="shared" si="28"/>
        <v>0</v>
      </c>
      <c r="AM38" s="190">
        <f t="shared" si="28"/>
        <v>0</v>
      </c>
      <c r="AN38" s="219">
        <f t="shared" si="28"/>
        <v>0</v>
      </c>
      <c r="AO38" s="188">
        <f t="shared" si="28"/>
        <v>0</v>
      </c>
      <c r="AP38" s="188">
        <f t="shared" si="28"/>
        <v>0</v>
      </c>
      <c r="AQ38" s="189">
        <f t="shared" si="28"/>
        <v>0</v>
      </c>
      <c r="AR38" s="247"/>
      <c r="AS38" s="25"/>
      <c r="AT38" s="25"/>
      <c r="AU38" s="69"/>
    </row>
    <row r="39" spans="1:47" x14ac:dyDescent="0.25">
      <c r="A39" s="62" t="s">
        <v>108</v>
      </c>
      <c r="B39" s="9"/>
      <c r="C39" s="9"/>
      <c r="D39" s="9"/>
      <c r="E39" s="9"/>
      <c r="F39" s="9"/>
      <c r="G39" s="9"/>
      <c r="H39" s="9"/>
      <c r="I39" s="9"/>
      <c r="J39" s="9"/>
      <c r="K39" s="9"/>
      <c r="L39" s="9"/>
      <c r="M39" s="9"/>
      <c r="N39" s="9"/>
      <c r="O39" s="9"/>
      <c r="P39" s="9"/>
      <c r="Q39" s="9"/>
      <c r="R39" s="5"/>
      <c r="S39" s="206">
        <f>(1*($B$22+$B$23))*(2^(((S28 - 7) - $B$25)/$S$53))</f>
        <v>0.28686269321064994</v>
      </c>
      <c r="T39" s="204">
        <f>(1*($B$22+$B$23))*(2^(((T28 - 7) - $B$25)/$S$53))</f>
        <v>0.98726896031425992</v>
      </c>
      <c r="U39" s="204">
        <f>(1*($B$22+$B$23))*(2^(((U28 - 7) - $B$25)/$S$53))</f>
        <v>3.3977928223808966</v>
      </c>
      <c r="V39" s="195">
        <f t="shared" ref="V39:AQ39" si="29">($S$29*($B$22+$B$23))*(2^(((V28-7)-$S$28)/HLOOKUP((V28-7)-$B$25,$S$51:$AR$53,3,TRUE)))</f>
        <v>13.534573150668992</v>
      </c>
      <c r="W39" s="195">
        <f t="shared" si="29"/>
        <v>28.3625865126495</v>
      </c>
      <c r="X39" s="195">
        <f t="shared" si="29"/>
        <v>89.088156653802415</v>
      </c>
      <c r="Y39" s="195">
        <f t="shared" si="29"/>
        <v>285.2286756025112</v>
      </c>
      <c r="Z39" s="195">
        <f t="shared" si="29"/>
        <v>547.48150861902241</v>
      </c>
      <c r="AA39" s="195">
        <f t="shared" si="29"/>
        <v>2006.5557851506962</v>
      </c>
      <c r="AB39" s="195">
        <f t="shared" si="29"/>
        <v>9417.9493258412858</v>
      </c>
      <c r="AC39" s="195">
        <f t="shared" si="29"/>
        <v>20625.664347928399</v>
      </c>
      <c r="AD39" s="195">
        <f t="shared" si="29"/>
        <v>33962.570261260051</v>
      </c>
      <c r="AE39" s="195">
        <f t="shared" si="29"/>
        <v>102710.09612911714</v>
      </c>
      <c r="AF39" s="195">
        <f t="shared" si="29"/>
        <v>205105.42154890808</v>
      </c>
      <c r="AG39" s="195">
        <f t="shared" si="29"/>
        <v>765558.30861852656</v>
      </c>
      <c r="AH39" s="195">
        <f t="shared" si="29"/>
        <v>2003525.6465973882</v>
      </c>
      <c r="AI39" s="195">
        <f t="shared" si="29"/>
        <v>4306336.4941211781</v>
      </c>
      <c r="AJ39" s="195">
        <f t="shared" si="29"/>
        <v>8371411.3931360245</v>
      </c>
      <c r="AK39" s="195">
        <f t="shared" si="29"/>
        <v>15593364.950985298</v>
      </c>
      <c r="AL39" s="195">
        <f t="shared" si="29"/>
        <v>28625158.337007474</v>
      </c>
      <c r="AM39" s="195">
        <f t="shared" si="29"/>
        <v>52466276.038487814</v>
      </c>
      <c r="AN39" s="216">
        <f t="shared" si="29"/>
        <v>96560250.693191111</v>
      </c>
      <c r="AO39" s="193">
        <f t="shared" si="29"/>
        <v>141635598.10149309</v>
      </c>
      <c r="AP39" s="193">
        <f t="shared" si="29"/>
        <v>226406854.73546895</v>
      </c>
      <c r="AQ39" s="194">
        <f t="shared" si="29"/>
        <v>382214704.42521995</v>
      </c>
      <c r="AR39" s="247">
        <f>AR29*(B22+B23)</f>
        <v>2592417</v>
      </c>
      <c r="AS39" s="45"/>
      <c r="AT39" s="45"/>
      <c r="AU39" s="69"/>
    </row>
    <row r="40" spans="1:47" x14ac:dyDescent="0.25">
      <c r="A40" s="37" t="s">
        <v>156</v>
      </c>
      <c r="B40" s="38"/>
      <c r="C40" s="39"/>
      <c r="D40" s="39"/>
      <c r="E40" s="39"/>
      <c r="F40" s="39"/>
      <c r="G40" s="39"/>
      <c r="H40" s="39"/>
      <c r="I40" s="39"/>
      <c r="J40" s="39"/>
      <c r="K40" s="39"/>
      <c r="L40" s="39"/>
      <c r="M40" s="39"/>
      <c r="N40" s="39"/>
      <c r="O40" s="39"/>
      <c r="P40" s="39"/>
      <c r="Q40" s="39"/>
      <c r="R40" s="63"/>
      <c r="S40" s="191">
        <f t="shared" ref="S40:Z40" si="30">S39</f>
        <v>0.28686269321064994</v>
      </c>
      <c r="T40" s="192">
        <f t="shared" si="30"/>
        <v>0.98726896031425992</v>
      </c>
      <c r="U40" s="192">
        <f t="shared" si="30"/>
        <v>3.3977928223808966</v>
      </c>
      <c r="V40" s="192">
        <f t="shared" si="30"/>
        <v>13.534573150668992</v>
      </c>
      <c r="W40" s="192">
        <f t="shared" si="30"/>
        <v>28.3625865126495</v>
      </c>
      <c r="X40" s="192">
        <f t="shared" si="30"/>
        <v>89.088156653802415</v>
      </c>
      <c r="Y40" s="192">
        <f t="shared" si="30"/>
        <v>285.2286756025112</v>
      </c>
      <c r="Z40" s="192">
        <f t="shared" si="30"/>
        <v>547.48150861902241</v>
      </c>
      <c r="AA40" s="185">
        <f t="shared" ref="AA40:AQ40" si="31">MAX(AA39-($S$29*$B$22)*(2^(((AA28 - 42) - $S$28)/HLOOKUP((AA28-42)-$B$25,$S$51:$AR$53,3,TRUE)))-AA42,0)</f>
        <v>1674.924813620803</v>
      </c>
      <c r="AB40" s="185">
        <f t="shared" si="31"/>
        <v>8072.3760871510385</v>
      </c>
      <c r="AC40" s="185">
        <f t="shared" si="31"/>
        <v>17641.788773472537</v>
      </c>
      <c r="AD40" s="185">
        <f t="shared" si="31"/>
        <v>26802.688398998784</v>
      </c>
      <c r="AE40" s="185">
        <f t="shared" si="31"/>
        <v>60651.770591143701</v>
      </c>
      <c r="AF40" s="185">
        <f t="shared" si="31"/>
        <v>157902.98565180902</v>
      </c>
      <c r="AG40" s="185">
        <f t="shared" si="31"/>
        <v>564098.56288793497</v>
      </c>
      <c r="AH40" s="185">
        <f t="shared" si="31"/>
        <v>1389598.7401048646</v>
      </c>
      <c r="AI40" s="185">
        <f t="shared" si="31"/>
        <v>2789659.6243944252</v>
      </c>
      <c r="AJ40" s="185">
        <f t="shared" si="31"/>
        <v>5058674.7433648538</v>
      </c>
      <c r="AK40" s="185">
        <f t="shared" si="31"/>
        <v>8815399.7943230644</v>
      </c>
      <c r="AL40" s="185">
        <f t="shared" si="31"/>
        <v>15216082.044455487</v>
      </c>
      <c r="AM40" s="185">
        <f t="shared" si="31"/>
        <v>26375950.374541938</v>
      </c>
      <c r="AN40" s="219">
        <f t="shared" si="31"/>
        <v>46176458.33005251</v>
      </c>
      <c r="AO40" s="188">
        <f t="shared" si="31"/>
        <v>64781207.510700889</v>
      </c>
      <c r="AP40" s="188">
        <f t="shared" si="31"/>
        <v>99982376.980221272</v>
      </c>
      <c r="AQ40" s="189">
        <f t="shared" si="31"/>
        <v>164067312.61497679</v>
      </c>
      <c r="AR40" s="249"/>
      <c r="AS40" s="45"/>
      <c r="AT40" s="45"/>
      <c r="AU40" s="69"/>
    </row>
    <row r="41" spans="1:47" x14ac:dyDescent="0.25">
      <c r="A41" s="62" t="s">
        <v>109</v>
      </c>
      <c r="B41" s="9"/>
      <c r="C41" s="9"/>
      <c r="D41" s="9"/>
      <c r="E41" s="9"/>
      <c r="F41" s="9"/>
      <c r="G41" s="9"/>
      <c r="H41" s="9"/>
      <c r="I41" s="9"/>
      <c r="J41" s="9"/>
      <c r="K41" s="9"/>
      <c r="L41" s="9"/>
      <c r="M41" s="9"/>
      <c r="N41" s="9"/>
      <c r="O41" s="9"/>
      <c r="P41" s="9"/>
      <c r="Q41" s="9"/>
      <c r="R41" s="5"/>
      <c r="S41" s="206">
        <f>(1*$B$23)*(2^(((S28 - 14) -$B$25)/$S$53))</f>
        <v>4.2213093647310721E-3</v>
      </c>
      <c r="T41" s="204">
        <f>(1*$B$23)*(2^(((T28 - 14) -$B$25)/$S$53))</f>
        <v>1.4528092381195599E-2</v>
      </c>
      <c r="U41" s="204">
        <f>(1*$B$23)*(2^(((U28 - 14) -$B$25)/$S$53))</f>
        <v>0.05</v>
      </c>
      <c r="V41" s="204">
        <f>(1*$B$23)*(2^(((V28 - 14) -$B$25)/$S$53))</f>
        <v>0.17208040356598153</v>
      </c>
      <c r="W41" s="204">
        <f>(1*$B$23)*(2^(((W28 - 14) -$B$25)/$S$53))</f>
        <v>0.59223330582862133</v>
      </c>
      <c r="X41" s="195">
        <f t="shared" ref="X41:AQ41" si="32">($S$29*$B$23)*(2^(((X28 - 14) - $S$28)/HLOOKUP((X28-14)-$B$25,$S$51:$AR$53,3,TRUE)))</f>
        <v>3.9930555555555554</v>
      </c>
      <c r="Y41" s="195">
        <f t="shared" si="32"/>
        <v>30.736754712100428</v>
      </c>
      <c r="Z41" s="195">
        <f t="shared" si="32"/>
        <v>93.07461128990488</v>
      </c>
      <c r="AA41" s="195">
        <f t="shared" si="32"/>
        <v>343.89466772533825</v>
      </c>
      <c r="AB41" s="195">
        <f t="shared" si="32"/>
        <v>1018.4114787738645</v>
      </c>
      <c r="AC41" s="195">
        <f t="shared" si="32"/>
        <v>2728.9922227359043</v>
      </c>
      <c r="AD41" s="195">
        <f t="shared" si="32"/>
        <v>5153.5901342039142</v>
      </c>
      <c r="AE41" s="195">
        <f t="shared" si="32"/>
        <v>16983.201494721376</v>
      </c>
      <c r="AF41" s="195">
        <f t="shared" si="32"/>
        <v>36727.410470738883</v>
      </c>
      <c r="AG41" s="195">
        <f t="shared" si="32"/>
        <v>145479.20281499039</v>
      </c>
      <c r="AH41" s="195">
        <f t="shared" si="32"/>
        <v>404427.48038628208</v>
      </c>
      <c r="AI41" s="195">
        <f t="shared" si="32"/>
        <v>913853.72887607827</v>
      </c>
      <c r="AJ41" s="195">
        <f t="shared" si="32"/>
        <v>1846816.2645209867</v>
      </c>
      <c r="AK41" s="195">
        <f t="shared" si="32"/>
        <v>3543383.4842803576</v>
      </c>
      <c r="AL41" s="195">
        <f t="shared" si="32"/>
        <v>6653772.9355044952</v>
      </c>
      <c r="AM41" s="195">
        <f t="shared" si="32"/>
        <v>12411726.407515861</v>
      </c>
      <c r="AN41" s="216">
        <f t="shared" si="32"/>
        <v>23161192.158848606</v>
      </c>
      <c r="AO41" s="193">
        <f t="shared" si="32"/>
        <v>34351371.986808226</v>
      </c>
      <c r="AP41" s="193">
        <f t="shared" si="32"/>
        <v>55352430.687872976</v>
      </c>
      <c r="AQ41" s="194">
        <f t="shared" si="32"/>
        <v>94012049.945155933</v>
      </c>
      <c r="AR41" s="247">
        <f>AR29*B23</f>
        <v>682215</v>
      </c>
      <c r="AS41" s="45"/>
      <c r="AT41" s="45"/>
      <c r="AU41" s="69"/>
    </row>
    <row r="42" spans="1:47" x14ac:dyDescent="0.25">
      <c r="A42" s="37" t="s">
        <v>157</v>
      </c>
      <c r="B42" s="38"/>
      <c r="C42" s="39"/>
      <c r="D42" s="39"/>
      <c r="E42" s="39"/>
      <c r="F42" s="39"/>
      <c r="G42" s="39"/>
      <c r="H42" s="39"/>
      <c r="I42" s="39"/>
      <c r="J42" s="39"/>
      <c r="K42" s="39"/>
      <c r="L42" s="39"/>
      <c r="M42" s="39"/>
      <c r="N42" s="39"/>
      <c r="O42" s="39"/>
      <c r="P42" s="39"/>
      <c r="Q42" s="39"/>
      <c r="R42" s="63"/>
      <c r="S42" s="191">
        <f t="shared" ref="S42:Z42" si="33">S41</f>
        <v>4.2213093647310721E-3</v>
      </c>
      <c r="T42" s="192">
        <f t="shared" si="33"/>
        <v>1.4528092381195599E-2</v>
      </c>
      <c r="U42" s="192">
        <f t="shared" si="33"/>
        <v>0.05</v>
      </c>
      <c r="V42" s="192">
        <f t="shared" si="33"/>
        <v>0.17208040356598153</v>
      </c>
      <c r="W42" s="192">
        <f t="shared" si="33"/>
        <v>0.59223330582862133</v>
      </c>
      <c r="X42" s="192">
        <f t="shared" si="33"/>
        <v>3.9930555555555554</v>
      </c>
      <c r="Y42" s="192">
        <f t="shared" si="33"/>
        <v>30.736754712100428</v>
      </c>
      <c r="Z42" s="192">
        <f t="shared" si="33"/>
        <v>93.07461128990488</v>
      </c>
      <c r="AA42" s="190">
        <f t="shared" ref="AA42:AQ42" si="34">MAX(AA41-($S$29*$B$23)*(2^(((AA28 - 35) - $S$28)/HLOOKUP((AA28-35)-$B$25,$S$51:$AR$53,3,TRUE))),0)</f>
        <v>320.4504159743376</v>
      </c>
      <c r="AB42" s="190">
        <f t="shared" si="34"/>
        <v>729.43830668965529</v>
      </c>
      <c r="AC42" s="190">
        <f t="shared" si="34"/>
        <v>1036.0689828936206</v>
      </c>
      <c r="AD42" s="190">
        <f t="shared" si="34"/>
        <v>233.60198927838155</v>
      </c>
      <c r="AE42" s="190">
        <f t="shared" si="34"/>
        <v>12770.219220985375</v>
      </c>
      <c r="AF42" s="190">
        <f t="shared" si="34"/>
        <v>25156.151746698437</v>
      </c>
      <c r="AG42" s="190">
        <f t="shared" si="34"/>
        <v>90699.506868370168</v>
      </c>
      <c r="AH42" s="190">
        <f t="shared" si="34"/>
        <v>221899.8135230754</v>
      </c>
      <c r="AI42" s="190">
        <f t="shared" si="34"/>
        <v>434635.1398961349</v>
      </c>
      <c r="AJ42" s="190">
        <f t="shared" si="34"/>
        <v>758764.64950852818</v>
      </c>
      <c r="AK42" s="190">
        <f t="shared" si="34"/>
        <v>1261970.6194742536</v>
      </c>
      <c r="AL42" s="190">
        <f t="shared" si="34"/>
        <v>2068354.1928532608</v>
      </c>
      <c r="AM42" s="190">
        <f t="shared" si="34"/>
        <v>3395208.5816982165</v>
      </c>
      <c r="AN42" s="219">
        <f t="shared" si="34"/>
        <v>5622416.420122765</v>
      </c>
      <c r="AO42" s="188">
        <f t="shared" si="34"/>
        <v>7460190.9276488647</v>
      </c>
      <c r="AP42" s="188">
        <f t="shared" si="34"/>
        <v>10968183.051949099</v>
      </c>
      <c r="AQ42" s="189">
        <f t="shared" si="34"/>
        <v>17247146.639956117</v>
      </c>
      <c r="AR42" s="247"/>
      <c r="AS42" s="45"/>
      <c r="AT42" s="45"/>
      <c r="AU42" s="69"/>
    </row>
    <row r="43" spans="1:47" x14ac:dyDescent="0.25">
      <c r="A43" s="41" t="s">
        <v>53</v>
      </c>
      <c r="B43" s="15"/>
      <c r="C43" s="16"/>
      <c r="D43" s="16"/>
      <c r="E43" s="16"/>
      <c r="F43" s="16"/>
      <c r="G43" s="16"/>
      <c r="H43" s="16"/>
      <c r="I43" s="16"/>
      <c r="J43" s="16"/>
      <c r="K43" s="16"/>
      <c r="L43" s="16"/>
      <c r="M43" s="16"/>
      <c r="N43" s="16"/>
      <c r="O43" s="16"/>
      <c r="P43" s="16"/>
      <c r="Q43" s="16"/>
      <c r="R43" s="16"/>
      <c r="S43" s="207">
        <f t="shared" ref="S43:AL43" si="35">S29*$B$24</f>
        <v>0.984375</v>
      </c>
      <c r="T43" s="208">
        <f t="shared" si="35"/>
        <v>1.96875</v>
      </c>
      <c r="U43" s="208">
        <f t="shared" si="35"/>
        <v>3.9375</v>
      </c>
      <c r="V43" s="208">
        <f t="shared" si="35"/>
        <v>7.875</v>
      </c>
      <c r="W43" s="208">
        <f t="shared" si="35"/>
        <v>15.75</v>
      </c>
      <c r="X43" s="208">
        <f t="shared" si="35"/>
        <v>31.5</v>
      </c>
      <c r="Y43" s="208">
        <f t="shared" si="35"/>
        <v>63</v>
      </c>
      <c r="Z43" s="208">
        <f t="shared" si="35"/>
        <v>126</v>
      </c>
      <c r="AA43" s="208">
        <f t="shared" si="35"/>
        <v>252</v>
      </c>
      <c r="AB43" s="208">
        <f t="shared" si="35"/>
        <v>504</v>
      </c>
      <c r="AC43" s="208">
        <f t="shared" si="35"/>
        <v>1008</v>
      </c>
      <c r="AD43" s="208">
        <f t="shared" si="35"/>
        <v>2016</v>
      </c>
      <c r="AE43" s="208">
        <f t="shared" si="35"/>
        <v>4032</v>
      </c>
      <c r="AF43" s="208">
        <f t="shared" si="35"/>
        <v>8064</v>
      </c>
      <c r="AG43" s="208">
        <f t="shared" si="35"/>
        <v>16128</v>
      </c>
      <c r="AH43" s="208">
        <f t="shared" si="35"/>
        <v>32256</v>
      </c>
      <c r="AI43" s="208">
        <f t="shared" si="35"/>
        <v>64512</v>
      </c>
      <c r="AJ43" s="208">
        <f t="shared" si="35"/>
        <v>129024</v>
      </c>
      <c r="AK43" s="208">
        <f t="shared" si="35"/>
        <v>258048</v>
      </c>
      <c r="AL43" s="208">
        <f t="shared" si="35"/>
        <v>516096</v>
      </c>
      <c r="AM43" s="208">
        <f t="shared" ref="AM43:AQ43" si="36">AM29*$B$24</f>
        <v>1032192</v>
      </c>
      <c r="AN43" s="218">
        <f t="shared" si="36"/>
        <v>2064384</v>
      </c>
      <c r="AO43" s="186">
        <f t="shared" si="36"/>
        <v>4128768</v>
      </c>
      <c r="AP43" s="186">
        <f t="shared" si="36"/>
        <v>8257536</v>
      </c>
      <c r="AQ43" s="187">
        <f t="shared" si="36"/>
        <v>8595909</v>
      </c>
      <c r="AR43" s="247">
        <f>AR29*B24</f>
        <v>429795.45</v>
      </c>
      <c r="AS43" s="45"/>
      <c r="AT43" s="45"/>
      <c r="AU43" s="69"/>
    </row>
    <row r="44" spans="1:47" s="69" customFormat="1" hidden="1" x14ac:dyDescent="0.25">
      <c r="A44" s="48" t="s">
        <v>103</v>
      </c>
      <c r="B44" s="25"/>
      <c r="C44" s="47"/>
      <c r="D44" s="47"/>
      <c r="E44" s="47"/>
      <c r="F44" s="47"/>
      <c r="G44" s="47"/>
      <c r="H44" s="47"/>
      <c r="I44" s="47"/>
      <c r="J44" s="47"/>
      <c r="K44" s="47"/>
      <c r="L44" s="47"/>
      <c r="M44" s="47"/>
      <c r="N44" s="47"/>
      <c r="O44" s="47"/>
      <c r="P44" s="47"/>
      <c r="Q44" s="47"/>
      <c r="R44" s="47"/>
      <c r="S44" s="142">
        <f t="shared" ref="S44:AL44" si="37">S28-7</f>
        <v>43893</v>
      </c>
      <c r="T44" s="142">
        <f t="shared" si="37"/>
        <v>43896</v>
      </c>
      <c r="U44" s="142">
        <f t="shared" si="37"/>
        <v>43899</v>
      </c>
      <c r="V44" s="142">
        <f t="shared" si="37"/>
        <v>43902</v>
      </c>
      <c r="W44" s="142">
        <f t="shared" si="37"/>
        <v>43905</v>
      </c>
      <c r="X44" s="142">
        <f t="shared" si="37"/>
        <v>43910</v>
      </c>
      <c r="Y44" s="142">
        <f t="shared" si="37"/>
        <v>43918</v>
      </c>
      <c r="Z44" s="142">
        <f t="shared" si="37"/>
        <v>43926</v>
      </c>
      <c r="AA44" s="142">
        <f t="shared" si="37"/>
        <v>43938</v>
      </c>
      <c r="AB44" s="142">
        <f t="shared" si="37"/>
        <v>43958</v>
      </c>
      <c r="AC44" s="142">
        <f t="shared" si="37"/>
        <v>43983</v>
      </c>
      <c r="AD44" s="142">
        <f t="shared" si="37"/>
        <v>44010</v>
      </c>
      <c r="AE44" s="142">
        <f t="shared" si="37"/>
        <v>44047</v>
      </c>
      <c r="AF44" s="142">
        <f t="shared" si="37"/>
        <v>44090</v>
      </c>
      <c r="AG44" s="142">
        <f t="shared" si="37"/>
        <v>44153</v>
      </c>
      <c r="AH44" s="142">
        <f t="shared" si="37"/>
        <v>44236</v>
      </c>
      <c r="AI44" s="142">
        <f t="shared" si="37"/>
        <v>44339</v>
      </c>
      <c r="AJ44" s="142">
        <f t="shared" si="37"/>
        <v>44462</v>
      </c>
      <c r="AK44" s="142">
        <f t="shared" si="37"/>
        <v>44605</v>
      </c>
      <c r="AL44" s="142">
        <f t="shared" si="37"/>
        <v>44768</v>
      </c>
      <c r="AM44" s="142"/>
      <c r="AN44" s="142"/>
      <c r="AO44" s="142"/>
      <c r="AP44" s="142"/>
      <c r="AQ44" s="142"/>
      <c r="AR44" s="142"/>
      <c r="AS44" s="45"/>
      <c r="AT44" s="45"/>
    </row>
    <row r="45" spans="1:47" s="69" customFormat="1" hidden="1" x14ac:dyDescent="0.25">
      <c r="A45" s="48" t="s">
        <v>101</v>
      </c>
      <c r="B45" s="25"/>
      <c r="C45" s="47"/>
      <c r="D45" s="47"/>
      <c r="E45" s="47"/>
      <c r="F45" s="47"/>
      <c r="G45" s="47"/>
      <c r="H45" s="47"/>
      <c r="I45" s="47"/>
      <c r="J45" s="47"/>
      <c r="K45" s="47"/>
      <c r="L45" s="47"/>
      <c r="M45" s="47"/>
      <c r="N45" s="47"/>
      <c r="O45" s="47"/>
      <c r="P45" s="47"/>
      <c r="Q45" s="47"/>
      <c r="R45" s="47"/>
      <c r="S45" s="142">
        <f t="shared" ref="S45:AL45" si="38">S28-14</f>
        <v>43886</v>
      </c>
      <c r="T45" s="142">
        <f t="shared" si="38"/>
        <v>43889</v>
      </c>
      <c r="U45" s="142">
        <f t="shared" si="38"/>
        <v>43892</v>
      </c>
      <c r="V45" s="142">
        <f t="shared" si="38"/>
        <v>43895</v>
      </c>
      <c r="W45" s="142">
        <f t="shared" si="38"/>
        <v>43898</v>
      </c>
      <c r="X45" s="142">
        <f t="shared" si="38"/>
        <v>43903</v>
      </c>
      <c r="Y45" s="142">
        <f t="shared" si="38"/>
        <v>43911</v>
      </c>
      <c r="Z45" s="142">
        <f t="shared" si="38"/>
        <v>43919</v>
      </c>
      <c r="AA45" s="142">
        <f t="shared" si="38"/>
        <v>43931</v>
      </c>
      <c r="AB45" s="142">
        <f t="shared" si="38"/>
        <v>43951</v>
      </c>
      <c r="AC45" s="142">
        <f t="shared" si="38"/>
        <v>43976</v>
      </c>
      <c r="AD45" s="142">
        <f t="shared" si="38"/>
        <v>44003</v>
      </c>
      <c r="AE45" s="142">
        <f t="shared" si="38"/>
        <v>44040</v>
      </c>
      <c r="AF45" s="142">
        <f t="shared" si="38"/>
        <v>44083</v>
      </c>
      <c r="AG45" s="142">
        <f t="shared" si="38"/>
        <v>44146</v>
      </c>
      <c r="AH45" s="142">
        <f t="shared" si="38"/>
        <v>44229</v>
      </c>
      <c r="AI45" s="142">
        <f t="shared" si="38"/>
        <v>44332</v>
      </c>
      <c r="AJ45" s="142">
        <f t="shared" si="38"/>
        <v>44455</v>
      </c>
      <c r="AK45" s="142">
        <f t="shared" si="38"/>
        <v>44598</v>
      </c>
      <c r="AL45" s="142">
        <f t="shared" si="38"/>
        <v>44761</v>
      </c>
      <c r="AM45" s="142"/>
      <c r="AN45" s="142"/>
      <c r="AO45" s="142"/>
      <c r="AP45" s="142"/>
      <c r="AQ45" s="142"/>
      <c r="AR45" s="142"/>
      <c r="AS45" s="45"/>
      <c r="AT45" s="45"/>
    </row>
    <row r="46" spans="1:47" s="69" customFormat="1" hidden="1" x14ac:dyDescent="0.25">
      <c r="A46" s="48" t="s">
        <v>104</v>
      </c>
      <c r="B46" s="25"/>
      <c r="C46" s="47"/>
      <c r="D46" s="47"/>
      <c r="E46" s="47"/>
      <c r="F46" s="47"/>
      <c r="G46" s="47"/>
      <c r="H46" s="47"/>
      <c r="I46" s="47"/>
      <c r="J46" s="47"/>
      <c r="K46" s="47"/>
      <c r="L46" s="47"/>
      <c r="M46" s="47"/>
      <c r="N46" s="47"/>
      <c r="O46" s="47"/>
      <c r="P46" s="47"/>
      <c r="Q46" s="47"/>
      <c r="R46" s="47"/>
      <c r="S46" s="142">
        <f t="shared" ref="S46:AL46" si="39">S28-(7*5)</f>
        <v>43865</v>
      </c>
      <c r="T46" s="142">
        <f t="shared" si="39"/>
        <v>43868</v>
      </c>
      <c r="U46" s="142">
        <f t="shared" si="39"/>
        <v>43871</v>
      </c>
      <c r="V46" s="142">
        <f t="shared" si="39"/>
        <v>43874</v>
      </c>
      <c r="W46" s="142">
        <f t="shared" si="39"/>
        <v>43877</v>
      </c>
      <c r="X46" s="142">
        <f t="shared" si="39"/>
        <v>43882</v>
      </c>
      <c r="Y46" s="142">
        <f t="shared" si="39"/>
        <v>43890</v>
      </c>
      <c r="Z46" s="142">
        <f t="shared" si="39"/>
        <v>43898</v>
      </c>
      <c r="AA46" s="142">
        <f t="shared" si="39"/>
        <v>43910</v>
      </c>
      <c r="AB46" s="142">
        <f t="shared" si="39"/>
        <v>43930</v>
      </c>
      <c r="AC46" s="142">
        <f t="shared" si="39"/>
        <v>43955</v>
      </c>
      <c r="AD46" s="142">
        <f t="shared" si="39"/>
        <v>43982</v>
      </c>
      <c r="AE46" s="142">
        <f t="shared" si="39"/>
        <v>44019</v>
      </c>
      <c r="AF46" s="142">
        <f t="shared" si="39"/>
        <v>44062</v>
      </c>
      <c r="AG46" s="142">
        <f t="shared" si="39"/>
        <v>44125</v>
      </c>
      <c r="AH46" s="142">
        <f t="shared" si="39"/>
        <v>44208</v>
      </c>
      <c r="AI46" s="142">
        <f t="shared" si="39"/>
        <v>44311</v>
      </c>
      <c r="AJ46" s="142">
        <f t="shared" si="39"/>
        <v>44434</v>
      </c>
      <c r="AK46" s="142">
        <f t="shared" si="39"/>
        <v>44577</v>
      </c>
      <c r="AL46" s="142">
        <f t="shared" si="39"/>
        <v>44740</v>
      </c>
      <c r="AM46" s="142"/>
      <c r="AN46" s="142"/>
      <c r="AO46" s="142"/>
      <c r="AP46" s="142"/>
      <c r="AQ46" s="142"/>
      <c r="AR46" s="142"/>
      <c r="AS46" s="45"/>
      <c r="AT46" s="45"/>
    </row>
    <row r="47" spans="1:47" s="69" customFormat="1" hidden="1" x14ac:dyDescent="0.25">
      <c r="A47" s="48" t="s">
        <v>102</v>
      </c>
      <c r="B47" s="25"/>
      <c r="C47" s="47"/>
      <c r="D47" s="47"/>
      <c r="E47" s="47"/>
      <c r="F47" s="47"/>
      <c r="G47" s="47"/>
      <c r="H47" s="47"/>
      <c r="I47" s="47"/>
      <c r="J47" s="47"/>
      <c r="K47" s="47"/>
      <c r="L47" s="47"/>
      <c r="M47" s="47"/>
      <c r="N47" s="47"/>
      <c r="O47" s="47"/>
      <c r="P47" s="47"/>
      <c r="Q47" s="47"/>
      <c r="R47" s="47"/>
      <c r="S47" s="142">
        <f t="shared" ref="S47:AL47" si="40">S28-(6*7)</f>
        <v>43858</v>
      </c>
      <c r="T47" s="142">
        <f t="shared" si="40"/>
        <v>43861</v>
      </c>
      <c r="U47" s="142">
        <f t="shared" si="40"/>
        <v>43864</v>
      </c>
      <c r="V47" s="142">
        <f t="shared" si="40"/>
        <v>43867</v>
      </c>
      <c r="W47" s="142">
        <f t="shared" si="40"/>
        <v>43870</v>
      </c>
      <c r="X47" s="142">
        <f t="shared" si="40"/>
        <v>43875</v>
      </c>
      <c r="Y47" s="142">
        <f t="shared" si="40"/>
        <v>43883</v>
      </c>
      <c r="Z47" s="142">
        <f t="shared" si="40"/>
        <v>43891</v>
      </c>
      <c r="AA47" s="142">
        <f t="shared" si="40"/>
        <v>43903</v>
      </c>
      <c r="AB47" s="142">
        <f t="shared" si="40"/>
        <v>43923</v>
      </c>
      <c r="AC47" s="142">
        <f t="shared" si="40"/>
        <v>43948</v>
      </c>
      <c r="AD47" s="142">
        <f t="shared" si="40"/>
        <v>43975</v>
      </c>
      <c r="AE47" s="142">
        <f t="shared" si="40"/>
        <v>44012</v>
      </c>
      <c r="AF47" s="142">
        <f t="shared" si="40"/>
        <v>44055</v>
      </c>
      <c r="AG47" s="142">
        <f t="shared" si="40"/>
        <v>44118</v>
      </c>
      <c r="AH47" s="142">
        <f t="shared" si="40"/>
        <v>44201</v>
      </c>
      <c r="AI47" s="142">
        <f t="shared" si="40"/>
        <v>44304</v>
      </c>
      <c r="AJ47" s="142">
        <f t="shared" si="40"/>
        <v>44427</v>
      </c>
      <c r="AK47" s="142">
        <f t="shared" si="40"/>
        <v>44570</v>
      </c>
      <c r="AL47" s="142">
        <f t="shared" si="40"/>
        <v>44733</v>
      </c>
      <c r="AM47" s="142"/>
      <c r="AN47" s="142"/>
      <c r="AO47" s="142"/>
      <c r="AP47" s="142"/>
      <c r="AQ47" s="142"/>
      <c r="AR47" s="142"/>
      <c r="AS47" s="45"/>
      <c r="AT47" s="45"/>
    </row>
    <row r="49" spans="1:44" x14ac:dyDescent="0.25">
      <c r="A49" s="53" t="s">
        <v>46</v>
      </c>
      <c r="B49" s="15"/>
      <c r="C49" s="16"/>
      <c r="D49" s="16"/>
      <c r="E49" s="16"/>
      <c r="F49" s="16"/>
      <c r="G49" s="16"/>
      <c r="H49" s="16"/>
      <c r="I49" s="16"/>
      <c r="J49" s="16"/>
      <c r="K49" s="16"/>
      <c r="L49" s="16"/>
      <c r="M49" s="16"/>
      <c r="N49" s="16"/>
      <c r="O49" s="16"/>
      <c r="P49" s="16"/>
      <c r="Q49" s="16"/>
      <c r="R49" s="16"/>
    </row>
    <row r="50" spans="1:44" s="69" customFormat="1" x14ac:dyDescent="0.25">
      <c r="A50" s="139" t="s">
        <v>99</v>
      </c>
      <c r="B50" s="25"/>
      <c r="C50" s="47"/>
      <c r="D50" s="47"/>
      <c r="E50" s="47"/>
      <c r="F50" s="47"/>
      <c r="G50" s="47"/>
      <c r="H50" s="47"/>
      <c r="I50" s="47"/>
      <c r="J50" s="47"/>
      <c r="K50" s="47"/>
      <c r="L50" s="47"/>
      <c r="M50" s="47"/>
      <c r="N50" s="47"/>
      <c r="O50" s="47"/>
      <c r="P50" s="47"/>
      <c r="Q50" s="47"/>
      <c r="R50" s="47"/>
      <c r="S50" s="228">
        <f t="shared" ref="S50:AR50" si="41">(S28-$B$25)/7</f>
        <v>1.1428571428571428</v>
      </c>
      <c r="T50" s="137">
        <f t="shared" si="41"/>
        <v>1.5714285714285714</v>
      </c>
      <c r="U50" s="140">
        <f t="shared" si="41"/>
        <v>2</v>
      </c>
      <c r="V50" s="138">
        <f t="shared" si="41"/>
        <v>2.4285714285714284</v>
      </c>
      <c r="W50" s="258">
        <f t="shared" si="41"/>
        <v>2.8571428571428572</v>
      </c>
      <c r="X50" s="229">
        <f t="shared" si="41"/>
        <v>3.5714285714285716</v>
      </c>
      <c r="Y50" s="258">
        <f t="shared" si="41"/>
        <v>4.7142857142857144</v>
      </c>
      <c r="Z50" s="230">
        <f t="shared" si="41"/>
        <v>5.8571428571428568</v>
      </c>
      <c r="AA50" s="228">
        <f t="shared" si="41"/>
        <v>7.5714285714285712</v>
      </c>
      <c r="AB50" s="231">
        <f t="shared" si="41"/>
        <v>10.428571428571429</v>
      </c>
      <c r="AC50" s="258">
        <f t="shared" si="41"/>
        <v>14</v>
      </c>
      <c r="AD50" s="230">
        <f t="shared" si="41"/>
        <v>17.857142857142858</v>
      </c>
      <c r="AE50" s="228">
        <f t="shared" si="41"/>
        <v>23.142857142857142</v>
      </c>
      <c r="AF50" s="258">
        <f t="shared" si="41"/>
        <v>29.285714285714285</v>
      </c>
      <c r="AG50" s="229">
        <f t="shared" si="41"/>
        <v>38.285714285714285</v>
      </c>
      <c r="AH50" s="229">
        <f t="shared" si="41"/>
        <v>50.142857142857146</v>
      </c>
      <c r="AI50" s="228">
        <f t="shared" si="41"/>
        <v>64.857142857142861</v>
      </c>
      <c r="AJ50" s="258">
        <f t="shared" si="41"/>
        <v>82.428571428571431</v>
      </c>
      <c r="AK50" s="229">
        <f t="shared" si="41"/>
        <v>102.85714285714286</v>
      </c>
      <c r="AL50" s="230">
        <f t="shared" si="41"/>
        <v>126.14285714285714</v>
      </c>
      <c r="AM50" s="258">
        <f t="shared" si="41"/>
        <v>152.28571428571428</v>
      </c>
      <c r="AN50" s="229">
        <f t="shared" si="41"/>
        <v>181.28571428571428</v>
      </c>
      <c r="AO50" s="140">
        <f t="shared" si="41"/>
        <v>210.28571428571428</v>
      </c>
      <c r="AP50" s="258">
        <f t="shared" si="41"/>
        <v>239.28571428571428</v>
      </c>
      <c r="AQ50" s="258">
        <f t="shared" si="41"/>
        <v>268.28571428571428</v>
      </c>
      <c r="AR50" s="258">
        <f t="shared" si="41"/>
        <v>276.28571428571428</v>
      </c>
    </row>
    <row r="51" spans="1:44" s="69" customFormat="1" x14ac:dyDescent="0.25">
      <c r="A51" s="139" t="s">
        <v>98</v>
      </c>
      <c r="B51" s="25"/>
      <c r="C51" s="47"/>
      <c r="D51" s="47"/>
      <c r="E51" s="47"/>
      <c r="F51" s="47"/>
      <c r="G51" s="47"/>
      <c r="H51" s="47"/>
      <c r="I51" s="47"/>
      <c r="J51" s="47"/>
      <c r="K51" s="47"/>
      <c r="L51" s="47"/>
      <c r="M51" s="47"/>
      <c r="N51" s="47"/>
      <c r="O51" s="47"/>
      <c r="P51" s="47"/>
      <c r="Q51" s="47"/>
      <c r="R51" s="47"/>
      <c r="S51" s="232">
        <f t="shared" ref="S51:AR51" si="42">S28-$B$25</f>
        <v>8</v>
      </c>
      <c r="T51" s="257">
        <f t="shared" si="42"/>
        <v>11</v>
      </c>
      <c r="U51" s="257">
        <f t="shared" si="42"/>
        <v>14</v>
      </c>
      <c r="V51" s="257">
        <f t="shared" si="42"/>
        <v>17</v>
      </c>
      <c r="W51" s="213">
        <f t="shared" si="42"/>
        <v>20</v>
      </c>
      <c r="X51" s="213">
        <f t="shared" si="42"/>
        <v>25</v>
      </c>
      <c r="Y51" s="213">
        <f t="shared" si="42"/>
        <v>33</v>
      </c>
      <c r="Z51" s="213">
        <f t="shared" si="42"/>
        <v>41</v>
      </c>
      <c r="AA51" s="213">
        <f t="shared" si="42"/>
        <v>53</v>
      </c>
      <c r="AB51" s="213">
        <f t="shared" si="42"/>
        <v>73</v>
      </c>
      <c r="AC51" s="213">
        <f t="shared" si="42"/>
        <v>98</v>
      </c>
      <c r="AD51" s="213">
        <f t="shared" si="42"/>
        <v>125</v>
      </c>
      <c r="AE51" s="213">
        <f t="shared" si="42"/>
        <v>162</v>
      </c>
      <c r="AF51" s="213">
        <f t="shared" si="42"/>
        <v>205</v>
      </c>
      <c r="AG51" s="213">
        <f t="shared" si="42"/>
        <v>268</v>
      </c>
      <c r="AH51" s="213">
        <f t="shared" si="42"/>
        <v>351</v>
      </c>
      <c r="AI51" s="213">
        <f t="shared" si="42"/>
        <v>454</v>
      </c>
      <c r="AJ51" s="213">
        <f t="shared" si="42"/>
        <v>577</v>
      </c>
      <c r="AK51" s="213">
        <f t="shared" si="42"/>
        <v>720</v>
      </c>
      <c r="AL51" s="213">
        <f t="shared" si="42"/>
        <v>883</v>
      </c>
      <c r="AM51" s="213">
        <f t="shared" si="42"/>
        <v>1066</v>
      </c>
      <c r="AN51" s="227">
        <f t="shared" si="42"/>
        <v>1269</v>
      </c>
      <c r="AO51" s="227">
        <f t="shared" si="42"/>
        <v>1472</v>
      </c>
      <c r="AP51" s="178">
        <f t="shared" si="42"/>
        <v>1675</v>
      </c>
      <c r="AQ51" s="226">
        <f t="shared" si="42"/>
        <v>1878</v>
      </c>
      <c r="AR51" s="178">
        <f t="shared" si="42"/>
        <v>1934</v>
      </c>
    </row>
    <row r="52" spans="1:44" x14ac:dyDescent="0.25">
      <c r="A52" s="205" t="s">
        <v>41</v>
      </c>
      <c r="B52" s="16"/>
      <c r="C52" s="16"/>
      <c r="D52" s="16"/>
      <c r="E52" s="16"/>
      <c r="F52" s="16"/>
      <c r="G52" s="16"/>
      <c r="H52" s="16"/>
      <c r="I52" s="16"/>
      <c r="J52" s="16"/>
      <c r="K52" s="16"/>
      <c r="L52" s="16"/>
      <c r="M52" s="16"/>
      <c r="N52" s="16"/>
      <c r="O52" s="16"/>
      <c r="P52" s="16"/>
      <c r="Q52" s="16"/>
      <c r="R52" s="16"/>
      <c r="S52" s="250">
        <v>27</v>
      </c>
      <c r="T52" s="251">
        <v>69</v>
      </c>
      <c r="U52" s="252">
        <v>134</v>
      </c>
      <c r="V52" s="252">
        <v>309</v>
      </c>
      <c r="W52" s="252">
        <v>514</v>
      </c>
      <c r="X52" s="252">
        <v>1046</v>
      </c>
      <c r="Y52" s="252">
        <v>2092</v>
      </c>
      <c r="Z52" s="252">
        <v>4241</v>
      </c>
      <c r="AA52" s="252">
        <v>8211</v>
      </c>
      <c r="AB52" s="252">
        <v>16006</v>
      </c>
      <c r="AC52" s="252">
        <v>32033</v>
      </c>
      <c r="AD52" s="252">
        <v>63749</v>
      </c>
      <c r="AE52" s="252">
        <v>128776</v>
      </c>
      <c r="AF52" s="252">
        <v>257388</v>
      </c>
      <c r="AG52" s="252">
        <v>511836</v>
      </c>
      <c r="AH52" s="253">
        <f>AH29</f>
        <v>1024000</v>
      </c>
      <c r="AI52" s="253">
        <f>AI29</f>
        <v>2048000</v>
      </c>
      <c r="AJ52" s="253">
        <f>AJ29</f>
        <v>4096000</v>
      </c>
      <c r="AK52" s="253">
        <f>AK29</f>
        <v>8192000</v>
      </c>
      <c r="AL52" s="253">
        <f t="shared" ref="AL52" si="43">AK52*2</f>
        <v>16384000</v>
      </c>
      <c r="AM52" s="253">
        <f t="shared" ref="AM52" si="44">AL52*2</f>
        <v>32768000</v>
      </c>
      <c r="AN52" s="174">
        <f t="shared" ref="AN52" si="45">AM52*2</f>
        <v>65536000</v>
      </c>
      <c r="AO52" s="174">
        <f>AN52*2</f>
        <v>131072000</v>
      </c>
      <c r="AP52" s="174">
        <f t="shared" ref="AP52" si="46">AO52*2</f>
        <v>262144000</v>
      </c>
      <c r="AQ52" s="174">
        <f>AQ29</f>
        <v>272886000</v>
      </c>
      <c r="AR52" s="175">
        <f>AQ29</f>
        <v>272886000</v>
      </c>
    </row>
    <row r="53" spans="1:44" x14ac:dyDescent="0.25">
      <c r="A53" s="41" t="s">
        <v>154</v>
      </c>
      <c r="B53" s="16"/>
      <c r="C53" s="16"/>
      <c r="D53" s="16"/>
      <c r="E53" s="16"/>
      <c r="F53" s="16"/>
      <c r="G53" s="16"/>
      <c r="H53" s="16"/>
      <c r="I53" s="16"/>
      <c r="J53" s="16"/>
      <c r="K53" s="16"/>
      <c r="L53" s="16"/>
      <c r="M53" s="16"/>
      <c r="N53" s="16"/>
      <c r="O53" s="16"/>
      <c r="P53" s="16"/>
      <c r="Q53" s="16"/>
      <c r="R53" s="16"/>
      <c r="S53" s="181">
        <f>(S28-B25)/(LOG(S52/1)/LOG(2))</f>
        <v>1.68247934285722</v>
      </c>
      <c r="T53" s="164">
        <f t="shared" ref="T53:AR53" si="47">(T28-$S$28)/(LOG(T52/$S$52)/LOG(2))</f>
        <v>2.2162515508849423</v>
      </c>
      <c r="U53" s="164">
        <f t="shared" si="47"/>
        <v>2.5960521015489895</v>
      </c>
      <c r="V53" s="164">
        <f t="shared" si="47"/>
        <v>2.5593080353659667</v>
      </c>
      <c r="W53" s="164">
        <f t="shared" si="47"/>
        <v>2.8230398322058692</v>
      </c>
      <c r="X53" s="164">
        <f t="shared" si="47"/>
        <v>3.2222725699484793</v>
      </c>
      <c r="Y53" s="164">
        <f t="shared" si="47"/>
        <v>3.9835688086028611</v>
      </c>
      <c r="Z53" s="164">
        <f t="shared" si="47"/>
        <v>4.5234595254294128</v>
      </c>
      <c r="AA53" s="164">
        <f t="shared" si="47"/>
        <v>5.4555673200486643</v>
      </c>
      <c r="AB53" s="164">
        <f t="shared" si="47"/>
        <v>7.0564446262708183</v>
      </c>
      <c r="AC53" s="164">
        <f t="shared" si="47"/>
        <v>8.812829776603099</v>
      </c>
      <c r="AD53" s="164">
        <f t="shared" si="47"/>
        <v>10.441554986201947</v>
      </c>
      <c r="AE53" s="164">
        <f t="shared" si="47"/>
        <v>12.602686613278257</v>
      </c>
      <c r="AF53" s="164">
        <f t="shared" si="47"/>
        <v>14.903132176179408</v>
      </c>
      <c r="AG53" s="164">
        <f t="shared" si="47"/>
        <v>18.296414388868026</v>
      </c>
      <c r="AH53" s="173">
        <f t="shared" si="47"/>
        <v>22.549623793033003</v>
      </c>
      <c r="AI53" s="173">
        <f t="shared" si="47"/>
        <v>27.51235826024778</v>
      </c>
      <c r="AJ53" s="173">
        <f t="shared" si="47"/>
        <v>33.060450433855578</v>
      </c>
      <c r="AK53" s="173">
        <f t="shared" si="47"/>
        <v>39.097470514700831</v>
      </c>
      <c r="AL53" s="173">
        <f t="shared" si="47"/>
        <v>45.547066849952394</v>
      </c>
      <c r="AM53" s="173">
        <f t="shared" si="47"/>
        <v>52.347998774411749</v>
      </c>
      <c r="AN53" s="176">
        <f t="shared" si="47"/>
        <v>59.45057452924231</v>
      </c>
      <c r="AO53" s="176">
        <f t="shared" si="47"/>
        <v>65.913592518856731</v>
      </c>
      <c r="AP53" s="176">
        <f t="shared" si="47"/>
        <v>71.819715352702104</v>
      </c>
      <c r="AQ53" s="176">
        <f t="shared" si="47"/>
        <v>80.365001028752204</v>
      </c>
      <c r="AR53" s="177">
        <f t="shared" si="47"/>
        <v>82.771653465976868</v>
      </c>
    </row>
    <row r="54" spans="1:44" x14ac:dyDescent="0.25">
      <c r="A54" s="41" t="s">
        <v>196</v>
      </c>
      <c r="B54" s="16"/>
      <c r="C54" s="16"/>
      <c r="D54" s="16"/>
      <c r="E54" s="16"/>
      <c r="F54" s="16"/>
      <c r="G54" s="16"/>
      <c r="H54" s="16"/>
      <c r="I54" s="16"/>
      <c r="J54" s="16"/>
      <c r="K54" s="16"/>
      <c r="L54" s="16"/>
      <c r="M54" s="16"/>
      <c r="N54" s="16"/>
      <c r="O54" s="16"/>
      <c r="P54" s="16"/>
      <c r="Q54" s="16"/>
      <c r="R54" s="16"/>
      <c r="S54" s="263">
        <v>25</v>
      </c>
      <c r="T54" s="264">
        <v>60</v>
      </c>
      <c r="U54" s="264">
        <v>121</v>
      </c>
      <c r="V54" s="264">
        <v>269</v>
      </c>
      <c r="W54" s="264">
        <v>437</v>
      </c>
      <c r="X54" s="264">
        <v>913</v>
      </c>
      <c r="Y54" s="264">
        <v>1751</v>
      </c>
      <c r="Z54" s="264">
        <v>3509</v>
      </c>
      <c r="AA54" s="264">
        <v>6520</v>
      </c>
      <c r="AB54" s="264">
        <v>11445</v>
      </c>
      <c r="AC54" s="264">
        <v>19246</v>
      </c>
      <c r="AD54" s="264">
        <v>31473</v>
      </c>
      <c r="AE54" s="264">
        <v>39242</v>
      </c>
      <c r="AF54" s="264">
        <v>59453</v>
      </c>
      <c r="AG54" s="264">
        <v>65804</v>
      </c>
      <c r="AH54" s="265"/>
      <c r="AI54" s="265"/>
      <c r="AJ54" s="265"/>
      <c r="AK54" s="265"/>
      <c r="AL54" s="265"/>
      <c r="AM54" s="265"/>
      <c r="AN54" s="174"/>
      <c r="AO54" s="174"/>
      <c r="AP54" s="174"/>
      <c r="AQ54" s="174"/>
      <c r="AR54" s="175"/>
    </row>
    <row r="55" spans="1:44" x14ac:dyDescent="0.25">
      <c r="A55" s="41" t="s">
        <v>60</v>
      </c>
      <c r="B55" s="16"/>
      <c r="C55" s="16"/>
      <c r="D55" s="16"/>
      <c r="E55" s="16"/>
      <c r="F55" s="16"/>
      <c r="G55" s="16"/>
      <c r="H55" s="16"/>
      <c r="I55" s="16"/>
      <c r="J55" s="16"/>
      <c r="K55" s="16"/>
      <c r="L55" s="16"/>
      <c r="M55" s="16"/>
      <c r="N55" s="16"/>
      <c r="O55" s="16"/>
      <c r="P55" s="16"/>
      <c r="Q55" s="16"/>
      <c r="R55" s="16"/>
      <c r="S55" s="212">
        <f>S52-S56-S54</f>
        <v>2</v>
      </c>
      <c r="T55" s="141">
        <f>T52-T56-T54</f>
        <v>5</v>
      </c>
      <c r="U55" s="141">
        <f t="shared" ref="U55:Z55" si="48">U52-U56-U54</f>
        <v>8</v>
      </c>
      <c r="V55" s="141">
        <f t="shared" si="48"/>
        <v>15</v>
      </c>
      <c r="W55" s="141">
        <f t="shared" si="48"/>
        <v>29</v>
      </c>
      <c r="X55" s="141">
        <f t="shared" si="48"/>
        <v>46</v>
      </c>
      <c r="Y55" s="141">
        <f t="shared" si="48"/>
        <v>150</v>
      </c>
      <c r="Z55" s="141">
        <f t="shared" si="48"/>
        <v>359</v>
      </c>
      <c r="AA55" s="141">
        <f t="shared" ref="AA55:AB55" si="49">AA52-AA56-AA54</f>
        <v>1002</v>
      </c>
      <c r="AB55" s="141">
        <f t="shared" si="49"/>
        <v>3518</v>
      </c>
      <c r="AC55" s="141">
        <f t="shared" ref="AC55:AD55" si="50">AC52-AC56-AC54</f>
        <v>10904</v>
      </c>
      <c r="AD55" s="141">
        <f t="shared" si="50"/>
        <v>29105</v>
      </c>
      <c r="AE55" s="141">
        <f t="shared" ref="AE55:AF55" si="51">AE52-AE56-AE54</f>
        <v>83710</v>
      </c>
      <c r="AF55" s="141">
        <f t="shared" si="51"/>
        <v>187958</v>
      </c>
      <c r="AG55" s="141">
        <f t="shared" ref="AG55" si="52">AG52-AG56-AG54</f>
        <v>429807</v>
      </c>
      <c r="AH55" s="283">
        <v>781147</v>
      </c>
      <c r="AI55" s="283"/>
      <c r="AJ55" s="283"/>
      <c r="AK55" s="283"/>
      <c r="AL55" s="283"/>
      <c r="AM55" s="283"/>
      <c r="AN55" s="103"/>
      <c r="AO55" s="103"/>
      <c r="AP55" s="103"/>
      <c r="AQ55" s="103"/>
      <c r="AR55" s="104"/>
    </row>
    <row r="56" spans="1:44" x14ac:dyDescent="0.25">
      <c r="A56" s="49" t="s">
        <v>42</v>
      </c>
      <c r="B56" s="38"/>
      <c r="C56" s="39"/>
      <c r="D56" s="39"/>
      <c r="E56" s="39"/>
      <c r="F56" s="39"/>
      <c r="G56" s="39"/>
      <c r="H56" s="39"/>
      <c r="I56" s="39"/>
      <c r="J56" s="39"/>
      <c r="K56" s="39"/>
      <c r="L56" s="39"/>
      <c r="M56" s="39"/>
      <c r="N56" s="39"/>
      <c r="O56" s="39"/>
      <c r="P56" s="39"/>
      <c r="Q56" s="39"/>
      <c r="R56" s="39"/>
      <c r="S56" s="67">
        <v>0</v>
      </c>
      <c r="T56" s="68">
        <v>4</v>
      </c>
      <c r="U56" s="52">
        <v>5</v>
      </c>
      <c r="V56" s="52">
        <v>25</v>
      </c>
      <c r="W56" s="52">
        <v>48</v>
      </c>
      <c r="X56" s="52">
        <v>87</v>
      </c>
      <c r="Y56" s="52">
        <v>191</v>
      </c>
      <c r="Z56" s="52">
        <v>373</v>
      </c>
      <c r="AA56" s="52">
        <v>689</v>
      </c>
      <c r="AB56" s="52">
        <v>1043</v>
      </c>
      <c r="AC56" s="52">
        <v>1883</v>
      </c>
      <c r="AD56" s="52">
        <v>3171</v>
      </c>
      <c r="AE56" s="52">
        <v>5824</v>
      </c>
      <c r="AF56" s="52">
        <v>9977</v>
      </c>
      <c r="AG56" s="52">
        <v>16225</v>
      </c>
      <c r="AH56" s="284">
        <v>27453</v>
      </c>
      <c r="AI56" s="284"/>
      <c r="AJ56" s="284"/>
      <c r="AK56" s="284"/>
      <c r="AL56" s="284"/>
      <c r="AM56" s="284"/>
      <c r="AN56" s="103"/>
      <c r="AO56" s="103"/>
      <c r="AP56" s="103"/>
      <c r="AQ56" s="103"/>
      <c r="AR56" s="104"/>
    </row>
    <row r="57" spans="1:44" x14ac:dyDescent="0.25">
      <c r="B57" s="3"/>
      <c r="S57" s="35"/>
      <c r="T57" s="35"/>
      <c r="U57" s="35"/>
      <c r="V57" s="35"/>
      <c r="W57" s="35"/>
      <c r="X57" s="35"/>
      <c r="Y57" s="35"/>
      <c r="Z57" s="35"/>
      <c r="AA57" s="35"/>
      <c r="AB57" s="35"/>
      <c r="AC57" s="35"/>
      <c r="AD57" s="35"/>
      <c r="AE57" s="35"/>
      <c r="AF57" s="35"/>
      <c r="AG57" s="35"/>
      <c r="AH57" s="35"/>
      <c r="AI57" s="35"/>
      <c r="AJ57" s="35"/>
    </row>
    <row r="58" spans="1:44" x14ac:dyDescent="0.25">
      <c r="A58" s="74" t="s">
        <v>47</v>
      </c>
      <c r="AJ58" s="16"/>
    </row>
    <row r="59" spans="1:44" x14ac:dyDescent="0.25">
      <c r="A59" s="4" t="s">
        <v>0</v>
      </c>
      <c r="B59" s="180" t="s">
        <v>115</v>
      </c>
      <c r="C59" s="5" t="s">
        <v>3</v>
      </c>
      <c r="D59" s="180" t="s">
        <v>49</v>
      </c>
      <c r="E59" s="58" t="s">
        <v>2</v>
      </c>
      <c r="F59" s="5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47"/>
    </row>
    <row r="60" spans="1:44" x14ac:dyDescent="0.25">
      <c r="A60" s="41" t="s">
        <v>12</v>
      </c>
      <c r="B60" s="13">
        <f>'Population by Age'!E19</f>
        <v>7.4000000000000003E-3</v>
      </c>
      <c r="C60" s="12">
        <f>$B$15*B60</f>
        <v>2019356.4000000001</v>
      </c>
      <c r="D60" s="22">
        <f>'Infection Rate by Age'!B4</f>
        <v>0.01</v>
      </c>
      <c r="E60" s="5"/>
      <c r="F60" s="16"/>
      <c r="G60" s="16"/>
      <c r="H60" s="16"/>
      <c r="I60" s="16"/>
      <c r="J60" s="16"/>
      <c r="K60" s="16"/>
      <c r="L60" s="16"/>
      <c r="M60" s="16"/>
      <c r="N60" s="16"/>
      <c r="O60" s="16"/>
      <c r="P60" s="16"/>
      <c r="Q60" s="16"/>
      <c r="R60" s="16"/>
      <c r="S60" s="18">
        <f t="shared" ref="S60:AQ60" si="53">S$29*$D$60</f>
        <v>0.3125</v>
      </c>
      <c r="T60" s="19">
        <f t="shared" si="53"/>
        <v>0.625</v>
      </c>
      <c r="U60" s="19">
        <f t="shared" si="53"/>
        <v>1.25</v>
      </c>
      <c r="V60" s="19">
        <f t="shared" si="53"/>
        <v>2.5</v>
      </c>
      <c r="W60" s="19">
        <f t="shared" si="53"/>
        <v>5</v>
      </c>
      <c r="X60" s="19">
        <f t="shared" si="53"/>
        <v>10</v>
      </c>
      <c r="Y60" s="19">
        <f t="shared" si="53"/>
        <v>20</v>
      </c>
      <c r="Z60" s="19">
        <f t="shared" si="53"/>
        <v>40</v>
      </c>
      <c r="AA60" s="19">
        <f t="shared" si="53"/>
        <v>80</v>
      </c>
      <c r="AB60" s="19">
        <f t="shared" si="53"/>
        <v>160</v>
      </c>
      <c r="AC60" s="19">
        <f t="shared" si="53"/>
        <v>320</v>
      </c>
      <c r="AD60" s="19">
        <f t="shared" si="53"/>
        <v>640</v>
      </c>
      <c r="AE60" s="19">
        <f t="shared" si="53"/>
        <v>1280</v>
      </c>
      <c r="AF60" s="19">
        <f t="shared" si="53"/>
        <v>2560</v>
      </c>
      <c r="AG60" s="19">
        <f t="shared" si="53"/>
        <v>5120</v>
      </c>
      <c r="AH60" s="19">
        <f t="shared" si="53"/>
        <v>10240</v>
      </c>
      <c r="AI60" s="19">
        <f t="shared" si="53"/>
        <v>20480</v>
      </c>
      <c r="AJ60" s="19">
        <f t="shared" si="53"/>
        <v>40960</v>
      </c>
      <c r="AK60" s="19">
        <f t="shared" si="53"/>
        <v>81920</v>
      </c>
      <c r="AL60" s="19">
        <f t="shared" si="53"/>
        <v>163840</v>
      </c>
      <c r="AM60" s="19">
        <f t="shared" si="53"/>
        <v>327680</v>
      </c>
      <c r="AN60" s="60">
        <f t="shared" si="53"/>
        <v>655360</v>
      </c>
      <c r="AO60" s="18">
        <f t="shared" si="53"/>
        <v>1310720</v>
      </c>
      <c r="AP60" s="19">
        <f t="shared" si="53"/>
        <v>2621440</v>
      </c>
      <c r="AQ60" s="19">
        <f t="shared" si="53"/>
        <v>2728860</v>
      </c>
      <c r="AR60" s="45"/>
    </row>
    <row r="61" spans="1:44" x14ac:dyDescent="0.25">
      <c r="A61" s="41"/>
      <c r="B61" s="6"/>
      <c r="C61" s="10"/>
      <c r="D61" s="8"/>
      <c r="E61" s="27">
        <v>0.14799999999999999</v>
      </c>
      <c r="F61" s="15"/>
      <c r="G61" s="10"/>
      <c r="H61" s="10"/>
      <c r="I61" s="10"/>
      <c r="J61" s="15"/>
      <c r="K61" s="15"/>
      <c r="L61" s="15"/>
      <c r="M61" s="15"/>
      <c r="N61" s="15"/>
      <c r="O61" s="15"/>
      <c r="P61" s="15"/>
      <c r="Q61" s="15"/>
      <c r="R61" s="10"/>
      <c r="S61" s="29">
        <f t="shared" ref="S61:AQ61" si="54">S$29*$D$60*$E$61</f>
        <v>4.6249999999999999E-2</v>
      </c>
      <c r="T61" s="30">
        <f t="shared" si="54"/>
        <v>9.2499999999999999E-2</v>
      </c>
      <c r="U61" s="30">
        <f t="shared" si="54"/>
        <v>0.185</v>
      </c>
      <c r="V61" s="30">
        <f t="shared" si="54"/>
        <v>0.37</v>
      </c>
      <c r="W61" s="30">
        <f t="shared" si="54"/>
        <v>0.74</v>
      </c>
      <c r="X61" s="30">
        <f t="shared" si="54"/>
        <v>1.48</v>
      </c>
      <c r="Y61" s="30">
        <f t="shared" si="54"/>
        <v>2.96</v>
      </c>
      <c r="Z61" s="30">
        <f t="shared" si="54"/>
        <v>5.92</v>
      </c>
      <c r="AA61" s="30">
        <f t="shared" si="54"/>
        <v>11.84</v>
      </c>
      <c r="AB61" s="30">
        <f t="shared" si="54"/>
        <v>23.68</v>
      </c>
      <c r="AC61" s="30">
        <f t="shared" si="54"/>
        <v>47.36</v>
      </c>
      <c r="AD61" s="30">
        <f t="shared" si="54"/>
        <v>94.72</v>
      </c>
      <c r="AE61" s="30">
        <f t="shared" si="54"/>
        <v>189.44</v>
      </c>
      <c r="AF61" s="30">
        <f t="shared" si="54"/>
        <v>378.88</v>
      </c>
      <c r="AG61" s="30">
        <f t="shared" si="54"/>
        <v>757.76</v>
      </c>
      <c r="AH61" s="30">
        <f t="shared" si="54"/>
        <v>1515.52</v>
      </c>
      <c r="AI61" s="30">
        <f t="shared" si="54"/>
        <v>3031.04</v>
      </c>
      <c r="AJ61" s="30">
        <f t="shared" si="54"/>
        <v>6062.08</v>
      </c>
      <c r="AK61" s="30">
        <f t="shared" si="54"/>
        <v>12124.16</v>
      </c>
      <c r="AL61" s="30">
        <f t="shared" si="54"/>
        <v>24248.32</v>
      </c>
      <c r="AM61" s="30">
        <f t="shared" si="54"/>
        <v>48496.639999999999</v>
      </c>
      <c r="AN61" s="71">
        <f t="shared" si="54"/>
        <v>96993.279999999999</v>
      </c>
      <c r="AO61" s="29">
        <f t="shared" si="54"/>
        <v>193986.56</v>
      </c>
      <c r="AP61" s="30">
        <f t="shared" si="54"/>
        <v>387973.12</v>
      </c>
      <c r="AQ61" s="30">
        <f t="shared" si="54"/>
        <v>403871.27999999997</v>
      </c>
      <c r="AR61" s="45"/>
    </row>
    <row r="62" spans="1:44" x14ac:dyDescent="0.25">
      <c r="A62" s="41" t="s">
        <v>13</v>
      </c>
      <c r="B62" s="6">
        <f>'Population by Age'!E18</f>
        <v>2.5399999999999999E-2</v>
      </c>
      <c r="C62" s="10">
        <f t="shared" ref="C62:C76" si="55">$B$15*B62</f>
        <v>6931304.3999999994</v>
      </c>
      <c r="D62" s="23">
        <f>'Infection Rate by Age'!B5</f>
        <v>2.9000000000000001E-2</v>
      </c>
      <c r="E62" s="17"/>
      <c r="F62" s="16"/>
      <c r="G62" s="16"/>
      <c r="H62" s="16"/>
      <c r="I62" s="16"/>
      <c r="J62" s="16"/>
      <c r="K62" s="16"/>
      <c r="L62" s="16"/>
      <c r="M62" s="16"/>
      <c r="N62" s="16"/>
      <c r="O62" s="16"/>
      <c r="P62" s="16"/>
      <c r="Q62" s="16"/>
      <c r="R62" s="16"/>
      <c r="S62" s="20">
        <f t="shared" ref="S62:AQ62" si="56">S$29*$D$62</f>
        <v>0.90625</v>
      </c>
      <c r="T62" s="21">
        <f t="shared" si="56"/>
        <v>1.8125</v>
      </c>
      <c r="U62" s="21">
        <f t="shared" si="56"/>
        <v>3.625</v>
      </c>
      <c r="V62" s="21">
        <f t="shared" si="56"/>
        <v>7.25</v>
      </c>
      <c r="W62" s="21">
        <f t="shared" si="56"/>
        <v>14.5</v>
      </c>
      <c r="X62" s="21">
        <f t="shared" si="56"/>
        <v>29</v>
      </c>
      <c r="Y62" s="21">
        <f t="shared" si="56"/>
        <v>58</v>
      </c>
      <c r="Z62" s="21">
        <f t="shared" si="56"/>
        <v>116</v>
      </c>
      <c r="AA62" s="21">
        <f t="shared" si="56"/>
        <v>232</v>
      </c>
      <c r="AB62" s="21">
        <f t="shared" si="56"/>
        <v>464</v>
      </c>
      <c r="AC62" s="21">
        <f t="shared" si="56"/>
        <v>928</v>
      </c>
      <c r="AD62" s="21">
        <f t="shared" si="56"/>
        <v>1856</v>
      </c>
      <c r="AE62" s="21">
        <f t="shared" si="56"/>
        <v>3712</v>
      </c>
      <c r="AF62" s="21">
        <f t="shared" si="56"/>
        <v>7424</v>
      </c>
      <c r="AG62" s="21">
        <f t="shared" si="56"/>
        <v>14848</v>
      </c>
      <c r="AH62" s="21">
        <f t="shared" si="56"/>
        <v>29696</v>
      </c>
      <c r="AI62" s="21">
        <f t="shared" si="56"/>
        <v>59392</v>
      </c>
      <c r="AJ62" s="21">
        <f t="shared" si="56"/>
        <v>118784</v>
      </c>
      <c r="AK62" s="21">
        <f t="shared" si="56"/>
        <v>237568</v>
      </c>
      <c r="AL62" s="21">
        <f t="shared" si="56"/>
        <v>475136</v>
      </c>
      <c r="AM62" s="21">
        <f t="shared" si="56"/>
        <v>950272</v>
      </c>
      <c r="AN62" s="72">
        <f t="shared" si="56"/>
        <v>1900544</v>
      </c>
      <c r="AO62" s="20">
        <f t="shared" si="56"/>
        <v>3801088</v>
      </c>
      <c r="AP62" s="21">
        <f t="shared" si="56"/>
        <v>7602176</v>
      </c>
      <c r="AQ62" s="21">
        <f t="shared" si="56"/>
        <v>7913694</v>
      </c>
      <c r="AR62" s="45"/>
    </row>
    <row r="63" spans="1:44" x14ac:dyDescent="0.25">
      <c r="A63" s="41"/>
      <c r="B63" s="6"/>
      <c r="C63" s="10"/>
      <c r="D63" s="8"/>
      <c r="E63" s="27">
        <v>0.08</v>
      </c>
      <c r="F63" s="15"/>
      <c r="G63" s="10"/>
      <c r="H63" s="10"/>
      <c r="I63" s="10"/>
      <c r="J63" s="15"/>
      <c r="K63" s="15"/>
      <c r="L63" s="15"/>
      <c r="M63" s="15"/>
      <c r="N63" s="15"/>
      <c r="O63" s="15"/>
      <c r="P63" s="15"/>
      <c r="Q63" s="15"/>
      <c r="R63" s="10"/>
      <c r="S63" s="29">
        <f t="shared" ref="S63:AQ63" si="57">S$29*$D$62*$E$63</f>
        <v>7.2499999999999995E-2</v>
      </c>
      <c r="T63" s="30">
        <f t="shared" si="57"/>
        <v>0.14499999999999999</v>
      </c>
      <c r="U63" s="30">
        <f t="shared" si="57"/>
        <v>0.28999999999999998</v>
      </c>
      <c r="V63" s="30">
        <f t="shared" si="57"/>
        <v>0.57999999999999996</v>
      </c>
      <c r="W63" s="30">
        <f t="shared" si="57"/>
        <v>1.1599999999999999</v>
      </c>
      <c r="X63" s="30">
        <f t="shared" si="57"/>
        <v>2.3199999999999998</v>
      </c>
      <c r="Y63" s="30">
        <f t="shared" si="57"/>
        <v>4.6399999999999997</v>
      </c>
      <c r="Z63" s="30">
        <f t="shared" si="57"/>
        <v>9.2799999999999994</v>
      </c>
      <c r="AA63" s="30">
        <f t="shared" si="57"/>
        <v>18.559999999999999</v>
      </c>
      <c r="AB63" s="30">
        <f t="shared" si="57"/>
        <v>37.119999999999997</v>
      </c>
      <c r="AC63" s="30">
        <f t="shared" si="57"/>
        <v>74.239999999999995</v>
      </c>
      <c r="AD63" s="30">
        <f t="shared" si="57"/>
        <v>148.47999999999999</v>
      </c>
      <c r="AE63" s="30">
        <f t="shared" si="57"/>
        <v>296.95999999999998</v>
      </c>
      <c r="AF63" s="30">
        <f t="shared" si="57"/>
        <v>593.91999999999996</v>
      </c>
      <c r="AG63" s="30">
        <f t="shared" si="57"/>
        <v>1187.8399999999999</v>
      </c>
      <c r="AH63" s="30">
        <f t="shared" si="57"/>
        <v>2375.6799999999998</v>
      </c>
      <c r="AI63" s="30">
        <f t="shared" si="57"/>
        <v>4751.3599999999997</v>
      </c>
      <c r="AJ63" s="30">
        <f t="shared" si="57"/>
        <v>9502.7199999999993</v>
      </c>
      <c r="AK63" s="30">
        <f t="shared" si="57"/>
        <v>19005.439999999999</v>
      </c>
      <c r="AL63" s="30">
        <f t="shared" si="57"/>
        <v>38010.879999999997</v>
      </c>
      <c r="AM63" s="30">
        <f t="shared" si="57"/>
        <v>76021.759999999995</v>
      </c>
      <c r="AN63" s="71">
        <f t="shared" si="57"/>
        <v>152043.51999999999</v>
      </c>
      <c r="AO63" s="29">
        <f t="shared" si="57"/>
        <v>304087.03999999998</v>
      </c>
      <c r="AP63" s="30">
        <f t="shared" si="57"/>
        <v>608174.07999999996</v>
      </c>
      <c r="AQ63" s="30">
        <f t="shared" si="57"/>
        <v>633095.52</v>
      </c>
      <c r="AR63" s="45"/>
    </row>
    <row r="64" spans="1:44" x14ac:dyDescent="0.25">
      <c r="A64" s="41" t="s">
        <v>14</v>
      </c>
      <c r="B64" s="6">
        <f>'Population by Age'!E16</f>
        <v>6.2300000000000001E-2</v>
      </c>
      <c r="C64" s="10">
        <f t="shared" si="55"/>
        <v>17000797.800000001</v>
      </c>
      <c r="D64" s="23">
        <f>'Infection Rate by Age'!B6</f>
        <v>0.121</v>
      </c>
      <c r="E64" s="17"/>
      <c r="F64" s="10"/>
      <c r="G64" s="10"/>
      <c r="H64" s="10"/>
      <c r="I64" s="10"/>
      <c r="J64" s="10"/>
      <c r="K64" s="10"/>
      <c r="L64" s="10"/>
      <c r="M64" s="10"/>
      <c r="N64" s="10"/>
      <c r="O64" s="10"/>
      <c r="P64" s="10"/>
      <c r="Q64" s="10"/>
      <c r="R64" s="10"/>
      <c r="S64" s="20">
        <f t="shared" ref="S64:AQ64" si="58">S$29*$D$64</f>
        <v>3.78125</v>
      </c>
      <c r="T64" s="21">
        <f t="shared" si="58"/>
        <v>7.5625</v>
      </c>
      <c r="U64" s="21">
        <f t="shared" si="58"/>
        <v>15.125</v>
      </c>
      <c r="V64" s="21">
        <f t="shared" si="58"/>
        <v>30.25</v>
      </c>
      <c r="W64" s="21">
        <f t="shared" si="58"/>
        <v>60.5</v>
      </c>
      <c r="X64" s="21">
        <f t="shared" si="58"/>
        <v>121</v>
      </c>
      <c r="Y64" s="21">
        <f t="shared" si="58"/>
        <v>242</v>
      </c>
      <c r="Z64" s="21">
        <f t="shared" si="58"/>
        <v>484</v>
      </c>
      <c r="AA64" s="21">
        <f t="shared" si="58"/>
        <v>968</v>
      </c>
      <c r="AB64" s="21">
        <f t="shared" si="58"/>
        <v>1936</v>
      </c>
      <c r="AC64" s="21">
        <f t="shared" si="58"/>
        <v>3872</v>
      </c>
      <c r="AD64" s="21">
        <f t="shared" si="58"/>
        <v>7744</v>
      </c>
      <c r="AE64" s="21">
        <f t="shared" si="58"/>
        <v>15488</v>
      </c>
      <c r="AF64" s="21">
        <f t="shared" si="58"/>
        <v>30976</v>
      </c>
      <c r="AG64" s="21">
        <f t="shared" si="58"/>
        <v>61952</v>
      </c>
      <c r="AH64" s="21">
        <f t="shared" si="58"/>
        <v>123904</v>
      </c>
      <c r="AI64" s="21">
        <f t="shared" si="58"/>
        <v>247808</v>
      </c>
      <c r="AJ64" s="21">
        <f t="shared" si="58"/>
        <v>495616</v>
      </c>
      <c r="AK64" s="21">
        <f t="shared" si="58"/>
        <v>991232</v>
      </c>
      <c r="AL64" s="21">
        <f t="shared" si="58"/>
        <v>1982464</v>
      </c>
      <c r="AM64" s="21">
        <f t="shared" si="58"/>
        <v>3964928</v>
      </c>
      <c r="AN64" s="72">
        <f t="shared" si="58"/>
        <v>7929856</v>
      </c>
      <c r="AO64" s="20">
        <f t="shared" si="58"/>
        <v>15859712</v>
      </c>
      <c r="AP64" s="21">
        <f t="shared" si="58"/>
        <v>31719424</v>
      </c>
      <c r="AQ64" s="21">
        <f t="shared" si="58"/>
        <v>33019206</v>
      </c>
      <c r="AR64" s="45"/>
    </row>
    <row r="65" spans="1:44" x14ac:dyDescent="0.25">
      <c r="A65" s="41"/>
      <c r="B65" s="6"/>
      <c r="C65" s="10"/>
      <c r="D65" s="8"/>
      <c r="E65" s="27">
        <v>3.5999999999999997E-2</v>
      </c>
      <c r="F65" s="15"/>
      <c r="G65" s="10"/>
      <c r="H65" s="10"/>
      <c r="I65" s="10"/>
      <c r="J65" s="15"/>
      <c r="K65" s="15"/>
      <c r="L65" s="15"/>
      <c r="M65" s="15"/>
      <c r="N65" s="15"/>
      <c r="O65" s="15"/>
      <c r="P65" s="15"/>
      <c r="Q65" s="15"/>
      <c r="R65" s="10"/>
      <c r="S65" s="29">
        <f t="shared" ref="S65:AQ65" si="59">S$29*$D$64*$E$65</f>
        <v>0.136125</v>
      </c>
      <c r="T65" s="30">
        <f t="shared" si="59"/>
        <v>0.27224999999999999</v>
      </c>
      <c r="U65" s="30">
        <f t="shared" si="59"/>
        <v>0.54449999999999998</v>
      </c>
      <c r="V65" s="30">
        <f t="shared" si="59"/>
        <v>1.089</v>
      </c>
      <c r="W65" s="30">
        <f t="shared" si="59"/>
        <v>2.1779999999999999</v>
      </c>
      <c r="X65" s="30">
        <f t="shared" si="59"/>
        <v>4.3559999999999999</v>
      </c>
      <c r="Y65" s="30">
        <f t="shared" si="59"/>
        <v>8.7119999999999997</v>
      </c>
      <c r="Z65" s="30">
        <f t="shared" si="59"/>
        <v>17.423999999999999</v>
      </c>
      <c r="AA65" s="30">
        <f t="shared" si="59"/>
        <v>34.847999999999999</v>
      </c>
      <c r="AB65" s="30">
        <f t="shared" si="59"/>
        <v>69.695999999999998</v>
      </c>
      <c r="AC65" s="30">
        <f t="shared" si="59"/>
        <v>139.392</v>
      </c>
      <c r="AD65" s="30">
        <f t="shared" si="59"/>
        <v>278.78399999999999</v>
      </c>
      <c r="AE65" s="30">
        <f t="shared" si="59"/>
        <v>557.56799999999998</v>
      </c>
      <c r="AF65" s="30">
        <f t="shared" si="59"/>
        <v>1115.136</v>
      </c>
      <c r="AG65" s="30">
        <f t="shared" si="59"/>
        <v>2230.2719999999999</v>
      </c>
      <c r="AH65" s="30">
        <f t="shared" si="59"/>
        <v>4460.5439999999999</v>
      </c>
      <c r="AI65" s="30">
        <f t="shared" si="59"/>
        <v>8921.0879999999997</v>
      </c>
      <c r="AJ65" s="30">
        <f t="shared" si="59"/>
        <v>17842.175999999999</v>
      </c>
      <c r="AK65" s="30">
        <f t="shared" si="59"/>
        <v>35684.351999999999</v>
      </c>
      <c r="AL65" s="30">
        <f t="shared" si="59"/>
        <v>71368.703999999998</v>
      </c>
      <c r="AM65" s="30">
        <f t="shared" si="59"/>
        <v>142737.408</v>
      </c>
      <c r="AN65" s="71">
        <f t="shared" si="59"/>
        <v>285474.81599999999</v>
      </c>
      <c r="AO65" s="29">
        <f t="shared" si="59"/>
        <v>570949.63199999998</v>
      </c>
      <c r="AP65" s="30">
        <f t="shared" si="59"/>
        <v>1141899.264</v>
      </c>
      <c r="AQ65" s="30">
        <f t="shared" si="59"/>
        <v>1188691.416</v>
      </c>
      <c r="AR65" s="45"/>
    </row>
    <row r="66" spans="1:44" x14ac:dyDescent="0.25">
      <c r="A66" s="41" t="s">
        <v>15</v>
      </c>
      <c r="B66" s="6">
        <f>'Population by Age'!E14</f>
        <v>0.105</v>
      </c>
      <c r="C66" s="10">
        <f t="shared" si="55"/>
        <v>28653030</v>
      </c>
      <c r="D66" s="23">
        <f>'Infection Rate by Age'!B7</f>
        <v>0.159</v>
      </c>
      <c r="E66" s="17"/>
      <c r="F66" s="10"/>
      <c r="G66" s="10"/>
      <c r="H66" s="10"/>
      <c r="I66" s="10"/>
      <c r="J66" s="10"/>
      <c r="K66" s="10"/>
      <c r="L66" s="10"/>
      <c r="M66" s="10"/>
      <c r="N66" s="10"/>
      <c r="O66" s="10"/>
      <c r="P66" s="10"/>
      <c r="Q66" s="10"/>
      <c r="R66" s="10"/>
      <c r="S66" s="20">
        <f t="shared" ref="S66:AQ66" si="60">S$29*$D$66</f>
        <v>4.96875</v>
      </c>
      <c r="T66" s="21">
        <f t="shared" si="60"/>
        <v>9.9375</v>
      </c>
      <c r="U66" s="21">
        <f t="shared" si="60"/>
        <v>19.875</v>
      </c>
      <c r="V66" s="21">
        <f t="shared" si="60"/>
        <v>39.75</v>
      </c>
      <c r="W66" s="21">
        <f t="shared" si="60"/>
        <v>79.5</v>
      </c>
      <c r="X66" s="21">
        <f t="shared" si="60"/>
        <v>159</v>
      </c>
      <c r="Y66" s="21">
        <f t="shared" si="60"/>
        <v>318</v>
      </c>
      <c r="Z66" s="21">
        <f t="shared" si="60"/>
        <v>636</v>
      </c>
      <c r="AA66" s="21">
        <f t="shared" si="60"/>
        <v>1272</v>
      </c>
      <c r="AB66" s="21">
        <f t="shared" si="60"/>
        <v>2544</v>
      </c>
      <c r="AC66" s="21">
        <f t="shared" si="60"/>
        <v>5088</v>
      </c>
      <c r="AD66" s="21">
        <f t="shared" si="60"/>
        <v>10176</v>
      </c>
      <c r="AE66" s="21">
        <f t="shared" si="60"/>
        <v>20352</v>
      </c>
      <c r="AF66" s="21">
        <f t="shared" si="60"/>
        <v>40704</v>
      </c>
      <c r="AG66" s="21">
        <f t="shared" si="60"/>
        <v>81408</v>
      </c>
      <c r="AH66" s="21">
        <f t="shared" si="60"/>
        <v>162816</v>
      </c>
      <c r="AI66" s="21">
        <f t="shared" si="60"/>
        <v>325632</v>
      </c>
      <c r="AJ66" s="21">
        <f t="shared" si="60"/>
        <v>651264</v>
      </c>
      <c r="AK66" s="21">
        <f t="shared" si="60"/>
        <v>1302528</v>
      </c>
      <c r="AL66" s="21">
        <f t="shared" si="60"/>
        <v>2605056</v>
      </c>
      <c r="AM66" s="21">
        <f t="shared" si="60"/>
        <v>5210112</v>
      </c>
      <c r="AN66" s="72">
        <f t="shared" si="60"/>
        <v>10420224</v>
      </c>
      <c r="AO66" s="20">
        <f t="shared" si="60"/>
        <v>20840448</v>
      </c>
      <c r="AP66" s="21">
        <f t="shared" si="60"/>
        <v>41680896</v>
      </c>
      <c r="AQ66" s="21">
        <f t="shared" si="60"/>
        <v>43388874</v>
      </c>
      <c r="AR66" s="45"/>
    </row>
    <row r="67" spans="1:44" x14ac:dyDescent="0.25">
      <c r="A67" s="41"/>
      <c r="B67" s="6"/>
      <c r="C67" s="10"/>
      <c r="D67" s="8"/>
      <c r="E67" s="27">
        <v>1.2999999999999999E-2</v>
      </c>
      <c r="F67" s="15"/>
      <c r="G67" s="10"/>
      <c r="H67" s="10"/>
      <c r="I67" s="10"/>
      <c r="J67" s="15"/>
      <c r="K67" s="15"/>
      <c r="L67" s="15"/>
      <c r="M67" s="15"/>
      <c r="N67" s="15"/>
      <c r="O67" s="15"/>
      <c r="P67" s="15"/>
      <c r="Q67" s="15"/>
      <c r="R67" s="10"/>
      <c r="S67" s="29">
        <f t="shared" ref="S67:AQ67" si="61">S$29*$D$66*$E$67</f>
        <v>6.4593749999999991E-2</v>
      </c>
      <c r="T67" s="30">
        <f t="shared" si="61"/>
        <v>0.12918749999999998</v>
      </c>
      <c r="U67" s="30">
        <f t="shared" si="61"/>
        <v>0.25837499999999997</v>
      </c>
      <c r="V67" s="30">
        <f t="shared" si="61"/>
        <v>0.51674999999999993</v>
      </c>
      <c r="W67" s="30">
        <f t="shared" si="61"/>
        <v>1.0334999999999999</v>
      </c>
      <c r="X67" s="30">
        <f t="shared" si="61"/>
        <v>2.0669999999999997</v>
      </c>
      <c r="Y67" s="30">
        <f t="shared" si="61"/>
        <v>4.1339999999999995</v>
      </c>
      <c r="Z67" s="30">
        <f t="shared" si="61"/>
        <v>8.2679999999999989</v>
      </c>
      <c r="AA67" s="30">
        <f t="shared" si="61"/>
        <v>16.535999999999998</v>
      </c>
      <c r="AB67" s="30">
        <f t="shared" si="61"/>
        <v>33.071999999999996</v>
      </c>
      <c r="AC67" s="30">
        <f t="shared" si="61"/>
        <v>66.143999999999991</v>
      </c>
      <c r="AD67" s="30">
        <f t="shared" si="61"/>
        <v>132.28799999999998</v>
      </c>
      <c r="AE67" s="30">
        <f t="shared" si="61"/>
        <v>264.57599999999996</v>
      </c>
      <c r="AF67" s="30">
        <f t="shared" si="61"/>
        <v>529.15199999999993</v>
      </c>
      <c r="AG67" s="30">
        <f t="shared" si="61"/>
        <v>1058.3039999999999</v>
      </c>
      <c r="AH67" s="30">
        <f t="shared" si="61"/>
        <v>2116.6079999999997</v>
      </c>
      <c r="AI67" s="30">
        <f t="shared" si="61"/>
        <v>4233.2159999999994</v>
      </c>
      <c r="AJ67" s="30">
        <f t="shared" si="61"/>
        <v>8466.4319999999989</v>
      </c>
      <c r="AK67" s="30">
        <f t="shared" si="61"/>
        <v>16932.863999999998</v>
      </c>
      <c r="AL67" s="30">
        <f t="shared" si="61"/>
        <v>33865.727999999996</v>
      </c>
      <c r="AM67" s="30">
        <f t="shared" si="61"/>
        <v>67731.455999999991</v>
      </c>
      <c r="AN67" s="71">
        <f t="shared" si="61"/>
        <v>135462.91199999998</v>
      </c>
      <c r="AO67" s="29">
        <f t="shared" si="61"/>
        <v>270925.82399999996</v>
      </c>
      <c r="AP67" s="30">
        <f t="shared" si="61"/>
        <v>541851.64799999993</v>
      </c>
      <c r="AQ67" s="30">
        <f t="shared" si="61"/>
        <v>564055.36199999996</v>
      </c>
      <c r="AR67" s="45"/>
    </row>
    <row r="68" spans="1:44" x14ac:dyDescent="0.25">
      <c r="A68" s="41" t="s">
        <v>16</v>
      </c>
      <c r="B68" s="6">
        <f>'Population by Age'!E12</f>
        <v>0.13589999999999999</v>
      </c>
      <c r="C68" s="10">
        <f t="shared" si="55"/>
        <v>37085207.399999999</v>
      </c>
      <c r="D68" s="23">
        <f>'Infection Rate by Age'!B8</f>
        <v>0.17100000000000001</v>
      </c>
      <c r="E68" s="17"/>
      <c r="F68" s="10"/>
      <c r="G68" s="10"/>
      <c r="H68" s="10"/>
      <c r="I68" s="10"/>
      <c r="J68" s="10"/>
      <c r="K68" s="10"/>
      <c r="L68" s="10"/>
      <c r="M68" s="10"/>
      <c r="N68" s="10"/>
      <c r="O68" s="10"/>
      <c r="P68" s="10"/>
      <c r="Q68" s="10"/>
      <c r="R68" s="10"/>
      <c r="S68" s="20">
        <f t="shared" ref="S68:AQ68" si="62">S$29*$D$68</f>
        <v>5.34375</v>
      </c>
      <c r="T68" s="21">
        <f t="shared" si="62"/>
        <v>10.6875</v>
      </c>
      <c r="U68" s="21">
        <f t="shared" si="62"/>
        <v>21.375</v>
      </c>
      <c r="V68" s="21">
        <f t="shared" si="62"/>
        <v>42.75</v>
      </c>
      <c r="W68" s="21">
        <f t="shared" si="62"/>
        <v>85.5</v>
      </c>
      <c r="X68" s="21">
        <f t="shared" si="62"/>
        <v>171</v>
      </c>
      <c r="Y68" s="21">
        <f t="shared" si="62"/>
        <v>342</v>
      </c>
      <c r="Z68" s="21">
        <f t="shared" si="62"/>
        <v>684</v>
      </c>
      <c r="AA68" s="21">
        <f t="shared" si="62"/>
        <v>1368</v>
      </c>
      <c r="AB68" s="21">
        <f t="shared" si="62"/>
        <v>2736</v>
      </c>
      <c r="AC68" s="21">
        <f t="shared" si="62"/>
        <v>5472</v>
      </c>
      <c r="AD68" s="21">
        <f t="shared" si="62"/>
        <v>10944</v>
      </c>
      <c r="AE68" s="21">
        <f t="shared" si="62"/>
        <v>21888</v>
      </c>
      <c r="AF68" s="21">
        <f t="shared" si="62"/>
        <v>43776</v>
      </c>
      <c r="AG68" s="21">
        <f t="shared" si="62"/>
        <v>87552</v>
      </c>
      <c r="AH68" s="21">
        <f t="shared" si="62"/>
        <v>175104</v>
      </c>
      <c r="AI68" s="21">
        <f t="shared" si="62"/>
        <v>350208</v>
      </c>
      <c r="AJ68" s="21">
        <f t="shared" si="62"/>
        <v>700416</v>
      </c>
      <c r="AK68" s="21">
        <f t="shared" si="62"/>
        <v>1400832</v>
      </c>
      <c r="AL68" s="21">
        <f t="shared" si="62"/>
        <v>2801664</v>
      </c>
      <c r="AM68" s="21">
        <f t="shared" si="62"/>
        <v>5603328</v>
      </c>
      <c r="AN68" s="72">
        <f t="shared" si="62"/>
        <v>11206656</v>
      </c>
      <c r="AO68" s="20">
        <f t="shared" si="62"/>
        <v>22413312</v>
      </c>
      <c r="AP68" s="21">
        <f t="shared" si="62"/>
        <v>44826624</v>
      </c>
      <c r="AQ68" s="21">
        <f t="shared" si="62"/>
        <v>46663506</v>
      </c>
      <c r="AR68" s="45"/>
    </row>
    <row r="69" spans="1:44" x14ac:dyDescent="0.25">
      <c r="A69" s="41"/>
      <c r="B69" s="6"/>
      <c r="C69" s="10"/>
      <c r="D69" s="8"/>
      <c r="E69" s="27">
        <v>4.0000000000000001E-3</v>
      </c>
      <c r="F69" s="15"/>
      <c r="G69" s="10"/>
      <c r="H69" s="10"/>
      <c r="I69" s="10"/>
      <c r="J69" s="15"/>
      <c r="K69" s="15"/>
      <c r="L69" s="15"/>
      <c r="M69" s="15"/>
      <c r="N69" s="15"/>
      <c r="O69" s="15"/>
      <c r="P69" s="15"/>
      <c r="Q69" s="15"/>
      <c r="R69" s="10"/>
      <c r="S69" s="29">
        <f t="shared" ref="S69:AQ69" si="63">S$29*$D$68*$E$69</f>
        <v>2.1375000000000002E-2</v>
      </c>
      <c r="T69" s="30">
        <f t="shared" si="63"/>
        <v>4.2750000000000003E-2</v>
      </c>
      <c r="U69" s="30">
        <f t="shared" si="63"/>
        <v>8.5500000000000007E-2</v>
      </c>
      <c r="V69" s="30">
        <f t="shared" si="63"/>
        <v>0.17100000000000001</v>
      </c>
      <c r="W69" s="30">
        <f t="shared" si="63"/>
        <v>0.34200000000000003</v>
      </c>
      <c r="X69" s="30">
        <f t="shared" si="63"/>
        <v>0.68400000000000005</v>
      </c>
      <c r="Y69" s="30">
        <f t="shared" si="63"/>
        <v>1.3680000000000001</v>
      </c>
      <c r="Z69" s="30">
        <f t="shared" si="63"/>
        <v>2.7360000000000002</v>
      </c>
      <c r="AA69" s="30">
        <f t="shared" si="63"/>
        <v>5.4720000000000004</v>
      </c>
      <c r="AB69" s="30">
        <f t="shared" si="63"/>
        <v>10.944000000000001</v>
      </c>
      <c r="AC69" s="30">
        <f t="shared" si="63"/>
        <v>21.888000000000002</v>
      </c>
      <c r="AD69" s="30">
        <f t="shared" si="63"/>
        <v>43.776000000000003</v>
      </c>
      <c r="AE69" s="30">
        <f t="shared" si="63"/>
        <v>87.552000000000007</v>
      </c>
      <c r="AF69" s="30">
        <f t="shared" si="63"/>
        <v>175.10400000000001</v>
      </c>
      <c r="AG69" s="30">
        <f t="shared" si="63"/>
        <v>350.20800000000003</v>
      </c>
      <c r="AH69" s="30">
        <f t="shared" si="63"/>
        <v>700.41600000000005</v>
      </c>
      <c r="AI69" s="30">
        <f t="shared" si="63"/>
        <v>1400.8320000000001</v>
      </c>
      <c r="AJ69" s="30">
        <f t="shared" si="63"/>
        <v>2801.6640000000002</v>
      </c>
      <c r="AK69" s="30">
        <f t="shared" si="63"/>
        <v>5603.3280000000004</v>
      </c>
      <c r="AL69" s="30">
        <f t="shared" si="63"/>
        <v>11206.656000000001</v>
      </c>
      <c r="AM69" s="30">
        <f t="shared" si="63"/>
        <v>22413.312000000002</v>
      </c>
      <c r="AN69" s="71">
        <f t="shared" si="63"/>
        <v>44826.624000000003</v>
      </c>
      <c r="AO69" s="29">
        <f t="shared" si="63"/>
        <v>89653.248000000007</v>
      </c>
      <c r="AP69" s="30">
        <f t="shared" si="63"/>
        <v>179306.49600000001</v>
      </c>
      <c r="AQ69" s="30">
        <f t="shared" si="63"/>
        <v>186654.024</v>
      </c>
      <c r="AR69" s="45"/>
    </row>
    <row r="70" spans="1:44" x14ac:dyDescent="0.25">
      <c r="A70" s="41" t="s">
        <v>17</v>
      </c>
      <c r="B70" s="6">
        <f>'Population by Age'!E10</f>
        <v>0.15310000000000001</v>
      </c>
      <c r="C70" s="10">
        <f t="shared" si="55"/>
        <v>41778846.600000001</v>
      </c>
      <c r="D70" s="23">
        <f>'Infection Rate by Age'!B9</f>
        <v>0.219</v>
      </c>
      <c r="E70" s="17"/>
      <c r="F70" s="10"/>
      <c r="G70" s="14"/>
      <c r="H70" s="14"/>
      <c r="I70" s="14"/>
      <c r="J70" s="10"/>
      <c r="K70" s="10"/>
      <c r="L70" s="10"/>
      <c r="M70" s="10"/>
      <c r="N70" s="10"/>
      <c r="O70" s="10"/>
      <c r="P70" s="10"/>
      <c r="Q70" s="10"/>
      <c r="R70" s="10"/>
      <c r="S70" s="20">
        <f t="shared" ref="S70:AQ70" si="64">S$29*$D$70</f>
        <v>6.84375</v>
      </c>
      <c r="T70" s="21">
        <f t="shared" si="64"/>
        <v>13.6875</v>
      </c>
      <c r="U70" s="21">
        <f t="shared" si="64"/>
        <v>27.375</v>
      </c>
      <c r="V70" s="21">
        <f t="shared" si="64"/>
        <v>54.75</v>
      </c>
      <c r="W70" s="21">
        <f t="shared" si="64"/>
        <v>109.5</v>
      </c>
      <c r="X70" s="21">
        <f t="shared" si="64"/>
        <v>219</v>
      </c>
      <c r="Y70" s="21">
        <f t="shared" si="64"/>
        <v>438</v>
      </c>
      <c r="Z70" s="21">
        <f t="shared" si="64"/>
        <v>876</v>
      </c>
      <c r="AA70" s="21">
        <f t="shared" si="64"/>
        <v>1752</v>
      </c>
      <c r="AB70" s="21">
        <f t="shared" si="64"/>
        <v>3504</v>
      </c>
      <c r="AC70" s="21">
        <f t="shared" si="64"/>
        <v>7008</v>
      </c>
      <c r="AD70" s="21">
        <f t="shared" si="64"/>
        <v>14016</v>
      </c>
      <c r="AE70" s="21">
        <f t="shared" si="64"/>
        <v>28032</v>
      </c>
      <c r="AF70" s="21">
        <f t="shared" si="64"/>
        <v>56064</v>
      </c>
      <c r="AG70" s="21">
        <f t="shared" si="64"/>
        <v>112128</v>
      </c>
      <c r="AH70" s="21">
        <f t="shared" si="64"/>
        <v>224256</v>
      </c>
      <c r="AI70" s="21">
        <f t="shared" si="64"/>
        <v>448512</v>
      </c>
      <c r="AJ70" s="21">
        <f t="shared" si="64"/>
        <v>897024</v>
      </c>
      <c r="AK70" s="21">
        <f t="shared" si="64"/>
        <v>1794048</v>
      </c>
      <c r="AL70" s="21">
        <f t="shared" si="64"/>
        <v>3588096</v>
      </c>
      <c r="AM70" s="21">
        <f t="shared" si="64"/>
        <v>7176192</v>
      </c>
      <c r="AN70" s="72">
        <f t="shared" si="64"/>
        <v>14352384</v>
      </c>
      <c r="AO70" s="20">
        <f t="shared" si="64"/>
        <v>28704768</v>
      </c>
      <c r="AP70" s="21">
        <f t="shared" si="64"/>
        <v>57409536</v>
      </c>
      <c r="AQ70" s="21">
        <f t="shared" si="64"/>
        <v>59762034</v>
      </c>
      <c r="AR70" s="45"/>
    </row>
    <row r="71" spans="1:44" x14ac:dyDescent="0.25">
      <c r="A71" s="41"/>
      <c r="B71" s="6"/>
      <c r="C71" s="10"/>
      <c r="D71" s="8"/>
      <c r="E71" s="27">
        <v>2E-3</v>
      </c>
      <c r="F71" s="15"/>
      <c r="G71" s="10"/>
      <c r="H71" s="10"/>
      <c r="I71" s="10"/>
      <c r="J71" s="15"/>
      <c r="K71" s="15"/>
      <c r="L71" s="15"/>
      <c r="M71" s="15"/>
      <c r="N71" s="15"/>
      <c r="O71" s="15"/>
      <c r="P71" s="15"/>
      <c r="Q71" s="15"/>
      <c r="R71" s="10"/>
      <c r="S71" s="29">
        <f t="shared" ref="S71:AQ71" si="65">S$29*$D$70*$E$71</f>
        <v>1.36875E-2</v>
      </c>
      <c r="T71" s="30">
        <f t="shared" si="65"/>
        <v>2.7375E-2</v>
      </c>
      <c r="U71" s="30">
        <f t="shared" si="65"/>
        <v>5.475E-2</v>
      </c>
      <c r="V71" s="30">
        <f t="shared" si="65"/>
        <v>0.1095</v>
      </c>
      <c r="W71" s="30">
        <f t="shared" si="65"/>
        <v>0.219</v>
      </c>
      <c r="X71" s="30">
        <f t="shared" si="65"/>
        <v>0.438</v>
      </c>
      <c r="Y71" s="30">
        <f t="shared" si="65"/>
        <v>0.876</v>
      </c>
      <c r="Z71" s="30">
        <f t="shared" si="65"/>
        <v>1.752</v>
      </c>
      <c r="AA71" s="30">
        <f t="shared" si="65"/>
        <v>3.504</v>
      </c>
      <c r="AB71" s="30">
        <f t="shared" si="65"/>
        <v>7.008</v>
      </c>
      <c r="AC71" s="30">
        <f t="shared" si="65"/>
        <v>14.016</v>
      </c>
      <c r="AD71" s="30">
        <f t="shared" si="65"/>
        <v>28.032</v>
      </c>
      <c r="AE71" s="30">
        <f t="shared" si="65"/>
        <v>56.064</v>
      </c>
      <c r="AF71" s="30">
        <f t="shared" si="65"/>
        <v>112.128</v>
      </c>
      <c r="AG71" s="30">
        <f t="shared" si="65"/>
        <v>224.256</v>
      </c>
      <c r="AH71" s="30">
        <f t="shared" si="65"/>
        <v>448.512</v>
      </c>
      <c r="AI71" s="30">
        <f t="shared" si="65"/>
        <v>897.024</v>
      </c>
      <c r="AJ71" s="30">
        <f t="shared" si="65"/>
        <v>1794.048</v>
      </c>
      <c r="AK71" s="30">
        <f t="shared" si="65"/>
        <v>3588.096</v>
      </c>
      <c r="AL71" s="30">
        <f t="shared" si="65"/>
        <v>7176.192</v>
      </c>
      <c r="AM71" s="30">
        <f t="shared" si="65"/>
        <v>14352.384</v>
      </c>
      <c r="AN71" s="71">
        <f t="shared" si="65"/>
        <v>28704.768</v>
      </c>
      <c r="AO71" s="29">
        <f t="shared" si="65"/>
        <v>57409.536</v>
      </c>
      <c r="AP71" s="30">
        <f t="shared" si="65"/>
        <v>114819.072</v>
      </c>
      <c r="AQ71" s="30">
        <f t="shared" si="65"/>
        <v>119524.068</v>
      </c>
      <c r="AR71" s="45"/>
    </row>
    <row r="72" spans="1:44" x14ac:dyDescent="0.25">
      <c r="A72" s="41" t="s">
        <v>18</v>
      </c>
      <c r="B72" s="6">
        <f>'Population by Age'!E8</f>
        <v>0.1608</v>
      </c>
      <c r="C72" s="10">
        <f t="shared" si="55"/>
        <v>43880068.799999997</v>
      </c>
      <c r="D72" s="23">
        <f>'Infection Rate by Age'!B10</f>
        <v>0.23200000000000001</v>
      </c>
      <c r="E72" s="17"/>
      <c r="F72" s="10"/>
      <c r="G72" s="10"/>
      <c r="H72" s="10"/>
      <c r="I72" s="10"/>
      <c r="J72" s="10"/>
      <c r="K72" s="10"/>
      <c r="L72" s="10"/>
      <c r="M72" s="10"/>
      <c r="N72" s="10"/>
      <c r="O72" s="10"/>
      <c r="P72" s="10"/>
      <c r="Q72" s="10"/>
      <c r="R72" s="10"/>
      <c r="S72" s="20">
        <f t="shared" ref="S72:AQ72" si="66">S$29*$D$72</f>
        <v>7.25</v>
      </c>
      <c r="T72" s="21">
        <f t="shared" si="66"/>
        <v>14.5</v>
      </c>
      <c r="U72" s="21">
        <f t="shared" si="66"/>
        <v>29</v>
      </c>
      <c r="V72" s="21">
        <f t="shared" si="66"/>
        <v>58</v>
      </c>
      <c r="W72" s="21">
        <f t="shared" si="66"/>
        <v>116</v>
      </c>
      <c r="X72" s="21">
        <f t="shared" si="66"/>
        <v>232</v>
      </c>
      <c r="Y72" s="21">
        <f t="shared" si="66"/>
        <v>464</v>
      </c>
      <c r="Z72" s="21">
        <f t="shared" si="66"/>
        <v>928</v>
      </c>
      <c r="AA72" s="21">
        <f t="shared" si="66"/>
        <v>1856</v>
      </c>
      <c r="AB72" s="21">
        <f t="shared" si="66"/>
        <v>3712</v>
      </c>
      <c r="AC72" s="21">
        <f t="shared" si="66"/>
        <v>7424</v>
      </c>
      <c r="AD72" s="21">
        <f t="shared" si="66"/>
        <v>14848</v>
      </c>
      <c r="AE72" s="21">
        <f t="shared" si="66"/>
        <v>29696</v>
      </c>
      <c r="AF72" s="21">
        <f t="shared" si="66"/>
        <v>59392</v>
      </c>
      <c r="AG72" s="21">
        <f t="shared" si="66"/>
        <v>118784</v>
      </c>
      <c r="AH72" s="21">
        <f t="shared" si="66"/>
        <v>237568</v>
      </c>
      <c r="AI72" s="21">
        <f t="shared" si="66"/>
        <v>475136</v>
      </c>
      <c r="AJ72" s="21">
        <f t="shared" si="66"/>
        <v>950272</v>
      </c>
      <c r="AK72" s="21">
        <f t="shared" si="66"/>
        <v>1900544</v>
      </c>
      <c r="AL72" s="21">
        <f t="shared" si="66"/>
        <v>3801088</v>
      </c>
      <c r="AM72" s="21">
        <f t="shared" si="66"/>
        <v>7602176</v>
      </c>
      <c r="AN72" s="72">
        <f t="shared" si="66"/>
        <v>15204352</v>
      </c>
      <c r="AO72" s="20">
        <f t="shared" si="66"/>
        <v>30408704</v>
      </c>
      <c r="AP72" s="21">
        <f t="shared" si="66"/>
        <v>60817408</v>
      </c>
      <c r="AQ72" s="21">
        <f t="shared" si="66"/>
        <v>63309552</v>
      </c>
      <c r="AR72" s="45"/>
    </row>
    <row r="73" spans="1:44" x14ac:dyDescent="0.25">
      <c r="A73" s="41"/>
      <c r="B73" s="6"/>
      <c r="C73" s="10"/>
      <c r="D73" s="8"/>
      <c r="E73" s="27">
        <v>2E-3</v>
      </c>
      <c r="F73" s="15"/>
      <c r="G73" s="10"/>
      <c r="H73" s="10"/>
      <c r="I73" s="10"/>
      <c r="J73" s="15"/>
      <c r="K73" s="15"/>
      <c r="L73" s="15"/>
      <c r="M73" s="15"/>
      <c r="N73" s="15"/>
      <c r="O73" s="15"/>
      <c r="P73" s="15"/>
      <c r="Q73" s="15"/>
      <c r="R73" s="10"/>
      <c r="S73" s="29">
        <f t="shared" ref="S73:AQ73" si="67">S$29*$D$72*$E$73</f>
        <v>1.4500000000000001E-2</v>
      </c>
      <c r="T73" s="30">
        <f t="shared" si="67"/>
        <v>2.9000000000000001E-2</v>
      </c>
      <c r="U73" s="30">
        <f t="shared" si="67"/>
        <v>5.8000000000000003E-2</v>
      </c>
      <c r="V73" s="30">
        <f t="shared" si="67"/>
        <v>0.11600000000000001</v>
      </c>
      <c r="W73" s="30">
        <f t="shared" si="67"/>
        <v>0.23200000000000001</v>
      </c>
      <c r="X73" s="30">
        <f t="shared" si="67"/>
        <v>0.46400000000000002</v>
      </c>
      <c r="Y73" s="30">
        <f t="shared" si="67"/>
        <v>0.92800000000000005</v>
      </c>
      <c r="Z73" s="30">
        <f t="shared" si="67"/>
        <v>1.8560000000000001</v>
      </c>
      <c r="AA73" s="30">
        <f t="shared" si="67"/>
        <v>3.7120000000000002</v>
      </c>
      <c r="AB73" s="30">
        <f t="shared" si="67"/>
        <v>7.4240000000000004</v>
      </c>
      <c r="AC73" s="30">
        <f t="shared" si="67"/>
        <v>14.848000000000001</v>
      </c>
      <c r="AD73" s="30">
        <f t="shared" si="67"/>
        <v>29.696000000000002</v>
      </c>
      <c r="AE73" s="30">
        <f t="shared" si="67"/>
        <v>59.392000000000003</v>
      </c>
      <c r="AF73" s="30">
        <f t="shared" si="67"/>
        <v>118.78400000000001</v>
      </c>
      <c r="AG73" s="30">
        <f t="shared" si="67"/>
        <v>237.56800000000001</v>
      </c>
      <c r="AH73" s="30">
        <f t="shared" si="67"/>
        <v>475.13600000000002</v>
      </c>
      <c r="AI73" s="30">
        <f t="shared" si="67"/>
        <v>950.27200000000005</v>
      </c>
      <c r="AJ73" s="30">
        <f t="shared" si="67"/>
        <v>1900.5440000000001</v>
      </c>
      <c r="AK73" s="30">
        <f t="shared" si="67"/>
        <v>3801.0880000000002</v>
      </c>
      <c r="AL73" s="30">
        <f t="shared" si="67"/>
        <v>7602.1760000000004</v>
      </c>
      <c r="AM73" s="30">
        <f t="shared" si="67"/>
        <v>15204.352000000001</v>
      </c>
      <c r="AN73" s="71">
        <f t="shared" si="67"/>
        <v>30408.704000000002</v>
      </c>
      <c r="AO73" s="29">
        <f t="shared" si="67"/>
        <v>60817.408000000003</v>
      </c>
      <c r="AP73" s="30">
        <f t="shared" si="67"/>
        <v>121634.81600000001</v>
      </c>
      <c r="AQ73" s="30">
        <f t="shared" si="67"/>
        <v>126619.10400000001</v>
      </c>
      <c r="AR73" s="45"/>
    </row>
    <row r="74" spans="1:44" x14ac:dyDescent="0.25">
      <c r="A74" s="42" t="s">
        <v>19</v>
      </c>
      <c r="B74" s="6">
        <f>'Population by Age'!E6</f>
        <v>0.1729</v>
      </c>
      <c r="C74" s="10">
        <f t="shared" si="55"/>
        <v>47181989.399999999</v>
      </c>
      <c r="D74" s="23">
        <f>'Infection Rate by Age'!B11</f>
        <v>3.7999999999999999E-2</v>
      </c>
      <c r="E74" s="17"/>
      <c r="F74" s="10"/>
      <c r="G74" s="10"/>
      <c r="H74" s="10"/>
      <c r="I74" s="10"/>
      <c r="J74" s="10"/>
      <c r="K74" s="10"/>
      <c r="L74" s="10"/>
      <c r="M74" s="10"/>
      <c r="N74" s="10"/>
      <c r="O74" s="10"/>
      <c r="P74" s="10"/>
      <c r="Q74" s="10"/>
      <c r="R74" s="10"/>
      <c r="S74" s="20">
        <f t="shared" ref="S74:AQ74" si="68">S$29*$D$74</f>
        <v>1.1875</v>
      </c>
      <c r="T74" s="21">
        <f t="shared" si="68"/>
        <v>2.375</v>
      </c>
      <c r="U74" s="21">
        <f t="shared" si="68"/>
        <v>4.75</v>
      </c>
      <c r="V74" s="21">
        <f t="shared" si="68"/>
        <v>9.5</v>
      </c>
      <c r="W74" s="21">
        <f t="shared" si="68"/>
        <v>19</v>
      </c>
      <c r="X74" s="21">
        <f t="shared" si="68"/>
        <v>38</v>
      </c>
      <c r="Y74" s="21">
        <f t="shared" si="68"/>
        <v>76</v>
      </c>
      <c r="Z74" s="21">
        <f t="shared" si="68"/>
        <v>152</v>
      </c>
      <c r="AA74" s="21">
        <f t="shared" si="68"/>
        <v>304</v>
      </c>
      <c r="AB74" s="21">
        <f t="shared" si="68"/>
        <v>608</v>
      </c>
      <c r="AC74" s="21">
        <f t="shared" si="68"/>
        <v>1216</v>
      </c>
      <c r="AD74" s="21">
        <f t="shared" si="68"/>
        <v>2432</v>
      </c>
      <c r="AE74" s="21">
        <f t="shared" si="68"/>
        <v>4864</v>
      </c>
      <c r="AF74" s="21">
        <f t="shared" si="68"/>
        <v>9728</v>
      </c>
      <c r="AG74" s="21">
        <f t="shared" si="68"/>
        <v>19456</v>
      </c>
      <c r="AH74" s="21">
        <f t="shared" si="68"/>
        <v>38912</v>
      </c>
      <c r="AI74" s="21">
        <f t="shared" si="68"/>
        <v>77824</v>
      </c>
      <c r="AJ74" s="21">
        <f t="shared" si="68"/>
        <v>155648</v>
      </c>
      <c r="AK74" s="21">
        <f t="shared" si="68"/>
        <v>311296</v>
      </c>
      <c r="AL74" s="21">
        <f t="shared" si="68"/>
        <v>622592</v>
      </c>
      <c r="AM74" s="21">
        <f t="shared" si="68"/>
        <v>1245184</v>
      </c>
      <c r="AN74" s="72">
        <f t="shared" si="68"/>
        <v>2490368</v>
      </c>
      <c r="AO74" s="20">
        <f t="shared" si="68"/>
        <v>4980736</v>
      </c>
      <c r="AP74" s="21">
        <f t="shared" si="68"/>
        <v>9961472</v>
      </c>
      <c r="AQ74" s="21">
        <f t="shared" si="68"/>
        <v>10369668</v>
      </c>
      <c r="AR74" s="45"/>
    </row>
    <row r="75" spans="1:44" x14ac:dyDescent="0.25">
      <c r="A75" s="42"/>
      <c r="B75" s="6"/>
      <c r="C75" s="10"/>
      <c r="D75" s="8"/>
      <c r="E75" s="27">
        <v>2E-3</v>
      </c>
      <c r="F75" s="15"/>
      <c r="G75" s="10"/>
      <c r="H75" s="10"/>
      <c r="I75" s="10"/>
      <c r="J75" s="15"/>
      <c r="K75" s="15"/>
      <c r="L75" s="15"/>
      <c r="M75" s="15"/>
      <c r="N75" s="15"/>
      <c r="O75" s="15"/>
      <c r="P75" s="15"/>
      <c r="Q75" s="15"/>
      <c r="R75" s="10"/>
      <c r="S75" s="29">
        <f t="shared" ref="S75:AQ75" si="69">S$29*$D$74*$E$75</f>
        <v>2.3749999999999999E-3</v>
      </c>
      <c r="T75" s="30">
        <f t="shared" si="69"/>
        <v>4.7499999999999999E-3</v>
      </c>
      <c r="U75" s="30">
        <f t="shared" si="69"/>
        <v>9.4999999999999998E-3</v>
      </c>
      <c r="V75" s="30">
        <f t="shared" si="69"/>
        <v>1.9E-2</v>
      </c>
      <c r="W75" s="30">
        <f t="shared" si="69"/>
        <v>3.7999999999999999E-2</v>
      </c>
      <c r="X75" s="30">
        <f t="shared" si="69"/>
        <v>7.5999999999999998E-2</v>
      </c>
      <c r="Y75" s="30">
        <f t="shared" si="69"/>
        <v>0.152</v>
      </c>
      <c r="Z75" s="30">
        <f t="shared" si="69"/>
        <v>0.30399999999999999</v>
      </c>
      <c r="AA75" s="30">
        <f t="shared" si="69"/>
        <v>0.60799999999999998</v>
      </c>
      <c r="AB75" s="30">
        <f t="shared" si="69"/>
        <v>1.216</v>
      </c>
      <c r="AC75" s="30">
        <f t="shared" si="69"/>
        <v>2.4319999999999999</v>
      </c>
      <c r="AD75" s="30">
        <f t="shared" si="69"/>
        <v>4.8639999999999999</v>
      </c>
      <c r="AE75" s="30">
        <f t="shared" si="69"/>
        <v>9.7279999999999998</v>
      </c>
      <c r="AF75" s="30">
        <f t="shared" si="69"/>
        <v>19.456</v>
      </c>
      <c r="AG75" s="30">
        <f t="shared" si="69"/>
        <v>38.911999999999999</v>
      </c>
      <c r="AH75" s="30">
        <f t="shared" si="69"/>
        <v>77.823999999999998</v>
      </c>
      <c r="AI75" s="30">
        <f t="shared" si="69"/>
        <v>155.648</v>
      </c>
      <c r="AJ75" s="30">
        <f t="shared" si="69"/>
        <v>311.29599999999999</v>
      </c>
      <c r="AK75" s="30">
        <f t="shared" si="69"/>
        <v>622.59199999999998</v>
      </c>
      <c r="AL75" s="30">
        <f t="shared" si="69"/>
        <v>1245.184</v>
      </c>
      <c r="AM75" s="30">
        <f t="shared" si="69"/>
        <v>2490.3679999999999</v>
      </c>
      <c r="AN75" s="71">
        <f t="shared" si="69"/>
        <v>4980.7359999999999</v>
      </c>
      <c r="AO75" s="29">
        <f t="shared" si="69"/>
        <v>9961.4719999999998</v>
      </c>
      <c r="AP75" s="30">
        <f t="shared" si="69"/>
        <v>19922.944</v>
      </c>
      <c r="AQ75" s="30">
        <f t="shared" si="69"/>
        <v>20739.335999999999</v>
      </c>
      <c r="AR75" s="45"/>
    </row>
    <row r="76" spans="1:44" x14ac:dyDescent="0.25">
      <c r="A76" s="42" t="s">
        <v>20</v>
      </c>
      <c r="B76" s="6">
        <f>'Population by Age'!E4</f>
        <v>0.1774</v>
      </c>
      <c r="C76" s="10">
        <f t="shared" si="55"/>
        <v>48409976.399999999</v>
      </c>
      <c r="D76" s="23">
        <f>'Infection Rate by Age'!B12</f>
        <v>2.1000000000000001E-2</v>
      </c>
      <c r="E76" s="17"/>
      <c r="F76" s="10"/>
      <c r="G76" s="10"/>
      <c r="H76" s="10"/>
      <c r="I76" s="10"/>
      <c r="J76" s="10"/>
      <c r="K76" s="10"/>
      <c r="L76" s="10"/>
      <c r="M76" s="10"/>
      <c r="N76" s="10"/>
      <c r="O76" s="10"/>
      <c r="P76" s="10"/>
      <c r="Q76" s="10"/>
      <c r="R76" s="10"/>
      <c r="S76" s="20">
        <f t="shared" ref="S76:AQ76" si="70">S$29*$D$76</f>
        <v>0.65625</v>
      </c>
      <c r="T76" s="21">
        <f t="shared" si="70"/>
        <v>1.3125</v>
      </c>
      <c r="U76" s="21">
        <f t="shared" si="70"/>
        <v>2.625</v>
      </c>
      <c r="V76" s="21">
        <f t="shared" si="70"/>
        <v>5.25</v>
      </c>
      <c r="W76" s="21">
        <f t="shared" si="70"/>
        <v>10.5</v>
      </c>
      <c r="X76" s="21">
        <f t="shared" si="70"/>
        <v>21</v>
      </c>
      <c r="Y76" s="21">
        <f t="shared" si="70"/>
        <v>42</v>
      </c>
      <c r="Z76" s="21">
        <f t="shared" si="70"/>
        <v>84</v>
      </c>
      <c r="AA76" s="21">
        <f t="shared" si="70"/>
        <v>168</v>
      </c>
      <c r="AB76" s="21">
        <f t="shared" si="70"/>
        <v>336</v>
      </c>
      <c r="AC76" s="21">
        <f t="shared" si="70"/>
        <v>672</v>
      </c>
      <c r="AD76" s="21">
        <f t="shared" si="70"/>
        <v>1344</v>
      </c>
      <c r="AE76" s="21">
        <f t="shared" si="70"/>
        <v>2688</v>
      </c>
      <c r="AF76" s="21">
        <f t="shared" si="70"/>
        <v>5376</v>
      </c>
      <c r="AG76" s="21">
        <f t="shared" si="70"/>
        <v>10752</v>
      </c>
      <c r="AH76" s="21">
        <f t="shared" si="70"/>
        <v>21504</v>
      </c>
      <c r="AI76" s="21">
        <f t="shared" si="70"/>
        <v>43008</v>
      </c>
      <c r="AJ76" s="21">
        <f t="shared" si="70"/>
        <v>86016</v>
      </c>
      <c r="AK76" s="21">
        <f t="shared" si="70"/>
        <v>172032</v>
      </c>
      <c r="AL76" s="21">
        <f t="shared" si="70"/>
        <v>344064</v>
      </c>
      <c r="AM76" s="21">
        <f t="shared" si="70"/>
        <v>688128</v>
      </c>
      <c r="AN76" s="72">
        <f t="shared" si="70"/>
        <v>1376256</v>
      </c>
      <c r="AO76" s="20">
        <f t="shared" si="70"/>
        <v>2752512</v>
      </c>
      <c r="AP76" s="21">
        <f t="shared" si="70"/>
        <v>5505024</v>
      </c>
      <c r="AQ76" s="21">
        <f t="shared" si="70"/>
        <v>5730606</v>
      </c>
      <c r="AR76" s="45"/>
    </row>
    <row r="77" spans="1:44" x14ac:dyDescent="0.25">
      <c r="A77" s="42"/>
      <c r="B77" s="7"/>
      <c r="C77" s="11"/>
      <c r="D77" s="26"/>
      <c r="E77" s="28">
        <v>0</v>
      </c>
      <c r="F77" s="15"/>
      <c r="G77" s="10"/>
      <c r="H77" s="10"/>
      <c r="I77" s="10"/>
      <c r="J77" s="10"/>
      <c r="K77" s="10"/>
      <c r="L77" s="10"/>
      <c r="M77" s="10"/>
      <c r="N77" s="10"/>
      <c r="O77" s="10"/>
      <c r="P77" s="10"/>
      <c r="Q77" s="10"/>
      <c r="R77" s="10"/>
      <c r="S77" s="31">
        <f t="shared" ref="S77:AQ77" si="71">S$29*$D$76*$E$77</f>
        <v>0</v>
      </c>
      <c r="T77" s="32">
        <f t="shared" si="71"/>
        <v>0</v>
      </c>
      <c r="U77" s="32">
        <f t="shared" si="71"/>
        <v>0</v>
      </c>
      <c r="V77" s="32">
        <f t="shared" si="71"/>
        <v>0</v>
      </c>
      <c r="W77" s="32">
        <f t="shared" si="71"/>
        <v>0</v>
      </c>
      <c r="X77" s="32">
        <f t="shared" si="71"/>
        <v>0</v>
      </c>
      <c r="Y77" s="32">
        <f t="shared" si="71"/>
        <v>0</v>
      </c>
      <c r="Z77" s="32">
        <f t="shared" si="71"/>
        <v>0</v>
      </c>
      <c r="AA77" s="32">
        <f t="shared" si="71"/>
        <v>0</v>
      </c>
      <c r="AB77" s="32">
        <f t="shared" si="71"/>
        <v>0</v>
      </c>
      <c r="AC77" s="32">
        <f t="shared" si="71"/>
        <v>0</v>
      </c>
      <c r="AD77" s="32">
        <f t="shared" si="71"/>
        <v>0</v>
      </c>
      <c r="AE77" s="32">
        <f t="shared" si="71"/>
        <v>0</v>
      </c>
      <c r="AF77" s="32">
        <f t="shared" si="71"/>
        <v>0</v>
      </c>
      <c r="AG77" s="32">
        <f t="shared" si="71"/>
        <v>0</v>
      </c>
      <c r="AH77" s="32">
        <f t="shared" si="71"/>
        <v>0</v>
      </c>
      <c r="AI77" s="32">
        <f t="shared" si="71"/>
        <v>0</v>
      </c>
      <c r="AJ77" s="32">
        <f t="shared" si="71"/>
        <v>0</v>
      </c>
      <c r="AK77" s="32">
        <f t="shared" si="71"/>
        <v>0</v>
      </c>
      <c r="AL77" s="32">
        <f t="shared" si="71"/>
        <v>0</v>
      </c>
      <c r="AM77" s="32">
        <f t="shared" si="71"/>
        <v>0</v>
      </c>
      <c r="AN77" s="73">
        <f t="shared" si="71"/>
        <v>0</v>
      </c>
      <c r="AO77" s="29">
        <f t="shared" si="71"/>
        <v>0</v>
      </c>
      <c r="AP77" s="30">
        <f t="shared" si="71"/>
        <v>0</v>
      </c>
      <c r="AQ77" s="30">
        <f t="shared" si="71"/>
        <v>0</v>
      </c>
      <c r="AR77" s="45"/>
    </row>
    <row r="78" spans="1:44" x14ac:dyDescent="0.25">
      <c r="A78" s="41" t="s">
        <v>38</v>
      </c>
      <c r="B78" s="14"/>
      <c r="C78" s="10"/>
      <c r="D78" s="10"/>
      <c r="E78" s="15"/>
      <c r="F78" s="10"/>
      <c r="G78" s="10"/>
      <c r="H78" s="10"/>
      <c r="I78" s="10"/>
      <c r="J78" s="10"/>
      <c r="K78" s="10"/>
      <c r="L78" s="10"/>
      <c r="M78" s="10"/>
      <c r="N78" s="10"/>
      <c r="O78" s="10"/>
      <c r="P78" s="10"/>
      <c r="Q78" s="10"/>
      <c r="R78" s="10"/>
      <c r="S78" s="18">
        <f t="shared" ref="S78:AI78" si="72">SUM(S60,S62,S64,S66,S68,S70,S72,S74,S76)</f>
        <v>31.25</v>
      </c>
      <c r="T78" s="19">
        <f t="shared" si="72"/>
        <v>62.5</v>
      </c>
      <c r="U78" s="19">
        <f t="shared" si="72"/>
        <v>125</v>
      </c>
      <c r="V78" s="19">
        <f t="shared" si="72"/>
        <v>250</v>
      </c>
      <c r="W78" s="19">
        <f t="shared" si="72"/>
        <v>500</v>
      </c>
      <c r="X78" s="19">
        <f>SUM(X60,X62,X64,X66,X68,X70,X72,X74,X76)</f>
        <v>1000</v>
      </c>
      <c r="Y78" s="19">
        <f t="shared" si="72"/>
        <v>2000</v>
      </c>
      <c r="Z78" s="19">
        <f t="shared" si="72"/>
        <v>4000</v>
      </c>
      <c r="AA78" s="19">
        <f t="shared" si="72"/>
        <v>8000</v>
      </c>
      <c r="AB78" s="19">
        <f t="shared" si="72"/>
        <v>16000</v>
      </c>
      <c r="AC78" s="19">
        <f t="shared" si="72"/>
        <v>32000</v>
      </c>
      <c r="AD78" s="19">
        <f t="shared" si="72"/>
        <v>64000</v>
      </c>
      <c r="AE78" s="19">
        <f t="shared" si="72"/>
        <v>128000</v>
      </c>
      <c r="AF78" s="19">
        <f t="shared" si="72"/>
        <v>256000</v>
      </c>
      <c r="AG78" s="19">
        <f t="shared" si="72"/>
        <v>512000</v>
      </c>
      <c r="AH78" s="19">
        <f t="shared" si="72"/>
        <v>1024000</v>
      </c>
      <c r="AI78" s="19">
        <f t="shared" si="72"/>
        <v>2048000</v>
      </c>
      <c r="AJ78" s="19">
        <f t="shared" ref="AJ78:AL79" si="73">SUM(AJ60,AJ62,AJ64,AJ66,AJ68,AJ70,AJ72,AJ74,AJ76)</f>
        <v>4096000</v>
      </c>
      <c r="AK78" s="19">
        <f t="shared" si="73"/>
        <v>8192000</v>
      </c>
      <c r="AL78" s="19">
        <f t="shared" si="73"/>
        <v>16384000</v>
      </c>
      <c r="AM78" s="19">
        <f t="shared" ref="AM78:AQ78" si="74">SUM(AM60,AM62,AM64,AM66,AM68,AM70,AM72,AM74,AM76)</f>
        <v>32768000</v>
      </c>
      <c r="AN78" s="19">
        <f t="shared" si="74"/>
        <v>65536000</v>
      </c>
      <c r="AO78" s="18">
        <f t="shared" si="74"/>
        <v>131072000</v>
      </c>
      <c r="AP78" s="19">
        <f t="shared" si="74"/>
        <v>262144000</v>
      </c>
      <c r="AQ78" s="19">
        <f t="shared" si="74"/>
        <v>272886000</v>
      </c>
      <c r="AR78" s="45"/>
    </row>
    <row r="79" spans="1:44" x14ac:dyDescent="0.25">
      <c r="A79" s="43" t="s">
        <v>37</v>
      </c>
      <c r="B79" s="44"/>
      <c r="C79" s="11"/>
      <c r="D79" s="11"/>
      <c r="E79" s="38"/>
      <c r="F79" s="11"/>
      <c r="G79" s="11"/>
      <c r="H79" s="11"/>
      <c r="I79" s="11"/>
      <c r="J79" s="11"/>
      <c r="K79" s="11"/>
      <c r="L79" s="11"/>
      <c r="M79" s="11"/>
      <c r="N79" s="11"/>
      <c r="O79" s="11"/>
      <c r="P79" s="11"/>
      <c r="Q79" s="11"/>
      <c r="R79" s="11"/>
      <c r="S79" s="31">
        <f>SUM(S61,S63,S65,S67,S69,S71,S73,S75,S77)</f>
        <v>0.37140624999999999</v>
      </c>
      <c r="T79" s="32">
        <f>SUM(T61,T63,T65,T67,T69,T71,T73,T75,T77)</f>
        <v>0.74281249999999999</v>
      </c>
      <c r="U79" s="32">
        <f t="shared" ref="U79:AI79" si="75">SUM(U61,U63,U65,U67,U69,U71,U73,U75,U77)</f>
        <v>1.485625</v>
      </c>
      <c r="V79" s="32">
        <f t="shared" si="75"/>
        <v>2.9712499999999999</v>
      </c>
      <c r="W79" s="32">
        <f t="shared" si="75"/>
        <v>5.9424999999999999</v>
      </c>
      <c r="X79" s="32">
        <f t="shared" si="75"/>
        <v>11.885</v>
      </c>
      <c r="Y79" s="32">
        <f t="shared" si="75"/>
        <v>23.77</v>
      </c>
      <c r="Z79" s="32">
        <f t="shared" si="75"/>
        <v>47.54</v>
      </c>
      <c r="AA79" s="32">
        <f t="shared" si="75"/>
        <v>95.08</v>
      </c>
      <c r="AB79" s="32">
        <f t="shared" si="75"/>
        <v>190.16</v>
      </c>
      <c r="AC79" s="32">
        <f t="shared" si="75"/>
        <v>380.32</v>
      </c>
      <c r="AD79" s="32">
        <f t="shared" si="75"/>
        <v>760.64</v>
      </c>
      <c r="AE79" s="32">
        <f t="shared" si="75"/>
        <v>1521.28</v>
      </c>
      <c r="AF79" s="32">
        <f t="shared" si="75"/>
        <v>3042.56</v>
      </c>
      <c r="AG79" s="32">
        <f t="shared" si="75"/>
        <v>6085.12</v>
      </c>
      <c r="AH79" s="32">
        <f t="shared" si="75"/>
        <v>12170.24</v>
      </c>
      <c r="AI79" s="32">
        <f t="shared" si="75"/>
        <v>24340.48</v>
      </c>
      <c r="AJ79" s="32">
        <f t="shared" si="73"/>
        <v>48680.959999999999</v>
      </c>
      <c r="AK79" s="32">
        <f t="shared" si="73"/>
        <v>97361.919999999998</v>
      </c>
      <c r="AL79" s="32">
        <f t="shared" si="73"/>
        <v>194723.84</v>
      </c>
      <c r="AM79" s="32">
        <f t="shared" ref="AM79:AQ79" si="76">SUM(AM61,AM63,AM65,AM67,AM69,AM71,AM73,AM75,AM77)</f>
        <v>389447.67999999999</v>
      </c>
      <c r="AN79" s="32">
        <f t="shared" si="76"/>
        <v>778895.35999999999</v>
      </c>
      <c r="AO79" s="31">
        <f t="shared" si="76"/>
        <v>1557790.72</v>
      </c>
      <c r="AP79" s="32">
        <f t="shared" si="76"/>
        <v>3115581.4399999999</v>
      </c>
      <c r="AQ79" s="32">
        <f t="shared" si="76"/>
        <v>3243250.11</v>
      </c>
      <c r="AR79" s="45"/>
    </row>
    <row r="80" spans="1:44" x14ac:dyDescent="0.25">
      <c r="A80" s="42"/>
      <c r="B80" s="14"/>
      <c r="C80" s="10"/>
      <c r="D80" s="10"/>
      <c r="E80" s="15"/>
      <c r="F80" s="10"/>
      <c r="G80" s="10"/>
      <c r="H80" s="10"/>
      <c r="I80" s="10"/>
      <c r="J80" s="10"/>
      <c r="K80" s="10"/>
      <c r="L80" s="10"/>
      <c r="M80" s="10"/>
      <c r="N80" s="10"/>
      <c r="O80" s="10"/>
      <c r="P80" s="10"/>
      <c r="Q80" s="10"/>
      <c r="R80" s="10"/>
      <c r="S80" s="45"/>
      <c r="T80" s="45"/>
      <c r="U80" s="45"/>
      <c r="V80" s="45"/>
      <c r="W80" s="45"/>
      <c r="X80" s="45"/>
      <c r="Y80" s="45"/>
      <c r="Z80" s="45"/>
      <c r="AA80" s="45"/>
      <c r="AB80" s="45"/>
      <c r="AC80" s="45"/>
      <c r="AD80" s="45"/>
      <c r="AE80" s="45"/>
      <c r="AF80" s="45"/>
      <c r="AG80" s="45"/>
      <c r="AH80" s="45"/>
      <c r="AI80" s="45"/>
      <c r="AJ80" s="45"/>
    </row>
    <row r="81" spans="1:44" x14ac:dyDescent="0.25">
      <c r="A81" s="54" t="s">
        <v>48</v>
      </c>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4"/>
      <c r="B82" s="9" t="s">
        <v>5</v>
      </c>
      <c r="C82" s="9" t="s">
        <v>3</v>
      </c>
      <c r="D82" s="9"/>
      <c r="E82" s="59" t="s">
        <v>2</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47"/>
    </row>
    <row r="83" spans="1:44" x14ac:dyDescent="0.25">
      <c r="A83" s="48" t="s">
        <v>1</v>
      </c>
      <c r="B83" s="24">
        <v>0.29199999999999998</v>
      </c>
      <c r="C83" s="10">
        <f>$B$15 * B83</f>
        <v>79682712</v>
      </c>
      <c r="D83" s="16"/>
      <c r="E83" s="16"/>
      <c r="F83" s="16"/>
      <c r="G83" s="16"/>
      <c r="H83" s="16"/>
      <c r="I83" s="16"/>
      <c r="J83" s="16"/>
      <c r="K83" s="16"/>
      <c r="L83" s="16"/>
      <c r="M83" s="16"/>
      <c r="N83" s="16"/>
      <c r="O83" s="16"/>
      <c r="P83" s="16"/>
      <c r="Q83" s="16"/>
      <c r="R83" s="16"/>
      <c r="S83" s="18">
        <f t="shared" ref="S83:AQ83" si="77">S$29*$B$83</f>
        <v>9.125</v>
      </c>
      <c r="T83" s="19">
        <f t="shared" si="77"/>
        <v>18.25</v>
      </c>
      <c r="U83" s="19">
        <f t="shared" si="77"/>
        <v>36.5</v>
      </c>
      <c r="V83" s="19">
        <f t="shared" si="77"/>
        <v>73</v>
      </c>
      <c r="W83" s="19">
        <f t="shared" si="77"/>
        <v>146</v>
      </c>
      <c r="X83" s="19">
        <f t="shared" si="77"/>
        <v>292</v>
      </c>
      <c r="Y83" s="19">
        <f t="shared" si="77"/>
        <v>584</v>
      </c>
      <c r="Z83" s="19">
        <f t="shared" si="77"/>
        <v>1168</v>
      </c>
      <c r="AA83" s="19">
        <f t="shared" si="77"/>
        <v>2336</v>
      </c>
      <c r="AB83" s="19">
        <f t="shared" si="77"/>
        <v>4672</v>
      </c>
      <c r="AC83" s="19">
        <f t="shared" si="77"/>
        <v>9344</v>
      </c>
      <c r="AD83" s="19">
        <f t="shared" si="77"/>
        <v>18688</v>
      </c>
      <c r="AE83" s="19">
        <f t="shared" si="77"/>
        <v>37376</v>
      </c>
      <c r="AF83" s="19">
        <f t="shared" si="77"/>
        <v>74752</v>
      </c>
      <c r="AG83" s="19">
        <f t="shared" si="77"/>
        <v>149504</v>
      </c>
      <c r="AH83" s="19">
        <f t="shared" si="77"/>
        <v>299008</v>
      </c>
      <c r="AI83" s="19">
        <f t="shared" si="77"/>
        <v>598016</v>
      </c>
      <c r="AJ83" s="19">
        <f t="shared" si="77"/>
        <v>1196032</v>
      </c>
      <c r="AK83" s="19">
        <f t="shared" si="77"/>
        <v>2392064</v>
      </c>
      <c r="AL83" s="19">
        <f t="shared" si="77"/>
        <v>4784128</v>
      </c>
      <c r="AM83" s="19">
        <f t="shared" si="77"/>
        <v>9568256</v>
      </c>
      <c r="AN83" s="19">
        <f t="shared" si="77"/>
        <v>19136512</v>
      </c>
      <c r="AO83" s="18">
        <f t="shared" si="77"/>
        <v>38273024</v>
      </c>
      <c r="AP83" s="19">
        <f t="shared" si="77"/>
        <v>76546048</v>
      </c>
      <c r="AQ83" s="19">
        <f t="shared" si="77"/>
        <v>79682712</v>
      </c>
      <c r="AR83" s="45"/>
    </row>
    <row r="84" spans="1:44" x14ac:dyDescent="0.25">
      <c r="A84" s="48"/>
      <c r="B84" s="16"/>
      <c r="C84" s="16"/>
      <c r="D84" s="25"/>
      <c r="E84" s="46">
        <v>0.105</v>
      </c>
      <c r="F84" s="16"/>
      <c r="G84" s="16"/>
      <c r="H84" s="16"/>
      <c r="I84" s="16"/>
      <c r="J84" s="16"/>
      <c r="K84" s="16"/>
      <c r="L84" s="16"/>
      <c r="M84" s="16"/>
      <c r="N84" s="16"/>
      <c r="O84" s="16"/>
      <c r="P84" s="16"/>
      <c r="Q84" s="16"/>
      <c r="R84" s="16"/>
      <c r="S84" s="29">
        <f>S83*$E$84</f>
        <v>0.958125</v>
      </c>
      <c r="T84" s="30">
        <f t="shared" ref="T84:AI84" si="78">T83*$E$84</f>
        <v>1.91625</v>
      </c>
      <c r="U84" s="30">
        <f t="shared" si="78"/>
        <v>3.8325</v>
      </c>
      <c r="V84" s="30">
        <f t="shared" si="78"/>
        <v>7.665</v>
      </c>
      <c r="W84" s="30">
        <f t="shared" si="78"/>
        <v>15.33</v>
      </c>
      <c r="X84" s="30">
        <f t="shared" si="78"/>
        <v>30.66</v>
      </c>
      <c r="Y84" s="30">
        <f t="shared" si="78"/>
        <v>61.32</v>
      </c>
      <c r="Z84" s="30">
        <f t="shared" si="78"/>
        <v>122.64</v>
      </c>
      <c r="AA84" s="30">
        <f t="shared" si="78"/>
        <v>245.28</v>
      </c>
      <c r="AB84" s="30">
        <f t="shared" si="78"/>
        <v>490.56</v>
      </c>
      <c r="AC84" s="30">
        <f t="shared" si="78"/>
        <v>981.12</v>
      </c>
      <c r="AD84" s="30">
        <f t="shared" si="78"/>
        <v>1962.24</v>
      </c>
      <c r="AE84" s="30">
        <f t="shared" si="78"/>
        <v>3924.48</v>
      </c>
      <c r="AF84" s="30">
        <f t="shared" si="78"/>
        <v>7848.96</v>
      </c>
      <c r="AG84" s="30">
        <f t="shared" si="78"/>
        <v>15697.92</v>
      </c>
      <c r="AH84" s="30">
        <f t="shared" si="78"/>
        <v>31395.84</v>
      </c>
      <c r="AI84" s="30">
        <f t="shared" si="78"/>
        <v>62791.68</v>
      </c>
      <c r="AJ84" s="30">
        <f>AJ83*$E$84</f>
        <v>125583.36</v>
      </c>
      <c r="AK84" s="30">
        <f>AK83*$E$84</f>
        <v>251166.72</v>
      </c>
      <c r="AL84" s="30">
        <f>AL83*$E$84</f>
        <v>502333.44</v>
      </c>
      <c r="AM84" s="30">
        <f t="shared" ref="AM84:AQ84" si="79">AM83*$E$84</f>
        <v>1004666.88</v>
      </c>
      <c r="AN84" s="30">
        <f t="shared" si="79"/>
        <v>2009333.76</v>
      </c>
      <c r="AO84" s="29">
        <f t="shared" si="79"/>
        <v>4018667.52</v>
      </c>
      <c r="AP84" s="30">
        <f t="shared" si="79"/>
        <v>8037335.04</v>
      </c>
      <c r="AQ84" s="30">
        <f t="shared" si="79"/>
        <v>8366684.7599999998</v>
      </c>
      <c r="AR84" s="45"/>
    </row>
    <row r="85" spans="1:44" x14ac:dyDescent="0.25">
      <c r="A85" s="48" t="s">
        <v>4</v>
      </c>
      <c r="B85" s="24">
        <v>7.0000000000000007E-2</v>
      </c>
      <c r="C85" s="10">
        <f>$B$15 * B85</f>
        <v>19102020</v>
      </c>
      <c r="D85" s="47"/>
      <c r="E85" s="16"/>
      <c r="F85" s="16"/>
      <c r="G85" s="16"/>
      <c r="H85" s="16"/>
      <c r="I85" s="16"/>
      <c r="J85" s="16"/>
      <c r="K85" s="16"/>
      <c r="L85" s="16"/>
      <c r="M85" s="16"/>
      <c r="N85" s="16"/>
      <c r="O85" s="16"/>
      <c r="P85" s="16"/>
      <c r="Q85" s="16"/>
      <c r="R85" s="16"/>
      <c r="S85" s="20">
        <f t="shared" ref="S85:AQ85" si="80">S$29*$B$85</f>
        <v>2.1875</v>
      </c>
      <c r="T85" s="21">
        <f t="shared" si="80"/>
        <v>4.375</v>
      </c>
      <c r="U85" s="21">
        <f t="shared" si="80"/>
        <v>8.75</v>
      </c>
      <c r="V85" s="21">
        <f t="shared" si="80"/>
        <v>17.5</v>
      </c>
      <c r="W85" s="21">
        <f t="shared" si="80"/>
        <v>35</v>
      </c>
      <c r="X85" s="21">
        <f t="shared" si="80"/>
        <v>70</v>
      </c>
      <c r="Y85" s="21">
        <f t="shared" si="80"/>
        <v>140</v>
      </c>
      <c r="Z85" s="21">
        <f t="shared" si="80"/>
        <v>280</v>
      </c>
      <c r="AA85" s="21">
        <f t="shared" si="80"/>
        <v>560</v>
      </c>
      <c r="AB85" s="21">
        <f t="shared" si="80"/>
        <v>1120</v>
      </c>
      <c r="AC85" s="21">
        <f t="shared" si="80"/>
        <v>2240</v>
      </c>
      <c r="AD85" s="21">
        <f t="shared" si="80"/>
        <v>4480</v>
      </c>
      <c r="AE85" s="21">
        <f t="shared" si="80"/>
        <v>8960</v>
      </c>
      <c r="AF85" s="21">
        <f t="shared" si="80"/>
        <v>17920</v>
      </c>
      <c r="AG85" s="21">
        <f t="shared" si="80"/>
        <v>35840</v>
      </c>
      <c r="AH85" s="21">
        <f t="shared" si="80"/>
        <v>71680</v>
      </c>
      <c r="AI85" s="21">
        <f t="shared" si="80"/>
        <v>143360</v>
      </c>
      <c r="AJ85" s="21">
        <f t="shared" si="80"/>
        <v>286720</v>
      </c>
      <c r="AK85" s="21">
        <f t="shared" si="80"/>
        <v>573440</v>
      </c>
      <c r="AL85" s="21">
        <f t="shared" si="80"/>
        <v>1146880</v>
      </c>
      <c r="AM85" s="21">
        <f t="shared" si="80"/>
        <v>2293760</v>
      </c>
      <c r="AN85" s="21">
        <f t="shared" si="80"/>
        <v>4587520</v>
      </c>
      <c r="AO85" s="20">
        <f t="shared" si="80"/>
        <v>9175040</v>
      </c>
      <c r="AP85" s="21">
        <f t="shared" si="80"/>
        <v>18350080</v>
      </c>
      <c r="AQ85" s="21">
        <f t="shared" si="80"/>
        <v>19102020</v>
      </c>
      <c r="AR85" s="45"/>
    </row>
    <row r="86" spans="1:44" x14ac:dyDescent="0.25">
      <c r="A86" s="48"/>
      <c r="B86" s="16"/>
      <c r="C86" s="16"/>
      <c r="D86" s="25"/>
      <c r="E86" s="46">
        <v>7.2999999999999995E-2</v>
      </c>
      <c r="F86" s="16"/>
      <c r="G86" s="16"/>
      <c r="H86" s="16"/>
      <c r="I86" s="16"/>
      <c r="J86" s="16"/>
      <c r="K86" s="16"/>
      <c r="L86" s="16"/>
      <c r="M86" s="16"/>
      <c r="N86" s="16"/>
      <c r="O86" s="16"/>
      <c r="P86" s="16"/>
      <c r="Q86" s="16"/>
      <c r="R86" s="16"/>
      <c r="S86" s="29">
        <f t="shared" ref="S86:AI86" si="81">S85*$E$86</f>
        <v>0.15968749999999998</v>
      </c>
      <c r="T86" s="30">
        <f t="shared" si="81"/>
        <v>0.31937499999999996</v>
      </c>
      <c r="U86" s="30">
        <f t="shared" si="81"/>
        <v>0.63874999999999993</v>
      </c>
      <c r="V86" s="30">
        <f t="shared" si="81"/>
        <v>1.2774999999999999</v>
      </c>
      <c r="W86" s="30">
        <f t="shared" si="81"/>
        <v>2.5549999999999997</v>
      </c>
      <c r="X86" s="30">
        <f t="shared" si="81"/>
        <v>5.1099999999999994</v>
      </c>
      <c r="Y86" s="30">
        <f t="shared" si="81"/>
        <v>10.219999999999999</v>
      </c>
      <c r="Z86" s="30">
        <f t="shared" si="81"/>
        <v>20.439999999999998</v>
      </c>
      <c r="AA86" s="30">
        <f t="shared" si="81"/>
        <v>40.879999999999995</v>
      </c>
      <c r="AB86" s="30">
        <f t="shared" si="81"/>
        <v>81.759999999999991</v>
      </c>
      <c r="AC86" s="30">
        <f t="shared" si="81"/>
        <v>163.51999999999998</v>
      </c>
      <c r="AD86" s="30">
        <f t="shared" si="81"/>
        <v>327.03999999999996</v>
      </c>
      <c r="AE86" s="30">
        <f t="shared" si="81"/>
        <v>654.07999999999993</v>
      </c>
      <c r="AF86" s="30">
        <f t="shared" si="81"/>
        <v>1308.1599999999999</v>
      </c>
      <c r="AG86" s="30">
        <f t="shared" si="81"/>
        <v>2616.3199999999997</v>
      </c>
      <c r="AH86" s="30">
        <f t="shared" si="81"/>
        <v>5232.6399999999994</v>
      </c>
      <c r="AI86" s="30">
        <f t="shared" si="81"/>
        <v>10465.279999999999</v>
      </c>
      <c r="AJ86" s="30">
        <f>AJ85*$E$86</f>
        <v>20930.559999999998</v>
      </c>
      <c r="AK86" s="30">
        <f>AK85*$E$86</f>
        <v>41861.119999999995</v>
      </c>
      <c r="AL86" s="30">
        <f>AL85*$E$86</f>
        <v>83722.239999999991</v>
      </c>
      <c r="AM86" s="30">
        <f t="shared" ref="AM86:AQ86" si="82">AM85*$E$86</f>
        <v>167444.47999999998</v>
      </c>
      <c r="AN86" s="30">
        <f t="shared" si="82"/>
        <v>334888.95999999996</v>
      </c>
      <c r="AO86" s="29">
        <f t="shared" si="82"/>
        <v>669777.91999999993</v>
      </c>
      <c r="AP86" s="30">
        <f t="shared" si="82"/>
        <v>1339555.8399999999</v>
      </c>
      <c r="AQ86" s="30">
        <f t="shared" si="82"/>
        <v>1394447.46</v>
      </c>
      <c r="AR86" s="45"/>
    </row>
    <row r="87" spans="1:44" x14ac:dyDescent="0.25">
      <c r="A87" s="48" t="s">
        <v>6</v>
      </c>
      <c r="B87" s="24">
        <v>0.2</v>
      </c>
      <c r="C87" s="10">
        <f>$B$15 * B87</f>
        <v>54577200</v>
      </c>
      <c r="D87" s="47"/>
      <c r="E87" s="16"/>
      <c r="F87" s="16"/>
      <c r="G87" s="16"/>
      <c r="H87" s="16"/>
      <c r="I87" s="16"/>
      <c r="J87" s="16"/>
      <c r="K87" s="16"/>
      <c r="L87" s="16"/>
      <c r="M87" s="16"/>
      <c r="N87" s="16"/>
      <c r="O87" s="16"/>
      <c r="P87" s="16"/>
      <c r="Q87" s="16"/>
      <c r="R87" s="16"/>
      <c r="S87" s="20">
        <f t="shared" ref="S87:AQ87" si="83">S$29*$B$87</f>
        <v>6.25</v>
      </c>
      <c r="T87" s="21">
        <f t="shared" si="83"/>
        <v>12.5</v>
      </c>
      <c r="U87" s="21">
        <f t="shared" si="83"/>
        <v>25</v>
      </c>
      <c r="V87" s="21">
        <f t="shared" si="83"/>
        <v>50</v>
      </c>
      <c r="W87" s="21">
        <f t="shared" si="83"/>
        <v>100</v>
      </c>
      <c r="X87" s="21">
        <f t="shared" si="83"/>
        <v>200</v>
      </c>
      <c r="Y87" s="21">
        <f t="shared" si="83"/>
        <v>400</v>
      </c>
      <c r="Z87" s="21">
        <f t="shared" si="83"/>
        <v>800</v>
      </c>
      <c r="AA87" s="21">
        <f t="shared" si="83"/>
        <v>1600</v>
      </c>
      <c r="AB87" s="21">
        <f t="shared" si="83"/>
        <v>3200</v>
      </c>
      <c r="AC87" s="21">
        <f t="shared" si="83"/>
        <v>6400</v>
      </c>
      <c r="AD87" s="21">
        <f t="shared" si="83"/>
        <v>12800</v>
      </c>
      <c r="AE87" s="21">
        <f t="shared" si="83"/>
        <v>25600</v>
      </c>
      <c r="AF87" s="21">
        <f t="shared" si="83"/>
        <v>51200</v>
      </c>
      <c r="AG87" s="21">
        <f t="shared" si="83"/>
        <v>102400</v>
      </c>
      <c r="AH87" s="21">
        <f t="shared" si="83"/>
        <v>204800</v>
      </c>
      <c r="AI87" s="21">
        <f t="shared" si="83"/>
        <v>409600</v>
      </c>
      <c r="AJ87" s="21">
        <f t="shared" si="83"/>
        <v>819200</v>
      </c>
      <c r="AK87" s="21">
        <f t="shared" si="83"/>
        <v>1638400</v>
      </c>
      <c r="AL87" s="21">
        <f t="shared" si="83"/>
        <v>3276800</v>
      </c>
      <c r="AM87" s="21">
        <f t="shared" si="83"/>
        <v>6553600</v>
      </c>
      <c r="AN87" s="21">
        <f t="shared" si="83"/>
        <v>13107200</v>
      </c>
      <c r="AO87" s="20">
        <f t="shared" si="83"/>
        <v>26214400</v>
      </c>
      <c r="AP87" s="21">
        <f t="shared" si="83"/>
        <v>52428800</v>
      </c>
      <c r="AQ87" s="21">
        <f t="shared" si="83"/>
        <v>54577200</v>
      </c>
      <c r="AR87" s="45"/>
    </row>
    <row r="88" spans="1:44" x14ac:dyDescent="0.25">
      <c r="A88" s="48"/>
      <c r="B88" s="16"/>
      <c r="C88" s="16"/>
      <c r="D88" s="25"/>
      <c r="E88" s="46">
        <v>6.3E-2</v>
      </c>
      <c r="F88" s="16"/>
      <c r="G88" s="16"/>
      <c r="H88" s="16"/>
      <c r="I88" s="16"/>
      <c r="J88" s="16"/>
      <c r="K88" s="16"/>
      <c r="L88" s="16"/>
      <c r="M88" s="16"/>
      <c r="N88" s="16"/>
      <c r="O88" s="16"/>
      <c r="P88" s="16"/>
      <c r="Q88" s="16"/>
      <c r="R88" s="16"/>
      <c r="S88" s="29">
        <f t="shared" ref="S88:AI88" si="84">S87*$E$88</f>
        <v>0.39374999999999999</v>
      </c>
      <c r="T88" s="30">
        <f t="shared" si="84"/>
        <v>0.78749999999999998</v>
      </c>
      <c r="U88" s="30">
        <f t="shared" si="84"/>
        <v>1.575</v>
      </c>
      <c r="V88" s="30">
        <f t="shared" si="84"/>
        <v>3.15</v>
      </c>
      <c r="W88" s="30">
        <f t="shared" si="84"/>
        <v>6.3</v>
      </c>
      <c r="X88" s="30">
        <f t="shared" si="84"/>
        <v>12.6</v>
      </c>
      <c r="Y88" s="30">
        <f t="shared" si="84"/>
        <v>25.2</v>
      </c>
      <c r="Z88" s="30">
        <f t="shared" si="84"/>
        <v>50.4</v>
      </c>
      <c r="AA88" s="30">
        <f t="shared" si="84"/>
        <v>100.8</v>
      </c>
      <c r="AB88" s="30">
        <f t="shared" si="84"/>
        <v>201.6</v>
      </c>
      <c r="AC88" s="30">
        <f t="shared" si="84"/>
        <v>403.2</v>
      </c>
      <c r="AD88" s="30">
        <f t="shared" si="84"/>
        <v>806.4</v>
      </c>
      <c r="AE88" s="30">
        <f t="shared" si="84"/>
        <v>1612.8</v>
      </c>
      <c r="AF88" s="30">
        <f t="shared" si="84"/>
        <v>3225.6</v>
      </c>
      <c r="AG88" s="30">
        <f t="shared" si="84"/>
        <v>6451.2</v>
      </c>
      <c r="AH88" s="30">
        <f t="shared" si="84"/>
        <v>12902.4</v>
      </c>
      <c r="AI88" s="30">
        <f t="shared" si="84"/>
        <v>25804.799999999999</v>
      </c>
      <c r="AJ88" s="30">
        <f>AJ87*$E$88</f>
        <v>51609.599999999999</v>
      </c>
      <c r="AK88" s="30">
        <f>AK87*$E$88</f>
        <v>103219.2</v>
      </c>
      <c r="AL88" s="30">
        <f>AL87*$E$88</f>
        <v>206438.39999999999</v>
      </c>
      <c r="AM88" s="30">
        <f t="shared" ref="AM88:AQ88" si="85">AM87*$E$88</f>
        <v>412876.79999999999</v>
      </c>
      <c r="AN88" s="30">
        <f t="shared" si="85"/>
        <v>825753.59999999998</v>
      </c>
      <c r="AO88" s="29">
        <f>AO87*$E$88</f>
        <v>1651507.2</v>
      </c>
      <c r="AP88" s="30">
        <f t="shared" si="85"/>
        <v>3303014.3999999999</v>
      </c>
      <c r="AQ88" s="30">
        <f t="shared" si="85"/>
        <v>3438363.6</v>
      </c>
      <c r="AR88" s="45"/>
    </row>
    <row r="89" spans="1:44" x14ac:dyDescent="0.25">
      <c r="A89" s="48" t="s">
        <v>7</v>
      </c>
      <c r="B89" s="24">
        <v>0.33400000000000002</v>
      </c>
      <c r="C89" s="10">
        <f>$B$15 * B89</f>
        <v>91143924</v>
      </c>
      <c r="D89" s="47"/>
      <c r="E89" s="16"/>
      <c r="F89" s="16"/>
      <c r="G89" s="16"/>
      <c r="H89" s="16"/>
      <c r="I89" s="16"/>
      <c r="J89" s="16"/>
      <c r="K89" s="16"/>
      <c r="L89" s="16"/>
      <c r="M89" s="16"/>
      <c r="N89" s="16"/>
      <c r="O89" s="16"/>
      <c r="P89" s="16"/>
      <c r="Q89" s="16"/>
      <c r="R89" s="16"/>
      <c r="S89" s="20">
        <f t="shared" ref="S89:AQ89" si="86">S$29*$B$89</f>
        <v>10.4375</v>
      </c>
      <c r="T89" s="21">
        <f t="shared" si="86"/>
        <v>20.875</v>
      </c>
      <c r="U89" s="21">
        <f t="shared" si="86"/>
        <v>41.75</v>
      </c>
      <c r="V89" s="21">
        <f t="shared" si="86"/>
        <v>83.5</v>
      </c>
      <c r="W89" s="21">
        <f t="shared" si="86"/>
        <v>167</v>
      </c>
      <c r="X89" s="21">
        <f t="shared" si="86"/>
        <v>334</v>
      </c>
      <c r="Y89" s="21">
        <f t="shared" si="86"/>
        <v>668</v>
      </c>
      <c r="Z89" s="21">
        <f t="shared" si="86"/>
        <v>1336</v>
      </c>
      <c r="AA89" s="21">
        <f t="shared" si="86"/>
        <v>2672</v>
      </c>
      <c r="AB89" s="21">
        <f t="shared" si="86"/>
        <v>5344</v>
      </c>
      <c r="AC89" s="21">
        <f t="shared" si="86"/>
        <v>10688</v>
      </c>
      <c r="AD89" s="21">
        <f t="shared" si="86"/>
        <v>21376</v>
      </c>
      <c r="AE89" s="21">
        <f t="shared" si="86"/>
        <v>42752</v>
      </c>
      <c r="AF89" s="21">
        <f t="shared" si="86"/>
        <v>85504</v>
      </c>
      <c r="AG89" s="21">
        <f t="shared" si="86"/>
        <v>171008</v>
      </c>
      <c r="AH89" s="21">
        <f t="shared" si="86"/>
        <v>342016</v>
      </c>
      <c r="AI89" s="21">
        <f t="shared" si="86"/>
        <v>684032</v>
      </c>
      <c r="AJ89" s="21">
        <f t="shared" si="86"/>
        <v>1368064</v>
      </c>
      <c r="AK89" s="21">
        <f t="shared" si="86"/>
        <v>2736128</v>
      </c>
      <c r="AL89" s="21">
        <f t="shared" si="86"/>
        <v>5472256</v>
      </c>
      <c r="AM89" s="21">
        <f t="shared" si="86"/>
        <v>10944512</v>
      </c>
      <c r="AN89" s="21">
        <f t="shared" si="86"/>
        <v>21889024</v>
      </c>
      <c r="AO89" s="20">
        <f t="shared" si="86"/>
        <v>43778048</v>
      </c>
      <c r="AP89" s="21">
        <f t="shared" si="86"/>
        <v>87556096</v>
      </c>
      <c r="AQ89" s="21">
        <f t="shared" si="86"/>
        <v>91143924</v>
      </c>
      <c r="AR89" s="45"/>
    </row>
    <row r="90" spans="1:44" x14ac:dyDescent="0.25">
      <c r="A90" s="48"/>
      <c r="B90" s="16"/>
      <c r="C90" s="16"/>
      <c r="D90" s="25"/>
      <c r="E90" s="46">
        <v>0.06</v>
      </c>
      <c r="F90" s="16"/>
      <c r="G90" s="16"/>
      <c r="H90" s="16"/>
      <c r="I90" s="16"/>
      <c r="J90" s="16"/>
      <c r="K90" s="16"/>
      <c r="L90" s="16"/>
      <c r="M90" s="16"/>
      <c r="N90" s="16"/>
      <c r="O90" s="16"/>
      <c r="P90" s="16"/>
      <c r="Q90" s="16"/>
      <c r="R90" s="16"/>
      <c r="S90" s="29">
        <f t="shared" ref="S90:AI90" si="87">S89*$E$90</f>
        <v>0.62624999999999997</v>
      </c>
      <c r="T90" s="30">
        <f t="shared" si="87"/>
        <v>1.2524999999999999</v>
      </c>
      <c r="U90" s="30">
        <f t="shared" si="87"/>
        <v>2.5049999999999999</v>
      </c>
      <c r="V90" s="30">
        <f t="shared" si="87"/>
        <v>5.01</v>
      </c>
      <c r="W90" s="30">
        <f t="shared" si="87"/>
        <v>10.02</v>
      </c>
      <c r="X90" s="30">
        <f t="shared" si="87"/>
        <v>20.04</v>
      </c>
      <c r="Y90" s="30">
        <f t="shared" si="87"/>
        <v>40.08</v>
      </c>
      <c r="Z90" s="30">
        <f t="shared" si="87"/>
        <v>80.16</v>
      </c>
      <c r="AA90" s="30">
        <f t="shared" si="87"/>
        <v>160.32</v>
      </c>
      <c r="AB90" s="30">
        <f t="shared" si="87"/>
        <v>320.64</v>
      </c>
      <c r="AC90" s="30">
        <f t="shared" si="87"/>
        <v>641.28</v>
      </c>
      <c r="AD90" s="30">
        <f t="shared" si="87"/>
        <v>1282.56</v>
      </c>
      <c r="AE90" s="30">
        <f t="shared" si="87"/>
        <v>2565.12</v>
      </c>
      <c r="AF90" s="30">
        <f t="shared" si="87"/>
        <v>5130.24</v>
      </c>
      <c r="AG90" s="30">
        <f t="shared" si="87"/>
        <v>10260.48</v>
      </c>
      <c r="AH90" s="30">
        <f t="shared" si="87"/>
        <v>20520.96</v>
      </c>
      <c r="AI90" s="30">
        <f t="shared" si="87"/>
        <v>41041.919999999998</v>
      </c>
      <c r="AJ90" s="30">
        <f>AJ89*$E$90</f>
        <v>82083.839999999997</v>
      </c>
      <c r="AK90" s="30">
        <f>AK89*$E$90</f>
        <v>164167.67999999999</v>
      </c>
      <c r="AL90" s="30">
        <f>AL89*$E$90</f>
        <v>328335.35999999999</v>
      </c>
      <c r="AM90" s="30">
        <f t="shared" ref="AM90:AQ90" si="88">AM89*$E$90</f>
        <v>656670.71999999997</v>
      </c>
      <c r="AN90" s="30">
        <f t="shared" si="88"/>
        <v>1313341.4399999999</v>
      </c>
      <c r="AO90" s="29">
        <f t="shared" si="88"/>
        <v>2626682.8799999999</v>
      </c>
      <c r="AP90" s="30">
        <f t="shared" si="88"/>
        <v>5253365.7599999998</v>
      </c>
      <c r="AQ90" s="30">
        <f t="shared" si="88"/>
        <v>5468635.4399999995</v>
      </c>
      <c r="AR90" s="45"/>
    </row>
    <row r="91" spans="1:44" x14ac:dyDescent="0.25">
      <c r="A91" s="48" t="s">
        <v>8</v>
      </c>
      <c r="B91" s="256">
        <v>4.2999999999999999E-4</v>
      </c>
      <c r="C91" s="10">
        <f>$B$15 * B91</f>
        <v>117340.98</v>
      </c>
      <c r="D91" s="47"/>
      <c r="E91" s="16"/>
      <c r="F91" s="16"/>
      <c r="G91" s="16"/>
      <c r="H91" s="16"/>
      <c r="I91" s="16"/>
      <c r="J91" s="16"/>
      <c r="K91" s="16"/>
      <c r="L91" s="16"/>
      <c r="M91" s="16"/>
      <c r="N91" s="16"/>
      <c r="O91" s="16"/>
      <c r="P91" s="16"/>
      <c r="Q91" s="16"/>
      <c r="R91" s="16"/>
      <c r="S91" s="20">
        <f t="shared" ref="S91:AQ91" si="89">S$29*$B$91</f>
        <v>1.34375E-2</v>
      </c>
      <c r="T91" s="21">
        <f t="shared" si="89"/>
        <v>2.6875E-2</v>
      </c>
      <c r="U91" s="21">
        <f t="shared" si="89"/>
        <v>5.3749999999999999E-2</v>
      </c>
      <c r="V91" s="21">
        <f t="shared" si="89"/>
        <v>0.1075</v>
      </c>
      <c r="W91" s="21">
        <f t="shared" si="89"/>
        <v>0.215</v>
      </c>
      <c r="X91" s="21">
        <f t="shared" si="89"/>
        <v>0.43</v>
      </c>
      <c r="Y91" s="21">
        <f t="shared" si="89"/>
        <v>0.86</v>
      </c>
      <c r="Z91" s="21">
        <f t="shared" si="89"/>
        <v>1.72</v>
      </c>
      <c r="AA91" s="21">
        <f t="shared" si="89"/>
        <v>3.44</v>
      </c>
      <c r="AB91" s="21">
        <f t="shared" si="89"/>
        <v>6.88</v>
      </c>
      <c r="AC91" s="21">
        <f t="shared" si="89"/>
        <v>13.76</v>
      </c>
      <c r="AD91" s="21">
        <f t="shared" si="89"/>
        <v>27.52</v>
      </c>
      <c r="AE91" s="21">
        <f t="shared" si="89"/>
        <v>55.04</v>
      </c>
      <c r="AF91" s="21">
        <f t="shared" si="89"/>
        <v>110.08</v>
      </c>
      <c r="AG91" s="21">
        <f t="shared" si="89"/>
        <v>220.16</v>
      </c>
      <c r="AH91" s="21">
        <f t="shared" si="89"/>
        <v>440.32</v>
      </c>
      <c r="AI91" s="21">
        <f t="shared" si="89"/>
        <v>880.64</v>
      </c>
      <c r="AJ91" s="21">
        <f t="shared" si="89"/>
        <v>1761.28</v>
      </c>
      <c r="AK91" s="21">
        <f t="shared" si="89"/>
        <v>3522.56</v>
      </c>
      <c r="AL91" s="21">
        <f t="shared" si="89"/>
        <v>7045.12</v>
      </c>
      <c r="AM91" s="21">
        <f t="shared" si="89"/>
        <v>14090.24</v>
      </c>
      <c r="AN91" s="21">
        <f t="shared" si="89"/>
        <v>28180.48</v>
      </c>
      <c r="AO91" s="20">
        <f t="shared" si="89"/>
        <v>56360.959999999999</v>
      </c>
      <c r="AP91" s="21">
        <f t="shared" si="89"/>
        <v>112721.92</v>
      </c>
      <c r="AQ91" s="21">
        <f t="shared" si="89"/>
        <v>117340.98</v>
      </c>
      <c r="AR91" s="45"/>
    </row>
    <row r="92" spans="1:44" x14ac:dyDescent="0.25">
      <c r="A92" s="48"/>
      <c r="B92" s="16"/>
      <c r="C92" s="16"/>
      <c r="D92" s="25"/>
      <c r="E92" s="46">
        <v>5.6000000000000001E-2</v>
      </c>
      <c r="F92" s="16"/>
      <c r="G92" s="16"/>
      <c r="H92" s="16"/>
      <c r="I92" s="16"/>
      <c r="J92" s="16"/>
      <c r="K92" s="16"/>
      <c r="L92" s="16"/>
      <c r="M92" s="16"/>
      <c r="N92" s="16"/>
      <c r="O92" s="16"/>
      <c r="P92" s="16"/>
      <c r="Q92" s="16"/>
      <c r="R92" s="16"/>
      <c r="S92" s="29">
        <f t="shared" ref="S92:AI92" si="90">S91*$E$92</f>
        <v>7.5250000000000002E-4</v>
      </c>
      <c r="T92" s="30">
        <f t="shared" si="90"/>
        <v>1.505E-3</v>
      </c>
      <c r="U92" s="30">
        <f t="shared" si="90"/>
        <v>3.0100000000000001E-3</v>
      </c>
      <c r="V92" s="30">
        <f t="shared" si="90"/>
        <v>6.0200000000000002E-3</v>
      </c>
      <c r="W92" s="30">
        <f t="shared" si="90"/>
        <v>1.204E-2</v>
      </c>
      <c r="X92" s="30">
        <f t="shared" si="90"/>
        <v>2.4080000000000001E-2</v>
      </c>
      <c r="Y92" s="30">
        <f t="shared" si="90"/>
        <v>4.8160000000000001E-2</v>
      </c>
      <c r="Z92" s="30">
        <f t="shared" si="90"/>
        <v>9.6320000000000003E-2</v>
      </c>
      <c r="AA92" s="30">
        <f t="shared" si="90"/>
        <v>0.19264000000000001</v>
      </c>
      <c r="AB92" s="30">
        <f t="shared" si="90"/>
        <v>0.38528000000000001</v>
      </c>
      <c r="AC92" s="30">
        <f t="shared" si="90"/>
        <v>0.77056000000000002</v>
      </c>
      <c r="AD92" s="30">
        <f t="shared" si="90"/>
        <v>1.54112</v>
      </c>
      <c r="AE92" s="30">
        <f t="shared" si="90"/>
        <v>3.0822400000000001</v>
      </c>
      <c r="AF92" s="30">
        <f t="shared" si="90"/>
        <v>6.1644800000000002</v>
      </c>
      <c r="AG92" s="30">
        <f t="shared" si="90"/>
        <v>12.32896</v>
      </c>
      <c r="AH92" s="30">
        <f t="shared" si="90"/>
        <v>24.657920000000001</v>
      </c>
      <c r="AI92" s="30">
        <f t="shared" si="90"/>
        <v>49.315840000000001</v>
      </c>
      <c r="AJ92" s="30">
        <f>AJ91*$E$92</f>
        <v>98.631680000000003</v>
      </c>
      <c r="AK92" s="30">
        <f>AK91*$E$92</f>
        <v>197.26336000000001</v>
      </c>
      <c r="AL92" s="30">
        <f>AL91*$E$92</f>
        <v>394.52672000000001</v>
      </c>
      <c r="AM92" s="30">
        <f t="shared" ref="AM92:AQ92" si="91">AM91*$E$92</f>
        <v>789.05344000000002</v>
      </c>
      <c r="AN92" s="30">
        <f t="shared" si="91"/>
        <v>1578.10688</v>
      </c>
      <c r="AO92" s="29">
        <f t="shared" si="91"/>
        <v>3156.2137600000001</v>
      </c>
      <c r="AP92" s="30">
        <f t="shared" si="91"/>
        <v>6312.4275200000002</v>
      </c>
      <c r="AQ92" s="30">
        <f t="shared" si="91"/>
        <v>6571.0948799999996</v>
      </c>
      <c r="AR92" s="45"/>
    </row>
    <row r="93" spans="1:44" x14ac:dyDescent="0.25">
      <c r="A93" s="48" t="s">
        <v>9</v>
      </c>
      <c r="B93" s="24">
        <v>0.34799999999999998</v>
      </c>
      <c r="C93" s="10">
        <f>$B$15 * B93</f>
        <v>94964328</v>
      </c>
      <c r="D93" s="47"/>
      <c r="E93" s="16"/>
      <c r="F93" s="16"/>
      <c r="G93" s="16"/>
      <c r="H93" s="16"/>
      <c r="I93" s="16"/>
      <c r="J93" s="16"/>
      <c r="K93" s="16"/>
      <c r="L93" s="16"/>
      <c r="M93" s="16"/>
      <c r="N93" s="16"/>
      <c r="O93" s="16"/>
      <c r="P93" s="16"/>
      <c r="Q93" s="16"/>
      <c r="R93" s="16"/>
      <c r="S93" s="20">
        <f t="shared" ref="S93:AQ93" si="92">S$29*$B$93</f>
        <v>10.875</v>
      </c>
      <c r="T93" s="21">
        <f t="shared" si="92"/>
        <v>21.75</v>
      </c>
      <c r="U93" s="21">
        <f t="shared" si="92"/>
        <v>43.5</v>
      </c>
      <c r="V93" s="21">
        <f t="shared" si="92"/>
        <v>87</v>
      </c>
      <c r="W93" s="21">
        <f t="shared" si="92"/>
        <v>174</v>
      </c>
      <c r="X93" s="21">
        <f t="shared" si="92"/>
        <v>348</v>
      </c>
      <c r="Y93" s="21">
        <f t="shared" si="92"/>
        <v>696</v>
      </c>
      <c r="Z93" s="21">
        <f t="shared" si="92"/>
        <v>1392</v>
      </c>
      <c r="AA93" s="21">
        <f t="shared" si="92"/>
        <v>2784</v>
      </c>
      <c r="AB93" s="21">
        <f t="shared" si="92"/>
        <v>5568</v>
      </c>
      <c r="AC93" s="21">
        <f t="shared" si="92"/>
        <v>11136</v>
      </c>
      <c r="AD93" s="21">
        <f t="shared" si="92"/>
        <v>22272</v>
      </c>
      <c r="AE93" s="21">
        <f t="shared" si="92"/>
        <v>44544</v>
      </c>
      <c r="AF93" s="21">
        <f t="shared" si="92"/>
        <v>89088</v>
      </c>
      <c r="AG93" s="21">
        <f t="shared" si="92"/>
        <v>178176</v>
      </c>
      <c r="AH93" s="21">
        <f t="shared" si="92"/>
        <v>356352</v>
      </c>
      <c r="AI93" s="21">
        <f t="shared" si="92"/>
        <v>712704</v>
      </c>
      <c r="AJ93" s="21">
        <f t="shared" si="92"/>
        <v>1425408</v>
      </c>
      <c r="AK93" s="21">
        <f t="shared" si="92"/>
        <v>2850816</v>
      </c>
      <c r="AL93" s="21">
        <f t="shared" si="92"/>
        <v>5701632</v>
      </c>
      <c r="AM93" s="21">
        <f t="shared" si="92"/>
        <v>11403264</v>
      </c>
      <c r="AN93" s="21">
        <f t="shared" si="92"/>
        <v>22806528</v>
      </c>
      <c r="AO93" s="20">
        <f t="shared" si="92"/>
        <v>45613056</v>
      </c>
      <c r="AP93" s="21">
        <f t="shared" si="92"/>
        <v>91226112</v>
      </c>
      <c r="AQ93" s="21">
        <f t="shared" si="92"/>
        <v>94964328</v>
      </c>
      <c r="AR93" s="45"/>
    </row>
    <row r="94" spans="1:44" x14ac:dyDescent="0.25">
      <c r="A94" s="37"/>
      <c r="B94" s="39"/>
      <c r="C94" s="39"/>
      <c r="D94" s="55"/>
      <c r="E94" s="56" t="s">
        <v>10</v>
      </c>
      <c r="F94" s="39"/>
      <c r="G94" s="39"/>
      <c r="H94" s="39"/>
      <c r="I94" s="39"/>
      <c r="J94" s="39"/>
      <c r="K94" s="39"/>
      <c r="L94" s="39"/>
      <c r="M94" s="39"/>
      <c r="N94" s="39"/>
      <c r="O94" s="39"/>
      <c r="P94" s="39"/>
      <c r="Q94" s="39"/>
      <c r="R94" s="39"/>
      <c r="S94" s="29" t="s">
        <v>10</v>
      </c>
      <c r="T94" s="30" t="s">
        <v>10</v>
      </c>
      <c r="U94" s="30" t="s">
        <v>10</v>
      </c>
      <c r="V94" s="30" t="s">
        <v>10</v>
      </c>
      <c r="W94" s="30" t="s">
        <v>10</v>
      </c>
      <c r="X94" s="30" t="s">
        <v>10</v>
      </c>
      <c r="Y94" s="30" t="s">
        <v>10</v>
      </c>
      <c r="Z94" s="30" t="s">
        <v>10</v>
      </c>
      <c r="AA94" s="30" t="s">
        <v>10</v>
      </c>
      <c r="AB94" s="30" t="s">
        <v>10</v>
      </c>
      <c r="AC94" s="30" t="s">
        <v>10</v>
      </c>
      <c r="AD94" s="30" t="s">
        <v>10</v>
      </c>
      <c r="AE94" s="30" t="s">
        <v>10</v>
      </c>
      <c r="AF94" s="30" t="s">
        <v>10</v>
      </c>
      <c r="AG94" s="30" t="s">
        <v>10</v>
      </c>
      <c r="AH94" s="30" t="s">
        <v>10</v>
      </c>
      <c r="AI94" s="30" t="s">
        <v>10</v>
      </c>
      <c r="AJ94" s="30" t="s">
        <v>10</v>
      </c>
      <c r="AK94" s="30" t="s">
        <v>10</v>
      </c>
      <c r="AL94" s="30" t="s">
        <v>10</v>
      </c>
      <c r="AM94" s="30" t="s">
        <v>10</v>
      </c>
      <c r="AN94" s="30" t="s">
        <v>10</v>
      </c>
      <c r="AO94" s="29" t="s">
        <v>10</v>
      </c>
      <c r="AP94" s="30" t="s">
        <v>10</v>
      </c>
      <c r="AQ94" s="30" t="s">
        <v>10</v>
      </c>
      <c r="AR94" s="45"/>
    </row>
    <row r="95" spans="1:44" x14ac:dyDescent="0.25">
      <c r="A95" s="41" t="s">
        <v>194</v>
      </c>
      <c r="B95" s="16"/>
      <c r="C95" s="16"/>
      <c r="D95" s="47"/>
      <c r="E95" s="16"/>
      <c r="F95" s="16"/>
      <c r="G95" s="16"/>
      <c r="H95" s="16"/>
      <c r="I95" s="16"/>
      <c r="J95" s="16"/>
      <c r="K95" s="16"/>
      <c r="L95" s="16"/>
      <c r="M95" s="16"/>
      <c r="N95" s="16"/>
      <c r="O95" s="16"/>
      <c r="P95" s="16"/>
      <c r="Q95" s="16"/>
      <c r="R95" s="16"/>
      <c r="S95" s="18">
        <f>SUM(S83,S85,S87,S89,S91,S93)</f>
        <v>38.888437499999995</v>
      </c>
      <c r="T95" s="19">
        <f t="shared" ref="T95:AI95" si="93">SUM(T83,T85,T87,T89,T91,T93)</f>
        <v>77.77687499999999</v>
      </c>
      <c r="U95" s="19">
        <f t="shared" si="93"/>
        <v>155.55374999999998</v>
      </c>
      <c r="V95" s="19">
        <f t="shared" si="93"/>
        <v>311.10749999999996</v>
      </c>
      <c r="W95" s="19">
        <f t="shared" si="93"/>
        <v>622.21499999999992</v>
      </c>
      <c r="X95" s="19">
        <f t="shared" si="93"/>
        <v>1244.4299999999998</v>
      </c>
      <c r="Y95" s="19">
        <f>SUM(Y83,Y85,Y87,Y89,Y91,Y93)</f>
        <v>2488.8599999999997</v>
      </c>
      <c r="Z95" s="19">
        <f t="shared" si="93"/>
        <v>4977.7199999999993</v>
      </c>
      <c r="AA95" s="19">
        <f t="shared" si="93"/>
        <v>9955.4399999999987</v>
      </c>
      <c r="AB95" s="19">
        <f t="shared" si="93"/>
        <v>19910.879999999997</v>
      </c>
      <c r="AC95" s="19">
        <f t="shared" si="93"/>
        <v>39821.759999999995</v>
      </c>
      <c r="AD95" s="19">
        <f t="shared" si="93"/>
        <v>79643.51999999999</v>
      </c>
      <c r="AE95" s="19">
        <f t="shared" si="93"/>
        <v>159287.03999999998</v>
      </c>
      <c r="AF95" s="19">
        <f t="shared" si="93"/>
        <v>318574.07999999996</v>
      </c>
      <c r="AG95" s="19">
        <f t="shared" si="93"/>
        <v>637148.15999999992</v>
      </c>
      <c r="AH95" s="19">
        <f t="shared" si="93"/>
        <v>1274296.3199999998</v>
      </c>
      <c r="AI95" s="19">
        <f t="shared" si="93"/>
        <v>2548592.6399999997</v>
      </c>
      <c r="AJ95" s="19">
        <f t="shared" ref="AJ95:AL96" si="94">SUM(AJ83,AJ85,AJ87,AJ89,AJ91,AJ93)</f>
        <v>5097185.2799999993</v>
      </c>
      <c r="AK95" s="19">
        <f t="shared" si="94"/>
        <v>10194370.559999999</v>
      </c>
      <c r="AL95" s="19">
        <f t="shared" si="94"/>
        <v>20388741.119999997</v>
      </c>
      <c r="AM95" s="19">
        <f t="shared" ref="AM95:AQ95" si="95">SUM(AM83,AM85,AM87,AM89,AM91,AM93)</f>
        <v>40777482.239999995</v>
      </c>
      <c r="AN95" s="19">
        <f t="shared" si="95"/>
        <v>81554964.479999989</v>
      </c>
      <c r="AO95" s="18">
        <f t="shared" si="95"/>
        <v>163109928.95999998</v>
      </c>
      <c r="AP95" s="19">
        <f t="shared" si="95"/>
        <v>326219857.91999996</v>
      </c>
      <c r="AQ95" s="19">
        <f t="shared" si="95"/>
        <v>339587524.98000002</v>
      </c>
      <c r="AR95" s="45"/>
    </row>
    <row r="96" spans="1:44" x14ac:dyDescent="0.25">
      <c r="A96" s="37" t="s">
        <v>39</v>
      </c>
      <c r="B96" s="39"/>
      <c r="C96" s="39"/>
      <c r="D96" s="39"/>
      <c r="E96" s="39"/>
      <c r="F96" s="39"/>
      <c r="G96" s="39"/>
      <c r="H96" s="39"/>
      <c r="I96" s="39"/>
      <c r="J96" s="39"/>
      <c r="K96" s="39"/>
      <c r="L96" s="39"/>
      <c r="M96" s="39"/>
      <c r="N96" s="39"/>
      <c r="O96" s="39"/>
      <c r="P96" s="39"/>
      <c r="Q96" s="39"/>
      <c r="R96" s="39"/>
      <c r="S96" s="31">
        <f>SUM(S84,S86,S88,S90,S92,S94)</f>
        <v>2.1385649999999998</v>
      </c>
      <c r="T96" s="32">
        <f t="shared" ref="T96:AI96" si="96">SUM(T84,T86,T88,T90,T92,T94)</f>
        <v>4.2771299999999997</v>
      </c>
      <c r="U96" s="32">
        <f t="shared" si="96"/>
        <v>8.5542599999999993</v>
      </c>
      <c r="V96" s="32">
        <f t="shared" si="96"/>
        <v>17.108519999999999</v>
      </c>
      <c r="W96" s="32">
        <f t="shared" si="96"/>
        <v>34.217039999999997</v>
      </c>
      <c r="X96" s="32">
        <f t="shared" si="96"/>
        <v>68.434079999999994</v>
      </c>
      <c r="Y96" s="32">
        <f t="shared" si="96"/>
        <v>136.86815999999999</v>
      </c>
      <c r="Z96" s="32">
        <f t="shared" si="96"/>
        <v>273.73631999999998</v>
      </c>
      <c r="AA96" s="32">
        <f t="shared" si="96"/>
        <v>547.47263999999996</v>
      </c>
      <c r="AB96" s="32">
        <f t="shared" si="96"/>
        <v>1094.9452799999999</v>
      </c>
      <c r="AC96" s="32">
        <f t="shared" si="96"/>
        <v>2189.8905599999998</v>
      </c>
      <c r="AD96" s="32">
        <f t="shared" si="96"/>
        <v>4379.7811199999996</v>
      </c>
      <c r="AE96" s="32">
        <f t="shared" si="96"/>
        <v>8759.5622399999993</v>
      </c>
      <c r="AF96" s="32">
        <f t="shared" si="96"/>
        <v>17519.124479999999</v>
      </c>
      <c r="AG96" s="32">
        <f t="shared" si="96"/>
        <v>35038.248959999997</v>
      </c>
      <c r="AH96" s="32">
        <f t="shared" si="96"/>
        <v>70076.497919999994</v>
      </c>
      <c r="AI96" s="32">
        <f t="shared" si="96"/>
        <v>140152.99583999999</v>
      </c>
      <c r="AJ96" s="32">
        <f t="shared" si="94"/>
        <v>280305.99167999998</v>
      </c>
      <c r="AK96" s="32">
        <f t="shared" si="94"/>
        <v>560611.98335999995</v>
      </c>
      <c r="AL96" s="32">
        <f t="shared" si="94"/>
        <v>1121223.9667199999</v>
      </c>
      <c r="AM96" s="32">
        <f t="shared" ref="AM96:AQ96" si="97">SUM(AM84,AM86,AM88,AM90,AM92,AM94)</f>
        <v>2242447.9334399998</v>
      </c>
      <c r="AN96" s="32">
        <f t="shared" si="97"/>
        <v>4484895.8668799996</v>
      </c>
      <c r="AO96" s="31">
        <f t="shared" si="97"/>
        <v>8969791.7337599993</v>
      </c>
      <c r="AP96" s="32">
        <f t="shared" si="97"/>
        <v>17939583.467519999</v>
      </c>
      <c r="AQ96" s="32">
        <f t="shared" si="97"/>
        <v>18674702.354879998</v>
      </c>
      <c r="AR96" s="45"/>
    </row>
    <row r="100" spans="5:5" x14ac:dyDescent="0.25">
      <c r="E100" s="2"/>
    </row>
    <row r="101" spans="5:5" x14ac:dyDescent="0.25">
      <c r="E101" s="2"/>
    </row>
    <row r="103" spans="5:5" x14ac:dyDescent="0.25">
      <c r="E103" s="235"/>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0:AQ60">
    <cfRule type="cellIs" dxfId="28" priority="38" operator="greaterThan">
      <formula>$C$60</formula>
    </cfRule>
  </conditionalFormatting>
  <conditionalFormatting sqref="S62:AQ62">
    <cfRule type="cellIs" dxfId="27" priority="37" operator="greaterThan">
      <formula>$C$62</formula>
    </cfRule>
  </conditionalFormatting>
  <conditionalFormatting sqref="S64:AQ64">
    <cfRule type="cellIs" dxfId="26" priority="36" operator="greaterThan">
      <formula>$C$64</formula>
    </cfRule>
  </conditionalFormatting>
  <conditionalFormatting sqref="S66:AQ66">
    <cfRule type="cellIs" dxfId="25" priority="28" operator="greaterThan">
      <formula>$C$66</formula>
    </cfRule>
  </conditionalFormatting>
  <conditionalFormatting sqref="S68:AQ68">
    <cfRule type="cellIs" dxfId="24" priority="27" operator="greaterThan">
      <formula>$C$68</formula>
    </cfRule>
  </conditionalFormatting>
  <conditionalFormatting sqref="S70:AQ70">
    <cfRule type="cellIs" dxfId="23" priority="26" operator="greaterThan">
      <formula>$C$70</formula>
    </cfRule>
  </conditionalFormatting>
  <conditionalFormatting sqref="S72:AQ72">
    <cfRule type="cellIs" dxfId="22" priority="25" operator="greaterThan">
      <formula>$C$72</formula>
    </cfRule>
  </conditionalFormatting>
  <conditionalFormatting sqref="S74:AQ74">
    <cfRule type="cellIs" dxfId="21" priority="24" operator="greaterThan">
      <formula>$C$74</formula>
    </cfRule>
  </conditionalFormatting>
  <conditionalFormatting sqref="S76:AQ76">
    <cfRule type="cellIs" dxfId="20" priority="23" operator="greaterThan">
      <formula>$C$76</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0">
    <cfRule type="cellIs" dxfId="17" priority="18" operator="greaterThan">
      <formula>$B$60</formula>
    </cfRule>
  </conditionalFormatting>
  <conditionalFormatting sqref="D62">
    <cfRule type="cellIs" dxfId="16" priority="17" operator="greaterThan">
      <formula>$B$62</formula>
    </cfRule>
  </conditionalFormatting>
  <conditionalFormatting sqref="D64">
    <cfRule type="cellIs" dxfId="15" priority="16" operator="greaterThan">
      <formula>$B$64</formula>
    </cfRule>
  </conditionalFormatting>
  <conditionalFormatting sqref="D66">
    <cfRule type="cellIs" dxfId="14" priority="15" operator="greaterThan">
      <formula>$B$66</formula>
    </cfRule>
  </conditionalFormatting>
  <conditionalFormatting sqref="D68">
    <cfRule type="cellIs" dxfId="13" priority="14" operator="greaterThan">
      <formula>$B$68</formula>
    </cfRule>
  </conditionalFormatting>
  <conditionalFormatting sqref="D70">
    <cfRule type="cellIs" dxfId="12" priority="13" operator="greaterThan">
      <formula>$B$70</formula>
    </cfRule>
  </conditionalFormatting>
  <conditionalFormatting sqref="D72">
    <cfRule type="cellIs" dxfId="11" priority="12" operator="greaterThan">
      <formula>$B$72</formula>
    </cfRule>
  </conditionalFormatting>
  <conditionalFormatting sqref="D74">
    <cfRule type="cellIs" dxfId="10" priority="11" operator="greaterThan">
      <formula>$B$74</formula>
    </cfRule>
  </conditionalFormatting>
  <conditionalFormatting sqref="D76">
    <cfRule type="cellIs" dxfId="9" priority="10" operator="greaterThan">
      <formula>$B$76</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59" r:id="rId1" location="case-fatality-rate-of-covid-19-by-age" xr:uid="{0058192C-B05A-45D2-8597-C1F9B3D9241E}"/>
    <hyperlink ref="E82" r:id="rId2" location="case-fatality-rate-of-covid-19-by-preexisting-health-conditions" xr:uid="{110A2613-24A6-4768-B90C-571B307D13E2}"/>
    <hyperlink ref="A52"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L15" sqref="L1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115</v>
      </c>
      <c r="C3" s="153">
        <f>Projections!B15</f>
        <v>272886000</v>
      </c>
      <c r="J3" s="2"/>
    </row>
    <row r="4" spans="2:10" x14ac:dyDescent="0.25">
      <c r="B4" s="170" t="s">
        <v>132</v>
      </c>
      <c r="C4" s="153">
        <f>Projections!S29</f>
        <v>31.25</v>
      </c>
      <c r="J4" s="2"/>
    </row>
    <row r="5" spans="2:10" x14ac:dyDescent="0.25">
      <c r="B5" s="170" t="s">
        <v>133</v>
      </c>
      <c r="C5" s="151">
        <f>Projections!S28</f>
        <v>43900</v>
      </c>
      <c r="J5" s="2"/>
    </row>
    <row r="6" spans="2:10" x14ac:dyDescent="0.25">
      <c r="B6" s="170" t="s">
        <v>116</v>
      </c>
      <c r="C6" s="153">
        <v>965283</v>
      </c>
    </row>
    <row r="7" spans="2:10" x14ac:dyDescent="0.25">
      <c r="B7" s="170" t="s">
        <v>118</v>
      </c>
      <c r="C7" s="151">
        <f ca="1">NOW()</f>
        <v>44218.931250231479</v>
      </c>
    </row>
    <row r="8" spans="2:10" x14ac:dyDescent="0.25">
      <c r="B8" s="170" t="s">
        <v>134</v>
      </c>
      <c r="C8" s="152">
        <f ca="1">C7-C5</f>
        <v>318.93125023147877</v>
      </c>
    </row>
    <row r="9" spans="2:10" x14ac:dyDescent="0.25">
      <c r="B9" s="170" t="s">
        <v>117</v>
      </c>
      <c r="C9" s="154">
        <f ca="1">C8/(LOG(C6/C4)/LOG(2))</f>
        <v>21.383530166033601</v>
      </c>
      <c r="D9" t="s">
        <v>95</v>
      </c>
      <c r="F9" t="s">
        <v>135</v>
      </c>
    </row>
    <row r="10" spans="2:10" x14ac:dyDescent="0.25">
      <c r="B10" s="170" t="s">
        <v>122</v>
      </c>
      <c r="C10" s="153">
        <f>Projections!C19</f>
        <v>163731.6</v>
      </c>
    </row>
    <row r="11" spans="2:10" x14ac:dyDescent="0.25">
      <c r="B11" s="171" t="s">
        <v>123</v>
      </c>
      <c r="C11" s="158">
        <f>Projections!C20</f>
        <v>7367.9220000000005</v>
      </c>
    </row>
    <row r="12" spans="2:10" s="69" customFormat="1" x14ac:dyDescent="0.25">
      <c r="B12" s="62" t="s">
        <v>163</v>
      </c>
      <c r="C12" s="159">
        <f>C6/Projections!B17</f>
        <v>3040641.45</v>
      </c>
    </row>
    <row r="13" spans="2:10" s="69" customFormat="1" x14ac:dyDescent="0.25">
      <c r="B13" s="48" t="s">
        <v>164</v>
      </c>
      <c r="C13" s="160">
        <f ca="1">(C4/Projections!B17)*(2^(((C7-21)-C5)/C9))</f>
        <v>1539339.5289442793</v>
      </c>
    </row>
    <row r="14" spans="2:10" s="69" customFormat="1" x14ac:dyDescent="0.25">
      <c r="B14" s="49" t="s">
        <v>165</v>
      </c>
      <c r="C14" s="143">
        <f ca="1">C12-C13</f>
        <v>1501301.9210557209</v>
      </c>
      <c r="E14" s="156"/>
      <c r="F14" s="157" t="s">
        <v>139</v>
      </c>
      <c r="G14" s="155"/>
    </row>
    <row r="15" spans="2:10" x14ac:dyDescent="0.25">
      <c r="B15" s="4" t="s">
        <v>136</v>
      </c>
      <c r="C15" s="64">
        <f>C6*Projections!B21</f>
        <v>781879.2300000001</v>
      </c>
      <c r="I15" s="150"/>
    </row>
    <row r="16" spans="2:10" x14ac:dyDescent="0.25">
      <c r="B16" s="41" t="s">
        <v>146</v>
      </c>
      <c r="C16" s="79">
        <f ca="1">(C4*Projections!B21)*(2^(((C7-21)-C5)/C9))</f>
        <v>395830.1645856718</v>
      </c>
      <c r="I16" s="150"/>
    </row>
    <row r="17" spans="2:9" x14ac:dyDescent="0.25">
      <c r="B17" s="41" t="s">
        <v>137</v>
      </c>
      <c r="C17" s="79">
        <f ca="1">C15-C16</f>
        <v>386049.0654143283</v>
      </c>
      <c r="F17" t="s">
        <v>140</v>
      </c>
      <c r="I17" s="150"/>
    </row>
    <row r="18" spans="2:9" x14ac:dyDescent="0.25">
      <c r="B18" s="4" t="s">
        <v>142</v>
      </c>
      <c r="C18" s="64">
        <f>C6*Projections!B22</f>
        <v>135139.62000000002</v>
      </c>
    </row>
    <row r="19" spans="2:9" x14ac:dyDescent="0.25">
      <c r="B19" s="41" t="s">
        <v>147</v>
      </c>
      <c r="C19" s="79">
        <f ca="1">(C4*Projections!B22)*(2^(((C7-49)-C5)/C9))</f>
        <v>27604.349506570954</v>
      </c>
    </row>
    <row r="20" spans="2:9" x14ac:dyDescent="0.25">
      <c r="B20" s="41" t="s">
        <v>141</v>
      </c>
      <c r="C20" s="79">
        <f ca="1">C18-C19</f>
        <v>107535.27049342907</v>
      </c>
      <c r="F20" t="s">
        <v>145</v>
      </c>
    </row>
    <row r="21" spans="2:9" x14ac:dyDescent="0.25">
      <c r="B21" s="4" t="s">
        <v>143</v>
      </c>
      <c r="C21" s="64">
        <f>C6*Projections!B23</f>
        <v>48264.15</v>
      </c>
      <c r="I21" s="150"/>
    </row>
    <row r="22" spans="2:9" x14ac:dyDescent="0.25">
      <c r="B22" s="41" t="s">
        <v>148</v>
      </c>
      <c r="C22" s="79">
        <f ca="1">(C4*Projections!B23)*(2^(((C7-49)-C5)/C9))</f>
        <v>9858.6962523467682</v>
      </c>
      <c r="I22" s="150"/>
    </row>
    <row r="23" spans="2:9" x14ac:dyDescent="0.25">
      <c r="B23" s="41" t="s">
        <v>144</v>
      </c>
      <c r="C23" s="79">
        <f ca="1">C21-C22</f>
        <v>38405.453747653235</v>
      </c>
      <c r="I23" s="150"/>
    </row>
    <row r="24" spans="2:9" x14ac:dyDescent="0.25">
      <c r="B24" s="4" t="s">
        <v>149</v>
      </c>
      <c r="C24" s="64">
        <f>C6*Projections!B24</f>
        <v>30406.414499999999</v>
      </c>
    </row>
    <row r="25" spans="2:9" x14ac:dyDescent="0.25">
      <c r="B25" s="37" t="s">
        <v>150</v>
      </c>
      <c r="C25" s="61">
        <f ca="1">(C4*Projections!B24)*(2^(((C7-42)-C5)/C9))</f>
        <v>7792.9812650893118</v>
      </c>
      <c r="F25" t="s">
        <v>151</v>
      </c>
    </row>
    <row r="26" spans="2:9" x14ac:dyDescent="0.25">
      <c r="B26" s="41" t="s">
        <v>127</v>
      </c>
      <c r="C26" s="163">
        <f ca="1">C9*(LOG(C10/C21)/LOG(2))</f>
        <v>37.684385754503523</v>
      </c>
      <c r="D26" t="s">
        <v>95</v>
      </c>
      <c r="F26" s="69" t="s">
        <v>152</v>
      </c>
    </row>
    <row r="27" spans="2:9" x14ac:dyDescent="0.25">
      <c r="B27" s="37" t="s">
        <v>124</v>
      </c>
      <c r="C27" s="162">
        <f ca="1">C7+C26</f>
        <v>44256.615635985981</v>
      </c>
      <c r="F27" t="s">
        <v>153</v>
      </c>
    </row>
    <row r="28" spans="2:9" x14ac:dyDescent="0.25">
      <c r="B28" s="4" t="s">
        <v>128</v>
      </c>
      <c r="C28" s="161">
        <f ca="1">C9*(LOG(C11/C21)/LOG(2))</f>
        <v>-57.984056771961171</v>
      </c>
      <c r="D28" t="s">
        <v>95</v>
      </c>
    </row>
    <row r="29" spans="2:9" x14ac:dyDescent="0.25">
      <c r="B29" s="37" t="s">
        <v>125</v>
      </c>
      <c r="C29" s="162">
        <f ca="1">C7+C28</f>
        <v>44160.94719345952</v>
      </c>
      <c r="F29" t="s">
        <v>153</v>
      </c>
    </row>
    <row r="30" spans="2:9" x14ac:dyDescent="0.25">
      <c r="B30" s="4" t="s">
        <v>129</v>
      </c>
      <c r="C30" s="161">
        <f ca="1">C9*(LOG((C3*0.6)/C12)/LOG(2))</f>
        <v>122.97268907877138</v>
      </c>
      <c r="D30" t="s">
        <v>95</v>
      </c>
    </row>
    <row r="31" spans="2:9" x14ac:dyDescent="0.25">
      <c r="B31" s="37" t="s">
        <v>126</v>
      </c>
      <c r="C31" s="162">
        <f ca="1">C7+C30</f>
        <v>44341.90393931025</v>
      </c>
    </row>
    <row r="34" spans="2:6" x14ac:dyDescent="0.25">
      <c r="B34" s="4" t="s">
        <v>130</v>
      </c>
      <c r="C34" s="151">
        <f ca="1">C7+30</f>
        <v>44248.931250231479</v>
      </c>
      <c r="F34" t="s">
        <v>166</v>
      </c>
    </row>
    <row r="35" spans="2:6" x14ac:dyDescent="0.25">
      <c r="B35" s="41" t="s">
        <v>131</v>
      </c>
      <c r="C35" s="79">
        <f ca="1">C6*(2^((C34-C7)/C9))</f>
        <v>2552609.3591577699</v>
      </c>
      <c r="F35" t="s">
        <v>138</v>
      </c>
    </row>
    <row r="36" spans="2:6" x14ac:dyDescent="0.25">
      <c r="B36" s="41" t="s">
        <v>172</v>
      </c>
      <c r="C36" s="79">
        <f ca="1">C35/Projections!B17</f>
        <v>8040719.481346976</v>
      </c>
    </row>
    <row r="37" spans="2:6" x14ac:dyDescent="0.25">
      <c r="B37" s="41" t="s">
        <v>71</v>
      </c>
      <c r="C37" s="79">
        <f ca="1">C35*Projections!B21</f>
        <v>2067613.5809177938</v>
      </c>
    </row>
    <row r="38" spans="2:6" x14ac:dyDescent="0.25">
      <c r="B38" s="41" t="s">
        <v>119</v>
      </c>
      <c r="C38" s="79">
        <f ca="1">C35*Projections!B22</f>
        <v>357365.31028208783</v>
      </c>
    </row>
    <row r="39" spans="2:6" x14ac:dyDescent="0.25">
      <c r="B39" s="41" t="s">
        <v>120</v>
      </c>
      <c r="C39" s="79">
        <f ca="1">C35*Projections!B23</f>
        <v>127630.4679578885</v>
      </c>
    </row>
    <row r="40" spans="2:6" x14ac:dyDescent="0.25">
      <c r="B40" s="37" t="s">
        <v>121</v>
      </c>
      <c r="C40" s="61">
        <f ca="1">C35*Projections!B24</f>
        <v>80407.19481346976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176</v>
      </c>
    </row>
    <row r="2" spans="1:5" x14ac:dyDescent="0.25">
      <c r="A2" s="221" t="s">
        <v>175</v>
      </c>
      <c r="B2" t="s">
        <v>179</v>
      </c>
      <c r="C2" t="s">
        <v>180</v>
      </c>
      <c r="D2" t="s">
        <v>181</v>
      </c>
    </row>
    <row r="3" spans="1:5" x14ac:dyDescent="0.25">
      <c r="A3" s="223" t="s">
        <v>21</v>
      </c>
      <c r="B3" s="236">
        <v>4.2799999999999998E-2</v>
      </c>
      <c r="C3" s="236">
        <v>4.4699999999999997E-2</v>
      </c>
      <c r="D3" s="236">
        <f>SUM(B3:C3)</f>
        <v>8.7499999999999994E-2</v>
      </c>
      <c r="E3" s="5"/>
    </row>
    <row r="4" spans="1:5" x14ac:dyDescent="0.25">
      <c r="A4" s="224" t="s">
        <v>22</v>
      </c>
      <c r="B4" s="44">
        <v>4.3999999999999997E-2</v>
      </c>
      <c r="C4" s="44">
        <v>4.5900000000000003E-2</v>
      </c>
      <c r="D4" s="44">
        <f t="shared" ref="D4:D20" si="0">SUM(B4:C4)</f>
        <v>8.9900000000000008E-2</v>
      </c>
      <c r="E4" s="237">
        <f>SUM(D3:D4)</f>
        <v>0.1774</v>
      </c>
    </row>
    <row r="5" spans="1:5" x14ac:dyDescent="0.25">
      <c r="A5" s="223" t="s">
        <v>23</v>
      </c>
      <c r="B5" s="236">
        <v>4.24E-2</v>
      </c>
      <c r="C5" s="236">
        <v>4.4200000000000003E-2</v>
      </c>
      <c r="D5" s="236">
        <f t="shared" si="0"/>
        <v>8.660000000000001E-2</v>
      </c>
      <c r="E5" s="5"/>
    </row>
    <row r="6" spans="1:5" x14ac:dyDescent="0.25">
      <c r="A6" s="224" t="s">
        <v>24</v>
      </c>
      <c r="B6" s="44">
        <v>4.19E-2</v>
      </c>
      <c r="C6" s="44">
        <v>4.4400000000000002E-2</v>
      </c>
      <c r="D6" s="44">
        <f t="shared" si="0"/>
        <v>8.6300000000000002E-2</v>
      </c>
      <c r="E6" s="237">
        <f>SUM(D5:D6)</f>
        <v>0.1729</v>
      </c>
    </row>
    <row r="7" spans="1:5" x14ac:dyDescent="0.25">
      <c r="A7" s="223" t="s">
        <v>25</v>
      </c>
      <c r="B7" s="236">
        <v>3.9699999999999999E-2</v>
      </c>
      <c r="C7" s="236">
        <v>4.19E-2</v>
      </c>
      <c r="D7" s="236">
        <f t="shared" si="0"/>
        <v>8.1600000000000006E-2</v>
      </c>
      <c r="E7" s="5"/>
    </row>
    <row r="8" spans="1:5" x14ac:dyDescent="0.25">
      <c r="A8" s="224" t="s">
        <v>26</v>
      </c>
      <c r="B8" s="44">
        <v>3.8899999999999997E-2</v>
      </c>
      <c r="C8" s="44">
        <v>4.0300000000000002E-2</v>
      </c>
      <c r="D8" s="44">
        <f t="shared" si="0"/>
        <v>7.9199999999999993E-2</v>
      </c>
      <c r="E8" s="237">
        <f>SUM(D7:D8)</f>
        <v>0.1608</v>
      </c>
    </row>
    <row r="9" spans="1:5" x14ac:dyDescent="0.25">
      <c r="A9" s="223" t="s">
        <v>27</v>
      </c>
      <c r="B9" s="236">
        <v>3.7999999999999999E-2</v>
      </c>
      <c r="C9" s="236">
        <v>3.8899999999999997E-2</v>
      </c>
      <c r="D9" s="236">
        <f t="shared" si="0"/>
        <v>7.6899999999999996E-2</v>
      </c>
      <c r="E9" s="5"/>
    </row>
    <row r="10" spans="1:5" x14ac:dyDescent="0.25">
      <c r="A10" s="224" t="s">
        <v>28</v>
      </c>
      <c r="B10" s="44">
        <v>3.8300000000000001E-2</v>
      </c>
      <c r="C10" s="44">
        <v>3.7900000000000003E-2</v>
      </c>
      <c r="D10" s="44">
        <f t="shared" si="0"/>
        <v>7.6200000000000004E-2</v>
      </c>
      <c r="E10" s="237">
        <f>SUM(D9:D10)</f>
        <v>0.15310000000000001</v>
      </c>
    </row>
    <row r="11" spans="1:5" x14ac:dyDescent="0.25">
      <c r="A11" s="223" t="s">
        <v>29</v>
      </c>
      <c r="B11" s="236">
        <v>3.5299999999999998E-2</v>
      </c>
      <c r="C11" s="236">
        <v>3.5299999999999998E-2</v>
      </c>
      <c r="D11" s="236">
        <f t="shared" si="0"/>
        <v>7.0599999999999996E-2</v>
      </c>
      <c r="E11" s="5"/>
    </row>
    <row r="12" spans="1:5" x14ac:dyDescent="0.25">
      <c r="A12" s="224" t="s">
        <v>30</v>
      </c>
      <c r="B12" s="44">
        <v>3.2500000000000001E-2</v>
      </c>
      <c r="C12" s="44">
        <v>3.2800000000000003E-2</v>
      </c>
      <c r="D12" s="44">
        <f t="shared" si="0"/>
        <v>6.5299999999999997E-2</v>
      </c>
      <c r="E12" s="237">
        <f>SUM(D11:D12)</f>
        <v>0.13589999999999999</v>
      </c>
    </row>
    <row r="13" spans="1:5" x14ac:dyDescent="0.25">
      <c r="A13" s="223" t="s">
        <v>31</v>
      </c>
      <c r="B13" s="236">
        <v>2.8799999999999999E-2</v>
      </c>
      <c r="C13" s="236">
        <v>2.87E-2</v>
      </c>
      <c r="D13" s="236">
        <f t="shared" si="0"/>
        <v>5.7499999999999996E-2</v>
      </c>
      <c r="E13" s="5"/>
    </row>
    <row r="14" spans="1:5" x14ac:dyDescent="0.25">
      <c r="A14" s="224" t="s">
        <v>32</v>
      </c>
      <c r="B14" s="44">
        <v>2.41E-2</v>
      </c>
      <c r="C14" s="44">
        <v>2.3400000000000001E-2</v>
      </c>
      <c r="D14" s="44">
        <f t="shared" si="0"/>
        <v>4.7500000000000001E-2</v>
      </c>
      <c r="E14" s="237">
        <f>SUM(D13:D14)</f>
        <v>0.105</v>
      </c>
    </row>
    <row r="15" spans="1:5" x14ac:dyDescent="0.25">
      <c r="A15" s="223" t="s">
        <v>33</v>
      </c>
      <c r="B15" s="236">
        <v>1.9E-2</v>
      </c>
      <c r="C15" s="236">
        <v>1.83E-2</v>
      </c>
      <c r="D15" s="236">
        <f t="shared" si="0"/>
        <v>3.73E-2</v>
      </c>
      <c r="E15" s="5"/>
    </row>
    <row r="16" spans="1:5" x14ac:dyDescent="0.25">
      <c r="A16" s="224" t="s">
        <v>34</v>
      </c>
      <c r="B16" s="44">
        <v>1.26E-2</v>
      </c>
      <c r="C16" s="44">
        <v>1.24E-2</v>
      </c>
      <c r="D16" s="44">
        <f t="shared" si="0"/>
        <v>2.5000000000000001E-2</v>
      </c>
      <c r="E16" s="237">
        <f>SUM(D15:D16)</f>
        <v>6.2300000000000001E-2</v>
      </c>
    </row>
    <row r="17" spans="1:5" x14ac:dyDescent="0.25">
      <c r="A17" s="223" t="s">
        <v>35</v>
      </c>
      <c r="B17" s="236">
        <v>8.6E-3</v>
      </c>
      <c r="C17" s="236">
        <v>7.0000000000000001E-3</v>
      </c>
      <c r="D17" s="236">
        <f t="shared" si="0"/>
        <v>1.5599999999999999E-2</v>
      </c>
      <c r="E17" s="5"/>
    </row>
    <row r="18" spans="1:5" x14ac:dyDescent="0.25">
      <c r="A18" s="224" t="s">
        <v>36</v>
      </c>
      <c r="B18" s="44">
        <v>5.5999999999999999E-3</v>
      </c>
      <c r="C18" s="44">
        <v>4.1999999999999997E-3</v>
      </c>
      <c r="D18" s="44">
        <f t="shared" si="0"/>
        <v>9.7999999999999997E-3</v>
      </c>
      <c r="E18" s="237">
        <f>SUM(D17:D18)</f>
        <v>2.5399999999999999E-2</v>
      </c>
    </row>
    <row r="19" spans="1:5" x14ac:dyDescent="0.25">
      <c r="A19" s="238" t="s">
        <v>12</v>
      </c>
      <c r="B19" s="239">
        <v>4.5999999999999999E-3</v>
      </c>
      <c r="C19" s="239">
        <v>2.8E-3</v>
      </c>
      <c r="D19" s="239">
        <f t="shared" si="0"/>
        <v>7.4000000000000003E-3</v>
      </c>
      <c r="E19" s="240">
        <f>D19</f>
        <v>7.4000000000000003E-3</v>
      </c>
    </row>
    <row r="20" spans="1:5" x14ac:dyDescent="0.25">
      <c r="A20" s="222" t="s">
        <v>45</v>
      </c>
      <c r="B20" s="1">
        <f>SUM(B3:B19)</f>
        <v>0.49709999999999993</v>
      </c>
      <c r="C20" s="1">
        <f>SUM(C3:C19)</f>
        <v>0.50309999999999999</v>
      </c>
      <c r="D20" s="1">
        <f t="shared" si="0"/>
        <v>1.0002</v>
      </c>
      <c r="E20" s="1">
        <f>SUM(E3:E19)</f>
        <v>1.0002</v>
      </c>
    </row>
    <row r="21" spans="1:5" x14ac:dyDescent="0.25">
      <c r="A21" s="210"/>
    </row>
    <row r="22" spans="1:5" x14ac:dyDescent="0.25">
      <c r="A22" s="211"/>
    </row>
    <row r="23" spans="1:5" x14ac:dyDescent="0.25">
      <c r="A23" s="210"/>
    </row>
    <row r="24" spans="1:5" x14ac:dyDescent="0.25">
      <c r="A24" s="211"/>
    </row>
    <row r="25" spans="1:5" x14ac:dyDescent="0.25">
      <c r="A25" s="210"/>
    </row>
    <row r="26" spans="1:5" x14ac:dyDescent="0.25">
      <c r="A26" s="211"/>
    </row>
    <row r="27" spans="1:5" x14ac:dyDescent="0.25">
      <c r="A27" s="210"/>
    </row>
    <row r="28" spans="1:5" x14ac:dyDescent="0.25">
      <c r="A28" s="211"/>
    </row>
    <row r="29" spans="1:5" x14ac:dyDescent="0.25">
      <c r="A29" s="210"/>
    </row>
    <row r="30" spans="1:5" x14ac:dyDescent="0.25">
      <c r="A30" s="211"/>
    </row>
    <row r="31" spans="1:5" x14ac:dyDescent="0.25">
      <c r="A31" s="210"/>
    </row>
    <row r="32" spans="1:5" x14ac:dyDescent="0.25">
      <c r="A32" s="211"/>
    </row>
    <row r="33" spans="1:1" x14ac:dyDescent="0.25">
      <c r="A33" s="210"/>
    </row>
    <row r="34" spans="1:1" x14ac:dyDescent="0.25">
      <c r="A34" s="211"/>
    </row>
    <row r="35" spans="1:1" x14ac:dyDescent="0.25">
      <c r="A35" s="210"/>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188</v>
      </c>
    </row>
    <row r="2" spans="1:2" x14ac:dyDescent="0.25">
      <c r="A2" s="233" t="s">
        <v>177</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2021-01-22T11:21:48Z</dcterms:modified>
</cp:coreProperties>
</file>