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4BC4F4B2-D528-42C6-9391-6E417C999126}" xr6:coauthVersionLast="45" xr6:coauthVersionMax="45" xr10:uidLastSave="{00000000-0000-0000-0000-000000000000}"/>
  <bookViews>
    <workbookView xWindow="1470" yWindow="2775" windowWidth="36225" windowHeight="15435"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159" i="1" l="1"/>
  <c r="AB131" i="1"/>
  <c r="AA159" i="1" l="1"/>
  <c r="R58" i="1" l="1"/>
  <c r="AM132" i="1" l="1"/>
  <c r="M159" i="1"/>
  <c r="N159" i="1"/>
  <c r="O159" i="1"/>
  <c r="P159" i="1"/>
  <c r="Q159" i="1"/>
  <c r="R159" i="1"/>
  <c r="S159" i="1"/>
  <c r="T159" i="1"/>
  <c r="U159" i="1"/>
  <c r="V159" i="1"/>
  <c r="W159" i="1"/>
  <c r="X159" i="1"/>
  <c r="Y159" i="1"/>
  <c r="Z159" i="1"/>
  <c r="L159" i="1"/>
  <c r="AD156" i="1"/>
  <c r="E34" i="4" l="1"/>
  <c r="C45" i="4"/>
  <c r="AO136" i="1" l="1"/>
  <c r="AO133" i="1"/>
  <c r="AO132" i="1" s="1"/>
  <c r="AO140" i="1" s="1"/>
  <c r="AL136" i="1"/>
  <c r="AM136" i="1"/>
  <c r="AK136" i="1"/>
  <c r="AO138" i="1" l="1"/>
  <c r="AO137" i="1"/>
  <c r="C5" i="5"/>
  <c r="C4" i="5"/>
  <c r="B180" i="1"/>
  <c r="B176" i="1"/>
  <c r="B178" i="1"/>
  <c r="B174" i="1"/>
  <c r="B172" i="1"/>
  <c r="B170" i="1"/>
  <c r="B168" i="1"/>
  <c r="B166" i="1"/>
  <c r="B164"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M131" i="1"/>
  <c r="L155" i="1"/>
  <c r="N131" i="1" l="1"/>
  <c r="M157" i="1"/>
  <c r="O131" i="1" l="1"/>
  <c r="M155" i="1"/>
  <c r="L157" i="1"/>
  <c r="L154" i="1"/>
  <c r="P131" i="1" l="1"/>
  <c r="N155" i="1"/>
  <c r="L142" i="1"/>
  <c r="L143" i="1" s="1"/>
  <c r="L144" i="1"/>
  <c r="L145" i="1" s="1"/>
  <c r="AE156" i="1"/>
  <c r="AF156" i="1" s="1"/>
  <c r="AG156" i="1" s="1"/>
  <c r="AH156" i="1" s="1"/>
  <c r="AI156" i="1" s="1"/>
  <c r="AJ156" i="1" s="1"/>
  <c r="AK156" i="1" s="1"/>
  <c r="AL156" i="1" s="1"/>
  <c r="AM156" i="1" s="1"/>
  <c r="Q131" i="1" l="1"/>
  <c r="O155" i="1"/>
  <c r="L140" i="1"/>
  <c r="L141" i="1" s="1"/>
  <c r="L136" i="1"/>
  <c r="L138" i="1" s="1"/>
  <c r="L139" i="1" s="1"/>
  <c r="C12" i="5"/>
  <c r="C7" i="5"/>
  <c r="C8" i="5" s="1"/>
  <c r="C9" i="5" s="1"/>
  <c r="C21" i="5"/>
  <c r="C18" i="5"/>
  <c r="C15" i="5"/>
  <c r="C24" i="5"/>
  <c r="C3" i="5"/>
  <c r="R131" i="1" l="1"/>
  <c r="C30" i="5"/>
  <c r="L137" i="1"/>
  <c r="P155" i="1"/>
  <c r="L134" i="1"/>
  <c r="L135" i="1" s="1"/>
  <c r="C34" i="5"/>
  <c r="S131" i="1" l="1"/>
  <c r="Q155" i="1"/>
  <c r="C13" i="5"/>
  <c r="C14" i="5" s="1"/>
  <c r="AN132" i="1"/>
  <c r="L150" i="1"/>
  <c r="L148" i="1"/>
  <c r="L151" i="1"/>
  <c r="L149" i="1"/>
  <c r="AO156" i="1" l="1"/>
  <c r="AN156" i="1"/>
  <c r="T131" i="1"/>
  <c r="AN189" i="1"/>
  <c r="AN190" i="1" s="1"/>
  <c r="AN187" i="1"/>
  <c r="AN193" i="1"/>
  <c r="AN194" i="1" s="1"/>
  <c r="AN197" i="1"/>
  <c r="AN191" i="1"/>
  <c r="AN192" i="1" s="1"/>
  <c r="AN195" i="1"/>
  <c r="AN196" i="1" s="1"/>
  <c r="R155" i="1"/>
  <c r="AN133" i="1"/>
  <c r="AO146" i="1"/>
  <c r="AO144" i="1"/>
  <c r="AO142" i="1"/>
  <c r="AN140" i="1"/>
  <c r="AN136" i="1"/>
  <c r="AN138" i="1" s="1"/>
  <c r="C22" i="5"/>
  <c r="C23" i="5" s="1"/>
  <c r="C35" i="5"/>
  <c r="C40" i="5" s="1"/>
  <c r="C25" i="5"/>
  <c r="C19" i="5"/>
  <c r="C20" i="5" s="1"/>
  <c r="C16" i="5"/>
  <c r="C17" i="5" s="1"/>
  <c r="C31" i="5"/>
  <c r="AP25" i="4"/>
  <c r="E31" i="4"/>
  <c r="B17" i="4" s="1"/>
  <c r="K20" i="4" l="1"/>
  <c r="B18" i="4"/>
  <c r="B19" i="4" s="1"/>
  <c r="U131" i="1"/>
  <c r="AN188" i="1"/>
  <c r="AN200" i="1" s="1"/>
  <c r="AN199"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V131" i="1"/>
  <c r="E18" i="4"/>
  <c r="K21" i="4" s="1"/>
  <c r="N20" i="4"/>
  <c r="H17" i="4"/>
  <c r="L187" i="1"/>
  <c r="L188" i="1" s="1"/>
  <c r="W131" i="1" l="1"/>
  <c r="E19" i="4"/>
  <c r="Q20" i="4"/>
  <c r="H18" i="4"/>
  <c r="N22" i="4" s="1"/>
  <c r="K17" i="4"/>
  <c r="Y24" i="4"/>
  <c r="B14" i="3"/>
  <c r="X131" i="1" l="1"/>
  <c r="H19" i="4"/>
  <c r="T20" i="4"/>
  <c r="K18" i="4"/>
  <c r="K19" i="4" s="1"/>
  <c r="N21" i="4"/>
  <c r="AB24" i="4" s="1"/>
  <c r="N17" i="4"/>
  <c r="Y131" i="1" l="1"/>
  <c r="Q17" i="4"/>
  <c r="T17" i="4" s="1"/>
  <c r="W20" i="4"/>
  <c r="N18" i="4"/>
  <c r="N19" i="4" s="1"/>
  <c r="Q21" i="4"/>
  <c r="AE24" i="4" s="1"/>
  <c r="Q22" i="4"/>
  <c r="Z131" i="1" l="1"/>
  <c r="T18" i="4"/>
  <c r="T19" i="4" s="1"/>
  <c r="AC20" i="4"/>
  <c r="Z20" i="4"/>
  <c r="Q18" i="4"/>
  <c r="Q19" i="4" s="1"/>
  <c r="T21" i="4"/>
  <c r="AH24" i="4" s="1"/>
  <c r="T22" i="4"/>
  <c r="T23" i="4"/>
  <c r="W17" i="4"/>
  <c r="W21" i="4" l="1"/>
  <c r="AK24" i="4" s="1"/>
  <c r="W23" i="4"/>
  <c r="AD131" i="1"/>
  <c r="AD157" i="1" s="1"/>
  <c r="W18" i="4"/>
  <c r="W19" i="4" s="1"/>
  <c r="AF20" i="4"/>
  <c r="W22" i="4"/>
  <c r="Z21" i="4"/>
  <c r="AN24" i="4" s="1"/>
  <c r="Z23" i="4"/>
  <c r="Z22" i="4"/>
  <c r="Z17" i="4"/>
  <c r="C197" i="1"/>
  <c r="C195" i="1"/>
  <c r="C193" i="1"/>
  <c r="C191" i="1"/>
  <c r="C189" i="1"/>
  <c r="C187" i="1"/>
  <c r="L146" i="1"/>
  <c r="C5" i="3"/>
  <c r="D166" i="1" s="1"/>
  <c r="AA131" i="1" l="1"/>
  <c r="AC131" i="1"/>
  <c r="AE131" i="1"/>
  <c r="Z18" i="4"/>
  <c r="Z19" i="4" s="1"/>
  <c r="AI20" i="4"/>
  <c r="AN166" i="1"/>
  <c r="AN167" i="1"/>
  <c r="AC21" i="4"/>
  <c r="AC22" i="4"/>
  <c r="AC23" i="4"/>
  <c r="AC17" i="4"/>
  <c r="AN146" i="1"/>
  <c r="C7" i="3"/>
  <c r="D170" i="1" s="1"/>
  <c r="C4" i="3"/>
  <c r="D164" i="1" s="1"/>
  <c r="C12" i="3"/>
  <c r="D180" i="1" s="1"/>
  <c r="C11" i="3"/>
  <c r="D178" i="1" s="1"/>
  <c r="C10" i="3"/>
  <c r="D176" i="1" s="1"/>
  <c r="C9" i="3"/>
  <c r="D174" i="1" s="1"/>
  <c r="C8" i="3"/>
  <c r="D172" i="1" s="1"/>
  <c r="C6" i="3"/>
  <c r="D168" i="1" s="1"/>
  <c r="C122" i="1"/>
  <c r="C10" i="5" s="1"/>
  <c r="C26" i="5" s="1"/>
  <c r="C27" i="5" s="1"/>
  <c r="C123" i="1"/>
  <c r="C11" i="5" s="1"/>
  <c r="C28" i="5" s="1"/>
  <c r="C29" i="5" s="1"/>
  <c r="L167" i="1"/>
  <c r="L197" i="1"/>
  <c r="L195" i="1"/>
  <c r="L193" i="1"/>
  <c r="L194" i="1" s="1"/>
  <c r="L191" i="1"/>
  <c r="L192" i="1" s="1"/>
  <c r="L189" i="1"/>
  <c r="L190" i="1" s="1"/>
  <c r="C166" i="1"/>
  <c r="C168" i="1"/>
  <c r="C170" i="1"/>
  <c r="C172" i="1"/>
  <c r="C174" i="1"/>
  <c r="C176" i="1"/>
  <c r="C178" i="1"/>
  <c r="C180" i="1"/>
  <c r="C164" i="1"/>
  <c r="L133" i="1"/>
  <c r="M132" i="1"/>
  <c r="AA154" i="1" l="1"/>
  <c r="AA155" i="1"/>
  <c r="AC155" i="1"/>
  <c r="AC154" i="1"/>
  <c r="AB155" i="1"/>
  <c r="AB154" i="1"/>
  <c r="AA157" i="1"/>
  <c r="AC157" i="1"/>
  <c r="AB157" i="1"/>
  <c r="AF131" i="1"/>
  <c r="AN164" i="1"/>
  <c r="AN165" i="1"/>
  <c r="AL20" i="4"/>
  <c r="AC18" i="4"/>
  <c r="AC19" i="4" s="1"/>
  <c r="AN176" i="1"/>
  <c r="AN177" i="1"/>
  <c r="AN169" i="1"/>
  <c r="AN168" i="1"/>
  <c r="AN172" i="1"/>
  <c r="AN173" i="1"/>
  <c r="AN179" i="1"/>
  <c r="AN178" i="1"/>
  <c r="AN171" i="1"/>
  <c r="AN170" i="1"/>
  <c r="AN175" i="1"/>
  <c r="AN174" i="1"/>
  <c r="L181" i="1"/>
  <c r="AN181" i="1"/>
  <c r="AN180" i="1"/>
  <c r="M144" i="1"/>
  <c r="M145" i="1" s="1"/>
  <c r="M140" i="1"/>
  <c r="M141" i="1" s="1"/>
  <c r="M148" i="1"/>
  <c r="M151" i="1"/>
  <c r="M154" i="1"/>
  <c r="M149" i="1"/>
  <c r="M150" i="1"/>
  <c r="M136" i="1"/>
  <c r="AF22" i="4"/>
  <c r="AF23" i="4"/>
  <c r="AF21" i="4"/>
  <c r="AF17" i="4"/>
  <c r="L165" i="1"/>
  <c r="L164" i="1"/>
  <c r="L173" i="1"/>
  <c r="L172" i="1"/>
  <c r="L176" i="1"/>
  <c r="L175" i="1"/>
  <c r="L178" i="1"/>
  <c r="L168" i="1"/>
  <c r="N132" i="1"/>
  <c r="M191" i="1"/>
  <c r="M192" i="1" s="1"/>
  <c r="L169" i="1"/>
  <c r="M180" i="1"/>
  <c r="M189" i="1"/>
  <c r="M190" i="1" s="1"/>
  <c r="L177" i="1"/>
  <c r="M178" i="1"/>
  <c r="M197" i="1"/>
  <c r="L166" i="1"/>
  <c r="L174" i="1"/>
  <c r="M195" i="1"/>
  <c r="M196" i="1" s="1"/>
  <c r="M193" i="1"/>
  <c r="M194" i="1" s="1"/>
  <c r="M176" i="1"/>
  <c r="M169" i="1"/>
  <c r="M173" i="1"/>
  <c r="M177" i="1"/>
  <c r="M181" i="1"/>
  <c r="L199" i="1"/>
  <c r="M187" i="1"/>
  <c r="M188" i="1" s="1"/>
  <c r="L170" i="1"/>
  <c r="M166" i="1"/>
  <c r="L171" i="1"/>
  <c r="L179" i="1"/>
  <c r="M170" i="1"/>
  <c r="M167" i="1"/>
  <c r="M174" i="1"/>
  <c r="L180" i="1"/>
  <c r="M164" i="1"/>
  <c r="M171" i="1"/>
  <c r="M175" i="1"/>
  <c r="M179" i="1"/>
  <c r="M168" i="1"/>
  <c r="M165" i="1"/>
  <c r="M172" i="1"/>
  <c r="L196" i="1"/>
  <c r="L200" i="1" s="1"/>
  <c r="M133" i="1"/>
  <c r="M146" i="1"/>
  <c r="N140" i="1" l="1"/>
  <c r="N141" i="1" s="1"/>
  <c r="AG131" i="1"/>
  <c r="AH131" i="1" s="1"/>
  <c r="AO20" i="4"/>
  <c r="AF18" i="4"/>
  <c r="AF19" i="4" s="1"/>
  <c r="AN183" i="1"/>
  <c r="AN182" i="1"/>
  <c r="N189" i="1"/>
  <c r="N190" i="1" s="1"/>
  <c r="N170" i="1"/>
  <c r="N144" i="1"/>
  <c r="N145" i="1" s="1"/>
  <c r="N195" i="1"/>
  <c r="N196" i="1" s="1"/>
  <c r="N166" i="1"/>
  <c r="N165" i="1"/>
  <c r="N187" i="1"/>
  <c r="N188" i="1" s="1"/>
  <c r="N167" i="1"/>
  <c r="N133" i="1"/>
  <c r="M137" i="1"/>
  <c r="M138" i="1"/>
  <c r="M139" i="1" s="1"/>
  <c r="N157" i="1"/>
  <c r="O132" i="1"/>
  <c r="N136" i="1"/>
  <c r="N146" i="1"/>
  <c r="N180" i="1"/>
  <c r="N179" i="1"/>
  <c r="N191" i="1"/>
  <c r="N192" i="1" s="1"/>
  <c r="N175" i="1"/>
  <c r="N174" i="1"/>
  <c r="N150" i="1"/>
  <c r="N148" i="1"/>
  <c r="N151" i="1"/>
  <c r="N154" i="1"/>
  <c r="N149" i="1"/>
  <c r="AI23" i="4"/>
  <c r="AI21" i="4"/>
  <c r="AI22" i="4"/>
  <c r="AI17" i="4"/>
  <c r="AI18" i="4" s="1"/>
  <c r="L183" i="1"/>
  <c r="M183" i="1"/>
  <c r="N177" i="1"/>
  <c r="N176" i="1"/>
  <c r="N172" i="1"/>
  <c r="N169" i="1"/>
  <c r="N171" i="1"/>
  <c r="N164" i="1"/>
  <c r="N173" i="1"/>
  <c r="N178" i="1"/>
  <c r="N197" i="1"/>
  <c r="N168" i="1"/>
  <c r="N193" i="1"/>
  <c r="N194" i="1" s="1"/>
  <c r="N181" i="1"/>
  <c r="M199" i="1"/>
  <c r="L182" i="1"/>
  <c r="M182" i="1"/>
  <c r="M200" i="1"/>
  <c r="O140" i="1" l="1"/>
  <c r="O141" i="1" s="1"/>
  <c r="O181" i="1"/>
  <c r="O171" i="1"/>
  <c r="O169" i="1"/>
  <c r="O167" i="1"/>
  <c r="O189" i="1"/>
  <c r="O190" i="1" s="1"/>
  <c r="O177" i="1"/>
  <c r="O176" i="1"/>
  <c r="O168" i="1"/>
  <c r="O179" i="1"/>
  <c r="O174" i="1"/>
  <c r="O197" i="1"/>
  <c r="O164" i="1"/>
  <c r="O144" i="1"/>
  <c r="O145" i="1" s="1"/>
  <c r="O175" i="1"/>
  <c r="O173" i="1"/>
  <c r="O166" i="1"/>
  <c r="O187" i="1"/>
  <c r="O188" i="1" s="1"/>
  <c r="O170" i="1"/>
  <c r="P132" i="1"/>
  <c r="O180" i="1"/>
  <c r="O178" i="1"/>
  <c r="O146" i="1"/>
  <c r="O191" i="1"/>
  <c r="O192" i="1" s="1"/>
  <c r="N200" i="1"/>
  <c r="O165" i="1"/>
  <c r="O193" i="1"/>
  <c r="O194" i="1" s="1"/>
  <c r="O195" i="1"/>
  <c r="O196" i="1" s="1"/>
  <c r="O133" i="1"/>
  <c r="O172" i="1"/>
  <c r="O157" i="1"/>
  <c r="N137" i="1"/>
  <c r="N138" i="1"/>
  <c r="N139" i="1" s="1"/>
  <c r="O149" i="1"/>
  <c r="O150" i="1"/>
  <c r="O151" i="1"/>
  <c r="O154" i="1"/>
  <c r="O148" i="1"/>
  <c r="N199" i="1"/>
  <c r="O136" i="1"/>
  <c r="AL22" i="4"/>
  <c r="AL21" i="4"/>
  <c r="AL23" i="4"/>
  <c r="AL17" i="4"/>
  <c r="AL18" i="4" s="1"/>
  <c r="AI19" i="4"/>
  <c r="N182" i="1"/>
  <c r="N183" i="1"/>
  <c r="P176" i="1" l="1"/>
  <c r="AI131" i="1"/>
  <c r="P180" i="1"/>
  <c r="P177" i="1"/>
  <c r="P189" i="1"/>
  <c r="P190" i="1" s="1"/>
  <c r="P174" i="1"/>
  <c r="P175" i="1"/>
  <c r="P166" i="1"/>
  <c r="P172" i="1"/>
  <c r="P187" i="1"/>
  <c r="P188" i="1" s="1"/>
  <c r="O183" i="1"/>
  <c r="P173" i="1"/>
  <c r="P165" i="1"/>
  <c r="P195" i="1"/>
  <c r="P196" i="1" s="1"/>
  <c r="P179" i="1"/>
  <c r="P171" i="1"/>
  <c r="P178" i="1"/>
  <c r="P193" i="1"/>
  <c r="P194" i="1" s="1"/>
  <c r="O200" i="1"/>
  <c r="P140" i="1"/>
  <c r="P133" i="1"/>
  <c r="P167" i="1"/>
  <c r="P168" i="1"/>
  <c r="P191" i="1"/>
  <c r="P192" i="1" s="1"/>
  <c r="P136" i="1"/>
  <c r="P138" i="1" s="1"/>
  <c r="P146" i="1"/>
  <c r="P170" i="1"/>
  <c r="Q132" i="1"/>
  <c r="Q164" i="1" s="1"/>
  <c r="P181" i="1"/>
  <c r="O182" i="1"/>
  <c r="P169" i="1"/>
  <c r="P197" i="1"/>
  <c r="O199" i="1"/>
  <c r="P164" i="1"/>
  <c r="P157" i="1"/>
  <c r="O137" i="1"/>
  <c r="O138" i="1"/>
  <c r="O139" i="1" s="1"/>
  <c r="P149" i="1"/>
  <c r="P154" i="1"/>
  <c r="P150" i="1"/>
  <c r="P151" i="1"/>
  <c r="P148" i="1"/>
  <c r="AO21" i="4"/>
  <c r="AO22" i="4"/>
  <c r="AO23" i="4"/>
  <c r="AO17" i="4"/>
  <c r="AO18" i="4" s="1"/>
  <c r="AO19" i="4" s="1"/>
  <c r="AL19" i="4"/>
  <c r="Q174" i="1"/>
  <c r="Q177" i="1" l="1"/>
  <c r="AJ131" i="1"/>
  <c r="AI154" i="1"/>
  <c r="AI155" i="1"/>
  <c r="AI157" i="1"/>
  <c r="Q167" i="1"/>
  <c r="P182" i="1"/>
  <c r="P200" i="1"/>
  <c r="Q180" i="1"/>
  <c r="Q146" i="1"/>
  <c r="R132" i="1"/>
  <c r="R136" i="1" s="1"/>
  <c r="Q169" i="1"/>
  <c r="Q195" i="1"/>
  <c r="Q196" i="1" s="1"/>
  <c r="Q175" i="1"/>
  <c r="Q176" i="1"/>
  <c r="P199" i="1"/>
  <c r="Q172" i="1"/>
  <c r="P183" i="1"/>
  <c r="Q133" i="1"/>
  <c r="Q170" i="1"/>
  <c r="Q193" i="1"/>
  <c r="Q194" i="1" s="1"/>
  <c r="Q140" i="1"/>
  <c r="Q189" i="1"/>
  <c r="Q190" i="1" s="1"/>
  <c r="Q171" i="1"/>
  <c r="Q136" i="1"/>
  <c r="Q137" i="1" s="1"/>
  <c r="Q179" i="1"/>
  <c r="Q178" i="1"/>
  <c r="Q173" i="1"/>
  <c r="Q191" i="1"/>
  <c r="Q192" i="1" s="1"/>
  <c r="Q166" i="1"/>
  <c r="Q187" i="1"/>
  <c r="Q188" i="1" s="1"/>
  <c r="Q197" i="1"/>
  <c r="Q168" i="1"/>
  <c r="P137" i="1"/>
  <c r="Q165" i="1"/>
  <c r="Q181" i="1"/>
  <c r="Q157" i="1"/>
  <c r="Q149" i="1"/>
  <c r="Q150" i="1"/>
  <c r="Q148" i="1"/>
  <c r="Q151" i="1"/>
  <c r="Q154" i="1"/>
  <c r="R178" i="1" l="1"/>
  <c r="R140" i="1"/>
  <c r="AK131" i="1"/>
  <c r="AJ157" i="1"/>
  <c r="AJ155" i="1"/>
  <c r="AJ154" i="1"/>
  <c r="R146" i="1"/>
  <c r="R175" i="1"/>
  <c r="R187" i="1"/>
  <c r="R197" i="1"/>
  <c r="R172" i="1"/>
  <c r="R173" i="1"/>
  <c r="R165" i="1"/>
  <c r="R179" i="1"/>
  <c r="R166" i="1"/>
  <c r="R164" i="1"/>
  <c r="R169" i="1"/>
  <c r="R176" i="1"/>
  <c r="R177" i="1"/>
  <c r="R133" i="1"/>
  <c r="R189" i="1"/>
  <c r="R190" i="1" s="1"/>
  <c r="R174" i="1"/>
  <c r="R167" i="1"/>
  <c r="R193" i="1"/>
  <c r="R194" i="1" s="1"/>
  <c r="R191" i="1"/>
  <c r="R192" i="1" s="1"/>
  <c r="R171" i="1"/>
  <c r="R170" i="1"/>
  <c r="S132" i="1"/>
  <c r="R181" i="1"/>
  <c r="R180" i="1"/>
  <c r="R195" i="1"/>
  <c r="R196" i="1" s="1"/>
  <c r="R168" i="1"/>
  <c r="Q200" i="1"/>
  <c r="Q183" i="1"/>
  <c r="Q199" i="1"/>
  <c r="Q182" i="1"/>
  <c r="Q138" i="1"/>
  <c r="R157" i="1"/>
  <c r="R137" i="1"/>
  <c r="R138" i="1"/>
  <c r="R149" i="1"/>
  <c r="R150" i="1"/>
  <c r="R151" i="1"/>
  <c r="R148" i="1"/>
  <c r="R154" i="1"/>
  <c r="R188" i="1"/>
  <c r="S174" i="1" l="1"/>
  <c r="AL131" i="1"/>
  <c r="AK154" i="1"/>
  <c r="AK157" i="1"/>
  <c r="AK155" i="1"/>
  <c r="S177" i="1"/>
  <c r="S189" i="1"/>
  <c r="S190" i="1" s="1"/>
  <c r="S164" i="1"/>
  <c r="S187" i="1"/>
  <c r="S188" i="1" s="1"/>
  <c r="S146" i="1"/>
  <c r="S175" i="1"/>
  <c r="S180" i="1"/>
  <c r="S197" i="1"/>
  <c r="S169" i="1"/>
  <c r="T132" i="1"/>
  <c r="S176" i="1"/>
  <c r="S181" i="1"/>
  <c r="S165" i="1"/>
  <c r="R182" i="1"/>
  <c r="S171" i="1"/>
  <c r="R183" i="1"/>
  <c r="R199" i="1"/>
  <c r="S167" i="1"/>
  <c r="S178" i="1"/>
  <c r="S173" i="1"/>
  <c r="S172" i="1"/>
  <c r="S191" i="1"/>
  <c r="S192" i="1" s="1"/>
  <c r="R200" i="1"/>
  <c r="S136" i="1"/>
  <c r="S137" i="1" s="1"/>
  <c r="S193" i="1"/>
  <c r="S194" i="1" s="1"/>
  <c r="S140" i="1"/>
  <c r="S133" i="1"/>
  <c r="S166" i="1"/>
  <c r="S168" i="1"/>
  <c r="S179" i="1"/>
  <c r="S195" i="1"/>
  <c r="S196" i="1" s="1"/>
  <c r="S170" i="1"/>
  <c r="T157" i="1"/>
  <c r="S157" i="1"/>
  <c r="S155" i="1"/>
  <c r="S154" i="1"/>
  <c r="S149" i="1"/>
  <c r="S151" i="1"/>
  <c r="S150" i="1"/>
  <c r="S148" i="1"/>
  <c r="T140" i="1" l="1"/>
  <c r="AM131" i="1"/>
  <c r="AL157" i="1"/>
  <c r="AL154" i="1"/>
  <c r="AL155" i="1"/>
  <c r="T177" i="1"/>
  <c r="T180" i="1"/>
  <c r="T181" i="1"/>
  <c r="T133" i="1"/>
  <c r="T195" i="1"/>
  <c r="T196" i="1" s="1"/>
  <c r="T193" i="1"/>
  <c r="T194" i="1" s="1"/>
  <c r="T191" i="1"/>
  <c r="T192" i="1" s="1"/>
  <c r="T172" i="1"/>
  <c r="T189" i="1"/>
  <c r="T190" i="1" s="1"/>
  <c r="T175" i="1"/>
  <c r="T167" i="1"/>
  <c r="T165" i="1"/>
  <c r="T164" i="1"/>
  <c r="T173" i="1"/>
  <c r="T179" i="1"/>
  <c r="T146" i="1"/>
  <c r="T166" i="1"/>
  <c r="T174" i="1"/>
  <c r="T178" i="1"/>
  <c r="T187" i="1"/>
  <c r="T188" i="1" s="1"/>
  <c r="T171" i="1"/>
  <c r="T176" i="1"/>
  <c r="T170" i="1"/>
  <c r="T169" i="1"/>
  <c r="U132" i="1"/>
  <c r="T168" i="1"/>
  <c r="T197" i="1"/>
  <c r="T136" i="1"/>
  <c r="T137" i="1" s="1"/>
  <c r="S183" i="1"/>
  <c r="S138" i="1"/>
  <c r="S182" i="1"/>
  <c r="S199" i="1"/>
  <c r="S200" i="1"/>
  <c r="T154" i="1"/>
  <c r="T155" i="1"/>
  <c r="T149" i="1"/>
  <c r="T151" i="1"/>
  <c r="T148" i="1"/>
  <c r="T150" i="1"/>
  <c r="U197" i="1"/>
  <c r="U193" i="1"/>
  <c r="U194" i="1" s="1"/>
  <c r="U170" i="1"/>
  <c r="U146" i="1" l="1"/>
  <c r="U136" i="1"/>
  <c r="U138" i="1" s="1"/>
  <c r="U133" i="1"/>
  <c r="AN131" i="1"/>
  <c r="AM154" i="1"/>
  <c r="AM157" i="1"/>
  <c r="AM155" i="1"/>
  <c r="T200" i="1"/>
  <c r="T199" i="1"/>
  <c r="T183" i="1"/>
  <c r="T182" i="1"/>
  <c r="U167" i="1"/>
  <c r="U169" i="1"/>
  <c r="U177" i="1"/>
  <c r="U164" i="1"/>
  <c r="V132" i="1"/>
  <c r="U178" i="1"/>
  <c r="U191" i="1"/>
  <c r="U192" i="1" s="1"/>
  <c r="U187" i="1"/>
  <c r="U188" i="1" s="1"/>
  <c r="U180" i="1"/>
  <c r="U189" i="1"/>
  <c r="U190" i="1" s="1"/>
  <c r="U175" i="1"/>
  <c r="U171" i="1"/>
  <c r="U176" i="1"/>
  <c r="U166" i="1"/>
  <c r="U140" i="1"/>
  <c r="U174" i="1"/>
  <c r="U172" i="1"/>
  <c r="U165" i="1"/>
  <c r="U181" i="1"/>
  <c r="U173" i="1"/>
  <c r="U195" i="1"/>
  <c r="U196" i="1" s="1"/>
  <c r="U179" i="1"/>
  <c r="U168" i="1"/>
  <c r="T138" i="1"/>
  <c r="U137" i="1"/>
  <c r="U157" i="1"/>
  <c r="U155" i="1"/>
  <c r="U154" i="1"/>
  <c r="U150" i="1"/>
  <c r="U151" i="1"/>
  <c r="U148" i="1"/>
  <c r="U149" i="1"/>
  <c r="V140" i="1" l="1"/>
  <c r="V169" i="1"/>
  <c r="V174" i="1"/>
  <c r="V172" i="1"/>
  <c r="V189" i="1"/>
  <c r="V190" i="1" s="1"/>
  <c r="V176" i="1"/>
  <c r="U182" i="1"/>
  <c r="V180" i="1"/>
  <c r="V187" i="1"/>
  <c r="V188" i="1" s="1"/>
  <c r="V166" i="1"/>
  <c r="V173" i="1"/>
  <c r="V146" i="1"/>
  <c r="V191" i="1"/>
  <c r="V192" i="1" s="1"/>
  <c r="V178" i="1"/>
  <c r="V175" i="1"/>
  <c r="V181" i="1"/>
  <c r="V167" i="1"/>
  <c r="V171" i="1"/>
  <c r="V193" i="1"/>
  <c r="V194" i="1" s="1"/>
  <c r="V179" i="1"/>
  <c r="W132" i="1"/>
  <c r="W178" i="1" s="1"/>
  <c r="V164" i="1"/>
  <c r="V136" i="1"/>
  <c r="V138" i="1" s="1"/>
  <c r="U183" i="1"/>
  <c r="V177" i="1"/>
  <c r="V170" i="1"/>
  <c r="V195" i="1"/>
  <c r="V196" i="1" s="1"/>
  <c r="V165" i="1"/>
  <c r="V168" i="1"/>
  <c r="V197" i="1"/>
  <c r="V133" i="1"/>
  <c r="U199" i="1"/>
  <c r="U200" i="1"/>
  <c r="V157" i="1"/>
  <c r="V155" i="1"/>
  <c r="V154" i="1"/>
  <c r="V151" i="1"/>
  <c r="V148" i="1"/>
  <c r="V150" i="1"/>
  <c r="V149" i="1"/>
  <c r="W191" i="1" l="1"/>
  <c r="W192" i="1" s="1"/>
  <c r="W176" i="1"/>
  <c r="W133" i="1"/>
  <c r="W169" i="1"/>
  <c r="W195" i="1"/>
  <c r="W196" i="1" s="1"/>
  <c r="V137" i="1"/>
  <c r="W197" i="1"/>
  <c r="W181" i="1"/>
  <c r="W171" i="1"/>
  <c r="W172" i="1"/>
  <c r="W170" i="1"/>
  <c r="W167" i="1"/>
  <c r="W180" i="1"/>
  <c r="W164" i="1"/>
  <c r="V199" i="1"/>
  <c r="V182" i="1"/>
  <c r="W174" i="1"/>
  <c r="W179" i="1"/>
  <c r="W146" i="1"/>
  <c r="W177" i="1"/>
  <c r="W140" i="1"/>
  <c r="W168" i="1"/>
  <c r="W166" i="1"/>
  <c r="X132" i="1"/>
  <c r="X197" i="1" s="1"/>
  <c r="W165" i="1"/>
  <c r="W136" i="1"/>
  <c r="W138" i="1" s="1"/>
  <c r="W175" i="1"/>
  <c r="W193" i="1"/>
  <c r="W194" i="1" s="1"/>
  <c r="W173" i="1"/>
  <c r="V183" i="1"/>
  <c r="V200" i="1"/>
  <c r="W189" i="1"/>
  <c r="W190" i="1" s="1"/>
  <c r="W187" i="1"/>
  <c r="W188" i="1" s="1"/>
  <c r="W155" i="1"/>
  <c r="W157" i="1"/>
  <c r="W148" i="1"/>
  <c r="W150" i="1"/>
  <c r="W154" i="1"/>
  <c r="W149" i="1"/>
  <c r="W151" i="1"/>
  <c r="X172" i="1" l="1"/>
  <c r="X189" i="1"/>
  <c r="X190" i="1" s="1"/>
  <c r="X178" i="1"/>
  <c r="X171" i="1"/>
  <c r="X168" i="1"/>
  <c r="X140" i="1"/>
  <c r="X174" i="1"/>
  <c r="X191" i="1"/>
  <c r="X192" i="1" s="1"/>
  <c r="X176" i="1"/>
  <c r="X175" i="1"/>
  <c r="X179" i="1"/>
  <c r="X166" i="1"/>
  <c r="X136" i="1"/>
  <c r="X137" i="1" s="1"/>
  <c r="X193" i="1"/>
  <c r="X194" i="1" s="1"/>
  <c r="X133" i="1"/>
  <c r="W183" i="1"/>
  <c r="W182" i="1"/>
  <c r="X164" i="1"/>
  <c r="X165" i="1"/>
  <c r="X173" i="1"/>
  <c r="X169" i="1"/>
  <c r="X167" i="1"/>
  <c r="X170" i="1"/>
  <c r="W137" i="1"/>
  <c r="X180" i="1"/>
  <c r="Y132" i="1"/>
  <c r="X195" i="1"/>
  <c r="X196" i="1" s="1"/>
  <c r="W199" i="1"/>
  <c r="X187" i="1"/>
  <c r="X188" i="1" s="1"/>
  <c r="X177" i="1"/>
  <c r="X181" i="1"/>
  <c r="X146" i="1"/>
  <c r="W200" i="1"/>
  <c r="X155" i="1"/>
  <c r="X157" i="1"/>
  <c r="X148" i="1"/>
  <c r="X150" i="1"/>
  <c r="X151" i="1"/>
  <c r="X154" i="1"/>
  <c r="X149" i="1"/>
  <c r="Y140" i="1" l="1"/>
  <c r="X138" i="1"/>
  <c r="X183" i="1"/>
  <c r="X182" i="1"/>
  <c r="Y165" i="1"/>
  <c r="Y166" i="1"/>
  <c r="Y178" i="1"/>
  <c r="Y181" i="1"/>
  <c r="Y164" i="1"/>
  <c r="Y175" i="1"/>
  <c r="Y197" i="1"/>
  <c r="Y173" i="1"/>
  <c r="Y170" i="1"/>
  <c r="Y168" i="1"/>
  <c r="Y189" i="1"/>
  <c r="Y190" i="1" s="1"/>
  <c r="Y171" i="1"/>
  <c r="Y167" i="1"/>
  <c r="Y177" i="1"/>
  <c r="Y174" i="1"/>
  <c r="Y169" i="1"/>
  <c r="Y133" i="1"/>
  <c r="Z132" i="1"/>
  <c r="Y136" i="1"/>
  <c r="Y137" i="1" s="1"/>
  <c r="Y191" i="1"/>
  <c r="Y192" i="1" s="1"/>
  <c r="Y176" i="1"/>
  <c r="Y146" i="1"/>
  <c r="Y180" i="1"/>
  <c r="X200" i="1"/>
  <c r="X199" i="1"/>
  <c r="Y187" i="1"/>
  <c r="Y188" i="1" s="1"/>
  <c r="Y172" i="1"/>
  <c r="Y179" i="1"/>
  <c r="Y195" i="1"/>
  <c r="Y196" i="1" s="1"/>
  <c r="Y193" i="1"/>
  <c r="Y194" i="1" s="1"/>
  <c r="Y155" i="1"/>
  <c r="Y157" i="1"/>
  <c r="Y151" i="1"/>
  <c r="Y150" i="1"/>
  <c r="Y148" i="1"/>
  <c r="Y154" i="1"/>
  <c r="Y149" i="1"/>
  <c r="Z140" i="1" l="1"/>
  <c r="Z171" i="1"/>
  <c r="Z170" i="1"/>
  <c r="Z172" i="1"/>
  <c r="Z176" i="1"/>
  <c r="AD132" i="1"/>
  <c r="AD166" i="1" s="1"/>
  <c r="Z167" i="1"/>
  <c r="Z146" i="1"/>
  <c r="Z169" i="1"/>
  <c r="Z195" i="1"/>
  <c r="Z196" i="1" s="1"/>
  <c r="Z175" i="1"/>
  <c r="Z133" i="1"/>
  <c r="Z173" i="1"/>
  <c r="Z189" i="1"/>
  <c r="Z190" i="1" s="1"/>
  <c r="Z136" i="1"/>
  <c r="Z137" i="1" s="1"/>
  <c r="Z165" i="1"/>
  <c r="Z197" i="1"/>
  <c r="Z191" i="1"/>
  <c r="Z192" i="1" s="1"/>
  <c r="Z193" i="1"/>
  <c r="Z194" i="1" s="1"/>
  <c r="Z177" i="1"/>
  <c r="Y183" i="1"/>
  <c r="Z179" i="1"/>
  <c r="Z178" i="1"/>
  <c r="Z180" i="1"/>
  <c r="Z174" i="1"/>
  <c r="Z164" i="1"/>
  <c r="Z181" i="1"/>
  <c r="Y182" i="1"/>
  <c r="Y138" i="1"/>
  <c r="Y200" i="1"/>
  <c r="Y199" i="1"/>
  <c r="Z166" i="1"/>
  <c r="Z168" i="1"/>
  <c r="Z187" i="1"/>
  <c r="Z188" i="1" s="1"/>
  <c r="Z155" i="1"/>
  <c r="S141" i="1" s="1"/>
  <c r="Z157" i="1"/>
  <c r="Z151" i="1"/>
  <c r="Z148" i="1"/>
  <c r="Z150" i="1"/>
  <c r="Z154" i="1"/>
  <c r="Z149" i="1"/>
  <c r="AD173" i="1"/>
  <c r="AD171" i="1"/>
  <c r="AD176" i="1"/>
  <c r="AD193" i="1" l="1"/>
  <c r="AD194" i="1" s="1"/>
  <c r="AD167" i="1"/>
  <c r="V142" i="1"/>
  <c r="V143" i="1" s="1"/>
  <c r="AD195" i="1"/>
  <c r="AD196" i="1" s="1"/>
  <c r="AD164" i="1"/>
  <c r="AD174" i="1"/>
  <c r="AD179" i="1"/>
  <c r="Y139" i="1"/>
  <c r="AD189" i="1"/>
  <c r="AD190" i="1" s="1"/>
  <c r="AD178" i="1"/>
  <c r="AD181" i="1"/>
  <c r="AD168" i="1"/>
  <c r="AD180" i="1"/>
  <c r="AD133" i="1"/>
  <c r="AD140" i="1"/>
  <c r="AD165" i="1"/>
  <c r="AD177" i="1"/>
  <c r="AD169" i="1"/>
  <c r="AD136" i="1"/>
  <c r="AD137" i="1" s="1"/>
  <c r="AD175" i="1"/>
  <c r="AD191" i="1"/>
  <c r="AD192" i="1" s="1"/>
  <c r="AD197" i="1"/>
  <c r="AD170" i="1"/>
  <c r="AE132" i="1"/>
  <c r="AE177" i="1" s="1"/>
  <c r="U144" i="1"/>
  <c r="U145" i="1" s="1"/>
  <c r="AB132" i="1"/>
  <c r="AD172" i="1"/>
  <c r="AD187" i="1"/>
  <c r="AD146" i="1"/>
  <c r="V141" i="1"/>
  <c r="AA132" i="1"/>
  <c r="U139" i="1"/>
  <c r="AC132" i="1"/>
  <c r="S144" i="1"/>
  <c r="S145" i="1" s="1"/>
  <c r="AA147" i="1"/>
  <c r="AA144" i="1"/>
  <c r="AA145" i="1" s="1"/>
  <c r="AB147" i="1"/>
  <c r="AC147" i="1"/>
  <c r="Q144" i="1"/>
  <c r="Q145" i="1" s="1"/>
  <c r="Z200" i="1"/>
  <c r="Z183" i="1"/>
  <c r="Z138" i="1"/>
  <c r="T141" i="1"/>
  <c r="R144" i="1"/>
  <c r="R145" i="1" s="1"/>
  <c r="V144" i="1"/>
  <c r="V145" i="1" s="1"/>
  <c r="R139" i="1"/>
  <c r="Q142" i="1"/>
  <c r="Q143" i="1" s="1"/>
  <c r="Q139" i="1"/>
  <c r="R141" i="1"/>
  <c r="P139" i="1"/>
  <c r="R142" i="1"/>
  <c r="R143" i="1" s="1"/>
  <c r="T142" i="1"/>
  <c r="T143" i="1" s="1"/>
  <c r="T144" i="1"/>
  <c r="T145" i="1" s="1"/>
  <c r="P141" i="1"/>
  <c r="O142" i="1"/>
  <c r="U141" i="1"/>
  <c r="P142" i="1"/>
  <c r="P143" i="1" s="1"/>
  <c r="Q141" i="1"/>
  <c r="P144" i="1"/>
  <c r="P145" i="1" s="1"/>
  <c r="X139" i="1"/>
  <c r="W139" i="1"/>
  <c r="Z147" i="1"/>
  <c r="N142" i="1"/>
  <c r="S142" i="1"/>
  <c r="S143" i="1" s="1"/>
  <c r="V139" i="1"/>
  <c r="Z182" i="1"/>
  <c r="Y147" i="1"/>
  <c r="M142" i="1"/>
  <c r="M143" i="1" s="1"/>
  <c r="M134" i="1" s="1"/>
  <c r="M135" i="1" s="1"/>
  <c r="X147" i="1"/>
  <c r="U142" i="1"/>
  <c r="U143" i="1" s="1"/>
  <c r="T139" i="1"/>
  <c r="S139" i="1"/>
  <c r="Z199" i="1"/>
  <c r="AD155" i="1"/>
  <c r="AD148" i="1"/>
  <c r="AD150" i="1"/>
  <c r="AD154" i="1"/>
  <c r="AD149" i="1"/>
  <c r="AD151" i="1"/>
  <c r="AD188" i="1"/>
  <c r="AE167" i="1" l="1"/>
  <c r="AE179" i="1"/>
  <c r="AE146" i="1"/>
  <c r="AF132" i="1"/>
  <c r="AE178" i="1"/>
  <c r="AD138" i="1"/>
  <c r="AE181" i="1"/>
  <c r="AE193" i="1"/>
  <c r="AE194" i="1" s="1"/>
  <c r="AE168" i="1"/>
  <c r="AE164" i="1"/>
  <c r="AE189" i="1"/>
  <c r="AE190" i="1" s="1"/>
  <c r="AE172" i="1"/>
  <c r="AE174" i="1"/>
  <c r="AE133" i="1"/>
  <c r="AE195" i="1"/>
  <c r="AE196" i="1" s="1"/>
  <c r="AE191" i="1"/>
  <c r="AE192" i="1" s="1"/>
  <c r="AE197" i="1"/>
  <c r="AE180" i="1"/>
  <c r="AE165" i="1"/>
  <c r="AE166" i="1"/>
  <c r="AE173" i="1"/>
  <c r="AE140" i="1"/>
  <c r="AE187" i="1"/>
  <c r="AE188" i="1" s="1"/>
  <c r="AE170" i="1"/>
  <c r="AD182" i="1"/>
  <c r="AD183" i="1"/>
  <c r="AE176" i="1"/>
  <c r="AD199" i="1"/>
  <c r="AE136" i="1"/>
  <c r="AE137" i="1" s="1"/>
  <c r="AE169" i="1"/>
  <c r="AE171" i="1"/>
  <c r="AE175" i="1"/>
  <c r="AD200" i="1"/>
  <c r="AB189" i="1"/>
  <c r="AB190" i="1" s="1"/>
  <c r="AB195" i="1"/>
  <c r="AB196" i="1" s="1"/>
  <c r="AB191" i="1"/>
  <c r="AB192" i="1" s="1"/>
  <c r="AB146" i="1"/>
  <c r="AB133" i="1"/>
  <c r="AB136" i="1"/>
  <c r="AB187" i="1"/>
  <c r="AB140" i="1"/>
  <c r="AB197" i="1"/>
  <c r="AB193" i="1"/>
  <c r="AB194" i="1" s="1"/>
  <c r="AB167" i="1"/>
  <c r="AB166" i="1"/>
  <c r="AB175" i="1"/>
  <c r="AB168" i="1"/>
  <c r="AB172" i="1"/>
  <c r="AB174" i="1"/>
  <c r="AB178" i="1"/>
  <c r="AB169" i="1"/>
  <c r="AB173" i="1"/>
  <c r="AB179" i="1"/>
  <c r="AB180" i="1"/>
  <c r="AB176" i="1"/>
  <c r="AB164" i="1"/>
  <c r="AB170" i="1"/>
  <c r="AB181" i="1"/>
  <c r="AB177" i="1"/>
  <c r="AB171" i="1"/>
  <c r="AB165" i="1"/>
  <c r="AC189" i="1"/>
  <c r="AC190" i="1" s="1"/>
  <c r="AC195" i="1"/>
  <c r="AC196" i="1" s="1"/>
  <c r="AC136" i="1"/>
  <c r="AC191" i="1"/>
  <c r="AC192" i="1" s="1"/>
  <c r="AC193" i="1"/>
  <c r="AC194" i="1" s="1"/>
  <c r="AC187" i="1"/>
  <c r="AC140" i="1"/>
  <c r="AC197" i="1"/>
  <c r="AC146" i="1"/>
  <c r="AC133" i="1"/>
  <c r="AC166" i="1"/>
  <c r="AC167" i="1"/>
  <c r="AC178" i="1"/>
  <c r="AC179" i="1"/>
  <c r="AC168" i="1"/>
  <c r="AC172" i="1"/>
  <c r="AC164" i="1"/>
  <c r="AC175" i="1"/>
  <c r="AC174" i="1"/>
  <c r="AC169" i="1"/>
  <c r="AC173" i="1"/>
  <c r="AC171" i="1"/>
  <c r="AC180" i="1"/>
  <c r="AC176" i="1"/>
  <c r="AC170" i="1"/>
  <c r="AC181" i="1"/>
  <c r="AC177" i="1"/>
  <c r="AC165" i="1"/>
  <c r="AA133" i="1"/>
  <c r="AA140" i="1"/>
  <c r="AA141" i="1" s="1"/>
  <c r="AA187" i="1"/>
  <c r="AA136" i="1"/>
  <c r="AA197" i="1"/>
  <c r="AA193" i="1"/>
  <c r="AA194" i="1" s="1"/>
  <c r="AA146" i="1"/>
  <c r="AA189" i="1"/>
  <c r="AA190" i="1" s="1"/>
  <c r="AA195" i="1"/>
  <c r="AA196" i="1" s="1"/>
  <c r="AA191" i="1"/>
  <c r="AA192" i="1" s="1"/>
  <c r="AA166" i="1"/>
  <c r="AA167" i="1"/>
  <c r="AA168" i="1"/>
  <c r="AA172" i="1"/>
  <c r="AA174" i="1"/>
  <c r="AA178" i="1"/>
  <c r="AA169" i="1"/>
  <c r="AA173" i="1"/>
  <c r="AA179" i="1"/>
  <c r="AA175" i="1"/>
  <c r="AA176" i="1"/>
  <c r="AA164" i="1"/>
  <c r="AA170" i="1"/>
  <c r="AA181" i="1"/>
  <c r="AA177" i="1"/>
  <c r="AA165" i="1"/>
  <c r="AA180" i="1"/>
  <c r="AA171" i="1"/>
  <c r="U134" i="1"/>
  <c r="U135" i="1" s="1"/>
  <c r="Q134" i="1"/>
  <c r="Q135" i="1" s="1"/>
  <c r="S134" i="1"/>
  <c r="S135" i="1" s="1"/>
  <c r="T134" i="1"/>
  <c r="T135" i="1" s="1"/>
  <c r="R134" i="1"/>
  <c r="R135" i="1" s="1"/>
  <c r="P134" i="1"/>
  <c r="P135" i="1" s="1"/>
  <c r="V134" i="1"/>
  <c r="V135" i="1" s="1"/>
  <c r="N143" i="1"/>
  <c r="N134" i="1" s="1"/>
  <c r="N135" i="1" s="1"/>
  <c r="O143" i="1"/>
  <c r="O134" i="1" s="1"/>
  <c r="O135" i="1" s="1"/>
  <c r="AF136" i="1"/>
  <c r="AF138" i="1" s="1"/>
  <c r="AF140" i="1"/>
  <c r="AE157" i="1"/>
  <c r="AE155" i="1"/>
  <c r="AE138" i="1"/>
  <c r="AE154" i="1"/>
  <c r="AE149" i="1"/>
  <c r="AE148" i="1"/>
  <c r="AE150" i="1"/>
  <c r="AE151" i="1"/>
  <c r="AF146" i="1"/>
  <c r="AG132" i="1"/>
  <c r="AF187" i="1"/>
  <c r="AF193" i="1"/>
  <c r="AF194" i="1" s="1"/>
  <c r="AF189" i="1"/>
  <c r="AF190" i="1" s="1"/>
  <c r="AF133" i="1"/>
  <c r="AF195" i="1"/>
  <c r="AF196" i="1" s="1"/>
  <c r="AF191" i="1"/>
  <c r="AF192" i="1" s="1"/>
  <c r="AF197" i="1"/>
  <c r="AF166" i="1"/>
  <c r="AF167" i="1"/>
  <c r="AF173" i="1"/>
  <c r="AF168" i="1"/>
  <c r="AF181" i="1"/>
  <c r="AF172" i="1"/>
  <c r="AF180" i="1"/>
  <c r="AF178" i="1"/>
  <c r="AF164" i="1"/>
  <c r="AF169" i="1"/>
  <c r="AF179" i="1"/>
  <c r="AF174" i="1"/>
  <c r="AF165" i="1"/>
  <c r="AF175" i="1"/>
  <c r="AF176" i="1"/>
  <c r="AF170" i="1"/>
  <c r="AF177" i="1"/>
  <c r="AF171" i="1"/>
  <c r="AE199" i="1" l="1"/>
  <c r="AE182" i="1"/>
  <c r="AE200" i="1"/>
  <c r="AE183" i="1"/>
  <c r="AC183" i="1"/>
  <c r="AA183" i="1"/>
  <c r="AA137" i="1"/>
  <c r="AA138" i="1"/>
  <c r="AA139" i="1" s="1"/>
  <c r="AA199" i="1"/>
  <c r="AA188" i="1"/>
  <c r="AA200" i="1" s="1"/>
  <c r="AB182" i="1"/>
  <c r="AC188" i="1"/>
  <c r="AC200" i="1" s="1"/>
  <c r="AC199" i="1"/>
  <c r="AC182" i="1"/>
  <c r="AC137" i="1"/>
  <c r="AC138" i="1"/>
  <c r="AB188" i="1"/>
  <c r="AB200" i="1" s="1"/>
  <c r="AB199" i="1"/>
  <c r="AA182" i="1"/>
  <c r="AB137" i="1"/>
  <c r="AB138" i="1"/>
  <c r="AB183" i="1"/>
  <c r="Z139" i="1"/>
  <c r="X141" i="1"/>
  <c r="Y141" i="1"/>
  <c r="Z141" i="1"/>
  <c r="W141" i="1"/>
  <c r="W144" i="1"/>
  <c r="W145" i="1" s="1"/>
  <c r="W142" i="1"/>
  <c r="W143" i="1" s="1"/>
  <c r="X142" i="1"/>
  <c r="X143" i="1" s="1"/>
  <c r="X144" i="1"/>
  <c r="X145" i="1" s="1"/>
  <c r="Y144" i="1"/>
  <c r="Y145" i="1" s="1"/>
  <c r="Y142" i="1"/>
  <c r="Y143" i="1" s="1"/>
  <c r="Z144" i="1"/>
  <c r="Z145" i="1" s="1"/>
  <c r="AD147" i="1"/>
  <c r="AG136" i="1"/>
  <c r="AG138" i="1" s="1"/>
  <c r="AG140" i="1"/>
  <c r="AF155" i="1"/>
  <c r="AF157" i="1"/>
  <c r="AF137" i="1"/>
  <c r="AF149" i="1"/>
  <c r="AF150" i="1"/>
  <c r="AF148" i="1"/>
  <c r="AF151" i="1"/>
  <c r="AF154" i="1"/>
  <c r="AG146" i="1"/>
  <c r="AF188" i="1"/>
  <c r="AF200" i="1" s="1"/>
  <c r="AF199" i="1"/>
  <c r="AF182" i="1"/>
  <c r="AF183" i="1"/>
  <c r="AG187" i="1"/>
  <c r="AG193" i="1"/>
  <c r="AG194" i="1" s="1"/>
  <c r="AG195" i="1"/>
  <c r="AG196" i="1" s="1"/>
  <c r="AG191" i="1"/>
  <c r="AG192" i="1" s="1"/>
  <c r="AG197" i="1"/>
  <c r="AG189" i="1"/>
  <c r="AG190" i="1" s="1"/>
  <c r="AG167" i="1"/>
  <c r="AH132" i="1"/>
  <c r="D128" i="1" s="1"/>
  <c r="AG133" i="1"/>
  <c r="AG166" i="1"/>
  <c r="AG172" i="1"/>
  <c r="AG168" i="1"/>
  <c r="AG181" i="1"/>
  <c r="AG165" i="1"/>
  <c r="AG173" i="1"/>
  <c r="AG169" i="1"/>
  <c r="AG175" i="1"/>
  <c r="AG180" i="1"/>
  <c r="AG171" i="1"/>
  <c r="AG164" i="1"/>
  <c r="AG174" i="1"/>
  <c r="AG176" i="1"/>
  <c r="AG170" i="1"/>
  <c r="AG179" i="1"/>
  <c r="AG178" i="1"/>
  <c r="AG177" i="1"/>
  <c r="AH136" i="1" l="1"/>
  <c r="AH138" i="1" s="1"/>
  <c r="AH176" i="1"/>
  <c r="AI132" i="1"/>
  <c r="Y134" i="1"/>
  <c r="Y135" i="1" s="1"/>
  <c r="X134" i="1"/>
  <c r="X135" i="1" s="1"/>
  <c r="W134" i="1"/>
  <c r="W135" i="1" s="1"/>
  <c r="AG155" i="1"/>
  <c r="AG157" i="1"/>
  <c r="AH146" i="1"/>
  <c r="AH140" i="1"/>
  <c r="AG137" i="1"/>
  <c r="AG150" i="1"/>
  <c r="AG149" i="1"/>
  <c r="AG148" i="1"/>
  <c r="AG151" i="1"/>
  <c r="AG154" i="1"/>
  <c r="AG183" i="1"/>
  <c r="AG199" i="1"/>
  <c r="AG188" i="1"/>
  <c r="AG200" i="1" s="1"/>
  <c r="AG182" i="1"/>
  <c r="AH191" i="1"/>
  <c r="AH192" i="1" s="1"/>
  <c r="AH187" i="1"/>
  <c r="AH193" i="1"/>
  <c r="AH194" i="1" s="1"/>
  <c r="AH189" i="1"/>
  <c r="AH190" i="1" s="1"/>
  <c r="AH195" i="1"/>
  <c r="AH196" i="1" s="1"/>
  <c r="AH197" i="1"/>
  <c r="AH167" i="1"/>
  <c r="AH166" i="1"/>
  <c r="AH177" i="1"/>
  <c r="AH171" i="1"/>
  <c r="AH174" i="1"/>
  <c r="AH165" i="1"/>
  <c r="AH172" i="1"/>
  <c r="AH170" i="1"/>
  <c r="AH178" i="1"/>
  <c r="AH175" i="1"/>
  <c r="AH180" i="1"/>
  <c r="AH173" i="1"/>
  <c r="AH168" i="1"/>
  <c r="AH133" i="1"/>
  <c r="AH164" i="1"/>
  <c r="AH181" i="1"/>
  <c r="AH169" i="1"/>
  <c r="AH179" i="1"/>
  <c r="AH137" i="1" l="1"/>
  <c r="AI136" i="1"/>
  <c r="AI138" i="1" s="1"/>
  <c r="AI191" i="1"/>
  <c r="AI192" i="1" s="1"/>
  <c r="AI195" i="1"/>
  <c r="AI196" i="1" s="1"/>
  <c r="AI164" i="1"/>
  <c r="AI166" i="1"/>
  <c r="AI168" i="1"/>
  <c r="AI170" i="1"/>
  <c r="AI172" i="1"/>
  <c r="AI174" i="1"/>
  <c r="AI176" i="1"/>
  <c r="AI178" i="1"/>
  <c r="AI180" i="1"/>
  <c r="AI189" i="1"/>
  <c r="AI190" i="1" s="1"/>
  <c r="AI187" i="1"/>
  <c r="AI193" i="1"/>
  <c r="AI194" i="1" s="1"/>
  <c r="AI197" i="1"/>
  <c r="AI165" i="1"/>
  <c r="AI167" i="1"/>
  <c r="AI169" i="1"/>
  <c r="AI171" i="1"/>
  <c r="AI173" i="1"/>
  <c r="AI175" i="1"/>
  <c r="AI177" i="1"/>
  <c r="AI179" i="1"/>
  <c r="AI181" i="1"/>
  <c r="AJ132" i="1"/>
  <c r="AI133" i="1"/>
  <c r="AI140" i="1"/>
  <c r="AI146" i="1"/>
  <c r="AH155" i="1"/>
  <c r="AH157" i="1"/>
  <c r="AM147" i="1" s="1"/>
  <c r="AH151" i="1"/>
  <c r="AH148" i="1"/>
  <c r="AH154" i="1"/>
  <c r="AH149" i="1"/>
  <c r="AH150" i="1"/>
  <c r="AH183" i="1"/>
  <c r="AH182" i="1"/>
  <c r="AH188" i="1"/>
  <c r="AH200" i="1" s="1"/>
  <c r="AH199" i="1"/>
  <c r="AA142" i="1" l="1"/>
  <c r="AB144" i="1"/>
  <c r="AB145" i="1" s="1"/>
  <c r="AB141" i="1"/>
  <c r="AB139" i="1"/>
  <c r="AI141" i="1"/>
  <c r="AD141" i="1"/>
  <c r="AE141" i="1"/>
  <c r="AF141" i="1"/>
  <c r="AC141" i="1"/>
  <c r="AG141" i="1"/>
  <c r="AH141" i="1"/>
  <c r="AF139" i="1"/>
  <c r="AC142" i="1"/>
  <c r="AC139" i="1"/>
  <c r="AC144" i="1"/>
  <c r="AC145" i="1" s="1"/>
  <c r="AB142" i="1"/>
  <c r="AG139" i="1"/>
  <c r="AI147" i="1"/>
  <c r="AD139" i="1"/>
  <c r="AE139" i="1"/>
  <c r="AD144" i="1"/>
  <c r="AD145" i="1" s="1"/>
  <c r="AE147" i="1"/>
  <c r="AK142" i="1"/>
  <c r="AL142" i="1"/>
  <c r="AL144" i="1"/>
  <c r="AL145" i="1" s="1"/>
  <c r="AI139" i="1"/>
  <c r="AH139" i="1"/>
  <c r="AI182" i="1"/>
  <c r="AI183" i="1"/>
  <c r="AJ197" i="1"/>
  <c r="AJ165" i="1"/>
  <c r="AJ167" i="1"/>
  <c r="AJ169" i="1"/>
  <c r="AJ171" i="1"/>
  <c r="AJ173" i="1"/>
  <c r="AJ175" i="1"/>
  <c r="AJ177" i="1"/>
  <c r="AJ179" i="1"/>
  <c r="AJ181" i="1"/>
  <c r="AJ136" i="1"/>
  <c r="AJ191" i="1"/>
  <c r="AJ192" i="1" s="1"/>
  <c r="AJ195" i="1"/>
  <c r="AJ196" i="1" s="1"/>
  <c r="AJ164" i="1"/>
  <c r="AJ166" i="1"/>
  <c r="AJ168" i="1"/>
  <c r="AJ170" i="1"/>
  <c r="AJ172" i="1"/>
  <c r="AJ174" i="1"/>
  <c r="AJ176" i="1"/>
  <c r="AJ178" i="1"/>
  <c r="AJ180" i="1"/>
  <c r="AJ189" i="1"/>
  <c r="AJ190" i="1" s="1"/>
  <c r="AJ187" i="1"/>
  <c r="AJ193" i="1"/>
  <c r="AJ194" i="1" s="1"/>
  <c r="AI188" i="1"/>
  <c r="AI200" i="1" s="1"/>
  <c r="AI199" i="1"/>
  <c r="AI137" i="1"/>
  <c r="AI144" i="1"/>
  <c r="AI145" i="1" s="1"/>
  <c r="AJ147" i="1"/>
  <c r="AL147" i="1"/>
  <c r="AK147" i="1"/>
  <c r="AJ133" i="1"/>
  <c r="AJ146" i="1"/>
  <c r="AJ140" i="1"/>
  <c r="AJ141" i="1" s="1"/>
  <c r="AK132" i="1"/>
  <c r="AK144" i="1"/>
  <c r="AK145" i="1" s="1"/>
  <c r="AI142" i="1"/>
  <c r="AJ144" i="1"/>
  <c r="AJ145" i="1" s="1"/>
  <c r="AJ142" i="1"/>
  <c r="Z142" i="1"/>
  <c r="Z143" i="1" s="1"/>
  <c r="AF147" i="1"/>
  <c r="AG147" i="1"/>
  <c r="AH147" i="1"/>
  <c r="AH142" i="1"/>
  <c r="AN155" i="1"/>
  <c r="AN157" i="1"/>
  <c r="AN142" i="1" s="1"/>
  <c r="AN151" i="1"/>
  <c r="AN148" i="1"/>
  <c r="AN154" i="1"/>
  <c r="AO131" i="1"/>
  <c r="AN150" i="1"/>
  <c r="AN149" i="1"/>
  <c r="AA143" i="1" l="1"/>
  <c r="AA134" i="1" s="1"/>
  <c r="AA135" i="1" s="1"/>
  <c r="AC143" i="1"/>
  <c r="AC134" i="1" s="1"/>
  <c r="AC135" i="1" s="1"/>
  <c r="AB143" i="1"/>
  <c r="AB134" i="1" s="1"/>
  <c r="AB135" i="1" s="1"/>
  <c r="AL143" i="1"/>
  <c r="AK143" i="1"/>
  <c r="AM144" i="1"/>
  <c r="AM145" i="1" s="1"/>
  <c r="AN139" i="1"/>
  <c r="AJ183" i="1"/>
  <c r="AJ182" i="1"/>
  <c r="AJ188" i="1"/>
  <c r="AJ200" i="1" s="1"/>
  <c r="AJ199" i="1"/>
  <c r="AK187" i="1"/>
  <c r="AK193" i="1"/>
  <c r="AK194" i="1" s="1"/>
  <c r="AK178" i="1"/>
  <c r="AK197" i="1"/>
  <c r="AK165" i="1"/>
  <c r="AK167" i="1"/>
  <c r="AK169" i="1"/>
  <c r="AK171" i="1"/>
  <c r="AK173" i="1"/>
  <c r="AK175" i="1"/>
  <c r="AK177" i="1"/>
  <c r="AK179" i="1"/>
  <c r="AK181" i="1"/>
  <c r="AK168" i="1"/>
  <c r="AK180" i="1"/>
  <c r="AK164" i="1"/>
  <c r="AK172" i="1"/>
  <c r="AK191" i="1"/>
  <c r="AK192" i="1" s="1"/>
  <c r="AK195" i="1"/>
  <c r="AK196" i="1" s="1"/>
  <c r="AK170" i="1"/>
  <c r="AK166" i="1"/>
  <c r="AK189" i="1"/>
  <c r="AK190" i="1" s="1"/>
  <c r="AK176" i="1"/>
  <c r="AK174" i="1"/>
  <c r="AJ137" i="1"/>
  <c r="AJ138" i="1"/>
  <c r="AJ139" i="1" s="1"/>
  <c r="AI143" i="1"/>
  <c r="AI134" i="1" s="1"/>
  <c r="AI135" i="1" s="1"/>
  <c r="Z134" i="1"/>
  <c r="Z135" i="1" s="1"/>
  <c r="AJ143" i="1"/>
  <c r="AJ134" i="1" s="1"/>
  <c r="AJ135" i="1" s="1"/>
  <c r="AK133" i="1"/>
  <c r="AK140" i="1"/>
  <c r="AK146" i="1"/>
  <c r="AL132" i="1"/>
  <c r="AH144" i="1"/>
  <c r="AH145" i="1" s="1"/>
  <c r="AH143" i="1" s="1"/>
  <c r="AF142" i="1"/>
  <c r="AN147" i="1"/>
  <c r="AD142" i="1"/>
  <c r="AD143" i="1" s="1"/>
  <c r="AE142" i="1"/>
  <c r="AG144" i="1"/>
  <c r="AG145" i="1" s="1"/>
  <c r="AE144" i="1"/>
  <c r="AE145" i="1" s="1"/>
  <c r="AG142" i="1"/>
  <c r="AF144" i="1"/>
  <c r="AF145" i="1" s="1"/>
  <c r="AN141" i="1"/>
  <c r="AN144" i="1"/>
  <c r="AN145" i="1" s="1"/>
  <c r="AN143" i="1" s="1"/>
  <c r="AO155" i="1"/>
  <c r="AM142" i="1" s="1"/>
  <c r="AO154" i="1"/>
  <c r="AO157" i="1"/>
  <c r="AO147" i="1" s="1"/>
  <c r="AN134" i="1" l="1"/>
  <c r="AN135" i="1" s="1"/>
  <c r="AM143" i="1"/>
  <c r="AK182" i="1"/>
  <c r="AK183" i="1"/>
  <c r="AK188" i="1"/>
  <c r="AK200" i="1" s="1"/>
  <c r="AK199" i="1"/>
  <c r="AK137" i="1"/>
  <c r="AK138" i="1"/>
  <c r="AK139" i="1" s="1"/>
  <c r="AL187" i="1"/>
  <c r="AL193" i="1"/>
  <c r="AL194" i="1" s="1"/>
  <c r="AL191" i="1"/>
  <c r="AL192" i="1" s="1"/>
  <c r="AL197" i="1"/>
  <c r="AL165" i="1"/>
  <c r="AL167" i="1"/>
  <c r="AL169" i="1"/>
  <c r="AL171" i="1"/>
  <c r="AL173" i="1"/>
  <c r="AL175" i="1"/>
  <c r="AL177" i="1"/>
  <c r="AL179" i="1"/>
  <c r="AL181" i="1"/>
  <c r="AL195" i="1"/>
  <c r="AL196" i="1" s="1"/>
  <c r="AL164" i="1"/>
  <c r="AL166" i="1"/>
  <c r="AL168" i="1"/>
  <c r="AL170" i="1"/>
  <c r="AL172" i="1"/>
  <c r="AL174" i="1"/>
  <c r="AL176" i="1"/>
  <c r="AL178" i="1"/>
  <c r="AL180" i="1"/>
  <c r="AL189" i="1"/>
  <c r="AL190" i="1" s="1"/>
  <c r="AD134" i="1"/>
  <c r="AD135" i="1" s="1"/>
  <c r="AL133" i="1"/>
  <c r="AL146" i="1"/>
  <c r="AL140" i="1"/>
  <c r="AL141" i="1" s="1"/>
  <c r="AL134" i="1" s="1"/>
  <c r="AL135" i="1" s="1"/>
  <c r="AK141" i="1"/>
  <c r="AK134" i="1" s="1"/>
  <c r="AK135" i="1" s="1"/>
  <c r="AF143" i="1"/>
  <c r="AF134" i="1" s="1"/>
  <c r="AF135" i="1" s="1"/>
  <c r="AE143" i="1"/>
  <c r="AE134" i="1" s="1"/>
  <c r="AE135" i="1" s="1"/>
  <c r="AG143" i="1"/>
  <c r="AG134" i="1" s="1"/>
  <c r="AG135" i="1" s="1"/>
  <c r="AH134" i="1"/>
  <c r="AH135" i="1" s="1"/>
  <c r="AL183" i="1" l="1"/>
  <c r="AM189" i="1"/>
  <c r="AM190" i="1" s="1"/>
  <c r="AM187" i="1"/>
  <c r="AM193" i="1"/>
  <c r="AM194" i="1" s="1"/>
  <c r="AM197" i="1"/>
  <c r="AM165" i="1"/>
  <c r="AM167" i="1"/>
  <c r="AM169" i="1"/>
  <c r="AM171" i="1"/>
  <c r="AM173" i="1"/>
  <c r="AM175" i="1"/>
  <c r="AM177" i="1"/>
  <c r="AM179" i="1"/>
  <c r="AM181" i="1"/>
  <c r="AM191" i="1"/>
  <c r="AM192" i="1" s="1"/>
  <c r="AM195" i="1"/>
  <c r="AM196" i="1" s="1"/>
  <c r="AM164" i="1"/>
  <c r="AM166" i="1"/>
  <c r="AM168" i="1"/>
  <c r="AM170" i="1"/>
  <c r="AM172" i="1"/>
  <c r="AM174" i="1"/>
  <c r="AM176" i="1"/>
  <c r="AM178" i="1"/>
  <c r="AM180" i="1"/>
  <c r="AL138" i="1"/>
  <c r="AL139" i="1" s="1"/>
  <c r="AL137" i="1"/>
  <c r="AL188" i="1"/>
  <c r="AL200" i="1" s="1"/>
  <c r="AL199" i="1"/>
  <c r="AL182" i="1"/>
  <c r="AM146" i="1"/>
  <c r="AM133" i="1"/>
  <c r="AM140" i="1"/>
  <c r="AM141" i="1" l="1"/>
  <c r="AM134" i="1" s="1"/>
  <c r="AM135" i="1" s="1"/>
  <c r="AM182" i="1"/>
  <c r="AM183" i="1"/>
  <c r="AM137" i="1"/>
  <c r="AM138" i="1"/>
  <c r="AM139" i="1" s="1"/>
  <c r="AM188" i="1"/>
  <c r="AM200" i="1" s="1"/>
  <c r="AM199" i="1"/>
</calcChain>
</file>

<file path=xl/sharedStrings.xml><?xml version="1.0" encoding="utf-8"?>
<sst xmlns="http://schemas.openxmlformats.org/spreadsheetml/2006/main" count="396" uniqueCount="321">
  <si>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</si>
  <si>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</si>
  <si>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</si>
  <si>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</si>
  <si>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</si>
  <si>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</si>
  <si>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</si>
  <si>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</si>
  <si>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</si>
  <si>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</si>
  <si>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</si>
  <si>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</si>
  <si>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</si>
  <si>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</si>
  <si>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</si>
  <si>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</si>
  <si>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</si>
  <si>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</si>
  <si>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</si>
  <si>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</si>
  <si>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</si>
  <si>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</si>
  <si>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</si>
  <si>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</si>
  <si>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</si>
  <si>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</si>
  <si>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</si>
  <si>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</si>
  <si>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</si>
  <si>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</si>
  <si>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</si>
  <si>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</si>
  <si>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</si>
  <si>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</si>
  <si>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</si>
  <si>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</si>
  <si>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</si>
  <si>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</si>
  <si>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</si>
  <si>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</si>
  <si>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</si>
  <si>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</si>
  <si>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</si>
  <si>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</si>
  <si>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</si>
  <si>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</si>
  <si>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</si>
  <si>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</si>
  <si>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</si>
  <si>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</si>
  <si>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</si>
  <si>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</si>
  <si>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</si>
  <si>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</si>
  <si>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</si>
  <si>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</si>
  <si>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</si>
  <si>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</si>
  <si>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</si>
  <si>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</si>
  <si>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</si>
  <si>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</si>
  <si>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</si>
  <si>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</si>
  <si>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</si>
  <si>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</si>
  <si>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</si>
  <si>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</si>
  <si>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</si>
  <si>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</si>
  <si>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</si>
  <si>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</si>
  <si>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</si>
  <si>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</si>
  <si>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</si>
  <si>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</si>
  <si>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</si>
  <si>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</si>
  <si>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</si>
  <si>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</si>
  <si>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</si>
  <si>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</si>
  <si>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</si>
  <si>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</si>
  <si>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</si>
  <si>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</si>
  <si>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</si>
  <si>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</si>
  <si>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</si>
  <si>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</si>
  <si>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</si>
  <si>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</si>
  <si>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</si>
  <si>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</si>
  <si>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</si>
  <si>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</si>
  <si>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</si>
  <si>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</si>
  <si>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</si>
  <si>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</si>
  <si>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</si>
  <si>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</si>
  <si>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</si>
  <si>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</si>
  <si>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</si>
  <si>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</si>
  <si>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</si>
  <si>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</si>
  <si>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</si>
  <si>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</si>
  <si>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</si>
  <si>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</si>
  <si>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</si>
  <si>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</si>
  <si>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</si>
  <si>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</si>
  <si>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</si>
  <si>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</si>
  <si>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</si>
  <si>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</si>
  <si>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</si>
  <si>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</si>
  <si>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</si>
  <si>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</si>
  <si>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</si>
  <si>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</si>
  <si>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</si>
  <si>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</si>
  <si>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</si>
  <si>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</si>
  <si>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</si>
  <si>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</si>
  <si>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</si>
  <si>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</si>
  <si>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</si>
  <si>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</si>
  <si>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</si>
  <si>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</si>
  <si>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</si>
  <si>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</si>
  <si>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</si>
  <si>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</si>
  <si>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</si>
  <si>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</si>
  <si>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</si>
  <si>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</si>
  <si>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</si>
  <si>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</si>
  <si>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</si>
  <si>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</si>
  <si>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</si>
  <si>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</si>
  <si>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</si>
  <si>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</si>
  <si>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</si>
  <si>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</si>
  <si>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</si>
  <si>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</si>
  <si>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</si>
  <si>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</si>
  <si>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</si>
  <si>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</si>
  <si>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</si>
  <si>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</si>
  <si>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</si>
  <si>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</si>
  <si>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</si>
  <si>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</si>
  <si>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</si>
  <si>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</si>
  <si>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</si>
  <si>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</si>
  <si>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</si>
  <si>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</si>
  <si>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as of 8/4/2020</t>
  </si>
  <si>
    <t>Travel from the European Schengen Area blocked</t>
  </si>
  <si>
    <t>Canada travel restricted</t>
  </si>
  <si>
    <t>Mexico travel restricted</t>
  </si>
  <si>
    <t>UK and Ireland travel restricted</t>
  </si>
  <si>
    <t>Iran travel blocked</t>
  </si>
  <si>
    <t>State of Emergency declared by Trump</t>
  </si>
  <si>
    <t>By 16/3/2020 all states had declared a State of Emergency.  States progressively began implementing stay at home orders.  Not all states have done so though</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</si>
  <si>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</si>
  <si>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</si>
  <si>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</si>
  <si>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</si>
  <si>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</si>
  <si>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</si>
  <si>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</si>
  <si>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</si>
  <si>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</si>
  <si>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</si>
  <si>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</si>
  <si>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</si>
  <si>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</si>
  <si>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</si>
  <si>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</si>
  <si>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</si>
  <si>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</si>
  <si>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</si>
  <si>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</si>
  <si>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</si>
  <si>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</si>
  <si>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</si>
  <si>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</si>
  <si>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</si>
  <si>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</si>
  <si>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</si>
  <si>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</si>
  <si>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</si>
  <si>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</si>
  <si>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</si>
  <si>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</si>
  <si>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Trump predicts that "it’s going to work out fine. I think when we get into April, in the warmer weather, that has a very negative effect on that and that type of a virus."</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</si>
  <si>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</si>
  <si>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</si>
  <si>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</si>
  <si>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</si>
  <si>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</si>
  <si>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First community spread case documented, Trump states "The infection seems to have gone down over the last two days… We’re going to be pretty soon at only five people. And we could be at just one or two people over the next short period of time." and tweets "Low Ratings Fake News MSDNC (Comcast) &amp; @CNN are doing everything possible to make the Caronavirus look as bad as possible, including panicking markets, if possible. Likewise their incompetent Do Nothing Democrat comrades are all talk, no action. USA in great shape!"</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</si>
  <si>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t>
  </si>
  <si>
    <t>Trump tweets "So last year 37,000 Americans died from the common Flu. It averages between 27,000 and 70,000 per year. Nothing is shut down, life &amp; the economy go on. At this moment there are 546 confirmed cases of CoronaVirus, with 22 deaths. Think about that!"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</si>
  <si>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</si>
  <si>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</si>
  <si>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</si>
  <si>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</si>
  <si>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</si>
  <si>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</si>
  <si>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</si>
  <si>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</si>
  <si>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</si>
  <si>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</si>
  <si>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</si>
  <si>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</si>
  <si>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</si>
  <si>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</si>
  <si>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</si>
  <si>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</si>
  <si>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</si>
  <si>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</si>
  <si>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</si>
  <si>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</si>
  <si>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</si>
  <si>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</si>
  <si>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</si>
  <si>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</si>
  <si>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</si>
  <si>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</si>
  <si>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</si>
  <si>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</si>
  <si>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</si>
  <si>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</si>
  <si>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</si>
  <si>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</si>
  <si>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</si>
  <si>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</si>
  <si>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</si>
  <si>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Trump says that states need to work out competing bids for medical equipment among themselves…  We're a backup, we’re not an ordering clerk, we're a backup, and we've done an unbelievable job"</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</si>
  <si>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</si>
  <si>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</si>
  <si>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Right wing protests begin in some states against lockdown laws</t>
  </si>
  <si>
    <t>Trump falsely states that he "inherited a broken test" for COVID-19 (COVID-19 is a new virus, not one that had occurred during previous presidencies), tells nation to prepare for hard days</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</si>
  <si>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state at home orders.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</si>
  <si>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</si>
  <si>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</si>
  <si>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</si>
  <si>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</si>
  <si>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</si>
  <si>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WHO report preliminary Chinese studies suggest no clear evidence of human to human transmission, but stated that it was still a strong possibility</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</si>
  <si>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</si>
  <si>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</si>
  <si>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</si>
  <si>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</si>
  <si>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</si>
  <si>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</si>
  <si>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</si>
  <si>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</si>
  <si>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</si>
  <si>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</si>
  <si>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</si>
  <si>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</si>
  <si>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</si>
  <si>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</si>
  <si>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</si>
  <si>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contradicts public health expert estimates of death rate of COVID-19 as less than 1% based on a hunch, and suggests that those infected can still go to work, comparing it with the flu and referring to it as the corona flu</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</si>
  <si>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</si>
  <si>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</si>
  <si>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</si>
  <si>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</si>
  <si>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</si>
  <si>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</si>
  <si>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</si>
  <si>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</si>
  <si>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</si>
  <si>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</si>
  <si>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</si>
  <si>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</si>
  <si>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</si>
  <si>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</si>
  <si>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</si>
  <si>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"The Fake News Media &amp; their partner, the Democrat Pary, is doing everything within its semi-considerable power to inflame the Coronavirus situation"</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</si>
  <si>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</si>
  <si>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</si>
  <si>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tweets that he will impose a temporary immigration ban for 60 days via executive order in bid to tackle coronavirus and protect American jobs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</si>
  <si>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</si>
  <si>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</si>
  <si>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Trump states in reference to the initial trial results "Obviously, there have been some very good reports and perhaps this one is not a good report. But we'll be looking at it".</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</si>
  <si>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</si>
  <si>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</si>
  <si>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</si>
  <si>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</si>
  <si>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</si>
  <si>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</si>
  <si>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</si>
  <si>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A 57 yo female died on 6/2, following postmortem results released 23/4, indicating that infections had been present in Jan earlier than previously thought</t>
  </si>
  <si>
    <t>First Detected Infection in US</t>
  </si>
  <si>
    <t>First identified death from coronavirus 29/2 in Washington state</t>
  </si>
  <si>
    <t>23/4 blood samples from 3,300 volunteers in Santa Clara County showed actual cases may be more than 50 times confirmed cases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</si>
  <si>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</si>
  <si>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</si>
  <si>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New cases peaked 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</si>
</sst>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96">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3" fontId="9" fillId="8" borderId="14" xfId="0" applyNumberFormat="1" applyFont="1" applyFill="1" applyBorder="1"/>
    <xf numFmtId="3" fontId="9" fillId="2" borderId="14" xfId="0" applyNumberFormat="1" applyFont="1" applyFill="1" applyBorder="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71" fontId="0" fillId="18" borderId="4"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4" fontId="0" fillId="8" borderId="14" xfId="0" applyNumberFormat="1" applyFill="1" applyBorder="1"/>
    <xf numFmtId="0" fontId="0" fillId="2" borderId="0" xfId="0" applyFill="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14" fontId="0" fillId="4" borderId="20" xfId="0" applyNumberFormat="1" applyFill="1" applyBorder="1"/>
    <xf numFmtId="14" fontId="0" fillId="15" borderId="21" xfId="0" applyNumberFormat="1" applyFill="1" applyBorder="1"/>
    <xf numFmtId="14" fontId="0" fillId="16" borderId="21" xfId="0" applyNumberFormat="1" applyFill="1" applyBorder="1"/>
    <xf numFmtId="14" fontId="0" fillId="10" borderId="21" xfId="0" applyNumberFormat="1" applyFill="1" applyBorder="1"/>
    <xf numFmtId="14" fontId="0" fillId="4" borderId="21" xfId="0" applyNumberFormat="1" applyFill="1" applyBorder="1"/>
    <xf numFmtId="14" fontId="0" fillId="0" borderId="21" xfId="0" applyNumberFormat="1" applyFill="1" applyBorder="1"/>
    <xf numFmtId="14" fontId="0" fillId="8" borderId="21" xfId="0" applyNumberFormat="1" applyFill="1" applyBorder="1"/>
    <xf numFmtId="14" fontId="0" fillId="8" borderId="22"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43907.770149189811</c:v>
                </c:pt>
                <c:pt idx="1">
                  <c:v>43910.770149189811</c:v>
                </c:pt>
                <c:pt idx="2">
                  <c:v>43913.770149189811</c:v>
                </c:pt>
                <c:pt idx="3">
                  <c:v>43916.770149189811</c:v>
                </c:pt>
                <c:pt idx="4">
                  <c:v>43919.770149189811</c:v>
                </c:pt>
                <c:pt idx="5">
                  <c:v>43922.770149189811</c:v>
                </c:pt>
                <c:pt idx="6">
                  <c:v>43925.770149189811</c:v>
                </c:pt>
                <c:pt idx="7">
                  <c:v>43928.770149189811</c:v>
                </c:pt>
                <c:pt idx="8">
                  <c:v>43931.770149189811</c:v>
                </c:pt>
                <c:pt idx="9">
                  <c:v>43934.770149189811</c:v>
                </c:pt>
                <c:pt idx="10">
                  <c:v>43937.770149189811</c:v>
                </c:pt>
                <c:pt idx="11">
                  <c:v>43940.770149189811</c:v>
                </c:pt>
                <c:pt idx="12">
                  <c:v>43943.770149189811</c:v>
                </c:pt>
                <c:pt idx="13">
                  <c:v>43946.770149189811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148.80952380952382</c:v>
                </c:pt>
                <c:pt idx="1">
                  <c:v>297.61904761904765</c:v>
                </c:pt>
                <c:pt idx="2">
                  <c:v>595.2380952380953</c:v>
                </c:pt>
                <c:pt idx="3">
                  <c:v>1190.4761904761906</c:v>
                </c:pt>
                <c:pt idx="4">
                  <c:v>2380.9523809523812</c:v>
                </c:pt>
                <c:pt idx="5">
                  <c:v>4761.9047619047624</c:v>
                </c:pt>
                <c:pt idx="6">
                  <c:v>9523.8095238095248</c:v>
                </c:pt>
                <c:pt idx="7">
                  <c:v>19047.61904761905</c:v>
                </c:pt>
                <c:pt idx="8">
                  <c:v>38095.238095238099</c:v>
                </c:pt>
                <c:pt idx="9">
                  <c:v>76190.476190476198</c:v>
                </c:pt>
                <c:pt idx="10">
                  <c:v>152380.9523809524</c:v>
                </c:pt>
                <c:pt idx="11">
                  <c:v>304761.90476190479</c:v>
                </c:pt>
                <c:pt idx="12">
                  <c:v>609523.80952380958</c:v>
                </c:pt>
                <c:pt idx="13">
                  <c:v>1219047.6190476192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43907.770149189811</c:v>
                </c:pt>
                <c:pt idx="1">
                  <c:v>43910.770149189811</c:v>
                </c:pt>
                <c:pt idx="2">
                  <c:v>43913.770149189811</c:v>
                </c:pt>
                <c:pt idx="3">
                  <c:v>43916.770149189811</c:v>
                </c:pt>
                <c:pt idx="4">
                  <c:v>43919.770149189811</c:v>
                </c:pt>
                <c:pt idx="5">
                  <c:v>43922.770149189811</c:v>
                </c:pt>
                <c:pt idx="6">
                  <c:v>43925.770149189811</c:v>
                </c:pt>
                <c:pt idx="7">
                  <c:v>43928.770149189811</c:v>
                </c:pt>
                <c:pt idx="8">
                  <c:v>43931.770149189811</c:v>
                </c:pt>
                <c:pt idx="9">
                  <c:v>43934.770149189811</c:v>
                </c:pt>
                <c:pt idx="10">
                  <c:v>43937.770149189811</c:v>
                </c:pt>
                <c:pt idx="11">
                  <c:v>43940.770149189811</c:v>
                </c:pt>
                <c:pt idx="12">
                  <c:v>43943.770149189811</c:v>
                </c:pt>
                <c:pt idx="13">
                  <c:v>43946.770149189811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130.95238095238096</c:v>
                </c:pt>
                <c:pt idx="1">
                  <c:v>261.90476190476193</c:v>
                </c:pt>
                <c:pt idx="2">
                  <c:v>523.80952380952385</c:v>
                </c:pt>
                <c:pt idx="3">
                  <c:v>1047.6190476190477</c:v>
                </c:pt>
                <c:pt idx="4">
                  <c:v>2095.2380952380954</c:v>
                </c:pt>
                <c:pt idx="5">
                  <c:v>4190.4761904761908</c:v>
                </c:pt>
                <c:pt idx="6">
                  <c:v>8380.9523809523816</c:v>
                </c:pt>
                <c:pt idx="7">
                  <c:v>16761.904761904763</c:v>
                </c:pt>
                <c:pt idx="8">
                  <c:v>33523.809523809527</c:v>
                </c:pt>
                <c:pt idx="9">
                  <c:v>67047.619047619053</c:v>
                </c:pt>
                <c:pt idx="10">
                  <c:v>134095.23809523811</c:v>
                </c:pt>
                <c:pt idx="11">
                  <c:v>268190.47619047621</c:v>
                </c:pt>
                <c:pt idx="12">
                  <c:v>536380.95238095243</c:v>
                </c:pt>
                <c:pt idx="13">
                  <c:v>1072761.9047619049</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43907.770149189811</c:v>
                </c:pt>
                <c:pt idx="1">
                  <c:v>43910.770149189811</c:v>
                </c:pt>
                <c:pt idx="2">
                  <c:v>43913.770149189811</c:v>
                </c:pt>
                <c:pt idx="3">
                  <c:v>43916.770149189811</c:v>
                </c:pt>
                <c:pt idx="4">
                  <c:v>43919.770149189811</c:v>
                </c:pt>
                <c:pt idx="5">
                  <c:v>43922.770149189811</c:v>
                </c:pt>
                <c:pt idx="6">
                  <c:v>43925.770149189811</c:v>
                </c:pt>
                <c:pt idx="7">
                  <c:v>43928.770149189811</c:v>
                </c:pt>
                <c:pt idx="8">
                  <c:v>43931.770149189811</c:v>
                </c:pt>
                <c:pt idx="9">
                  <c:v>43934.770149189811</c:v>
                </c:pt>
                <c:pt idx="10">
                  <c:v>43937.770149189811</c:v>
                </c:pt>
                <c:pt idx="11">
                  <c:v>43940.770149189811</c:v>
                </c:pt>
                <c:pt idx="12">
                  <c:v>43943.770149189811</c:v>
                </c:pt>
                <c:pt idx="13">
                  <c:v>43946.770149189811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Projections!$A$132</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Projections!$L$131:$AN$131</c15:sqref>
                  </c15:fullRef>
                </c:ext>
              </c:extLst>
              <c:f>Projections!$L$131:$AD$131</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numCache>
            </c:numRef>
          </c:cat>
          <c:val>
            <c:numRef>
              <c:extLst>
                <c:ext xmlns:c15="http://schemas.microsoft.com/office/drawing/2012/chart" uri="{02D57815-91ED-43cb-92C2-25804820EDAC}">
                  <c15:fullRef>
                    <c15:sqref>Projections!$L$132:$AN$132</c15:sqref>
                  </c15:fullRef>
                </c:ext>
              </c:extLst>
              <c:f>Projections!$L$132:$AD$132</c:f>
              <c:numCache>
                <c:formatCode>#,##0_ ;[Red]\-#,##0\ </c:formatCode>
                <c:ptCount val="1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768000</c:v>
                </c:pt>
                <c:pt idx="16">
                  <c:v>896000</c:v>
                </c:pt>
                <c:pt idx="17">
                  <c:v>962560</c:v>
                </c:pt>
                <c:pt idx="18">
                  <c:v>1024000</c:v>
                </c:pt>
              </c:numCache>
            </c:numRef>
          </c:val>
          <c:smooth val="0"/>
          <c:extLst>
            <c:ext xmlns:c16="http://schemas.microsoft.com/office/drawing/2014/chart" uri="{C3380CC4-5D6E-409C-BE32-E72D297353CC}">
              <c16:uniqueId val="{00000004-8BCC-427B-903C-670C749E04E9}"/>
            </c:ext>
          </c:extLst>
        </c:ser>
        <c:ser>
          <c:idx val="1"/>
          <c:order val="1"/>
          <c:tx>
            <c:strRef>
              <c:f>Projections!$A$156</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Projections!$L$131:$AN$131</c15:sqref>
                  </c15:fullRef>
                </c:ext>
              </c:extLst>
              <c:f>Projections!$L$131:$AD$131</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numCache>
            </c:numRef>
          </c:cat>
          <c:val>
            <c:numRef>
              <c:extLst>
                <c:ext xmlns:c15="http://schemas.microsoft.com/office/drawing/2012/chart" uri="{02D57815-91ED-43cb-92C2-25804820EDAC}">
                  <c15:fullRef>
                    <c15:sqref>Projections!$L$156:$AN$156</c15:sqref>
                  </c15:fullRef>
                </c:ext>
              </c:extLst>
              <c:f>Projections!$L$156:$AD$156</c:f>
              <c:numCache>
                <c:formatCode>General</c:formatCode>
                <c:ptCount val="19"/>
                <c:pt idx="0">
                  <c:v>35</c:v>
                </c:pt>
                <c:pt idx="1">
                  <c:v>68</c:v>
                </c:pt>
                <c:pt idx="2" formatCode="#,##0">
                  <c:v>124</c:v>
                </c:pt>
                <c:pt idx="3" formatCode="#,##0">
                  <c:v>221</c:v>
                </c:pt>
                <c:pt idx="4" formatCode="#,##0">
                  <c:v>541</c:v>
                </c:pt>
                <c:pt idx="5" formatCode="#,##0">
                  <c:v>1301</c:v>
                </c:pt>
                <c:pt idx="6" formatCode="#,##0">
                  <c:v>2770</c:v>
                </c:pt>
                <c:pt idx="7" formatCode="#,##0">
                  <c:v>4596</c:v>
                </c:pt>
                <c:pt idx="8" formatCode="#,##0">
                  <c:v>9296</c:v>
                </c:pt>
                <c:pt idx="9" formatCode="#,##0">
                  <c:v>19497</c:v>
                </c:pt>
                <c:pt idx="10" formatCode="#,##0">
                  <c:v>33745</c:v>
                </c:pt>
                <c:pt idx="11" formatCode="#,##0">
                  <c:v>68673</c:v>
                </c:pt>
                <c:pt idx="12" formatCode="#,##0">
                  <c:v>124256</c:v>
                </c:pt>
                <c:pt idx="13" formatCode="#,##0">
                  <c:v>246729</c:v>
                </c:pt>
                <c:pt idx="14" formatCode="#,##0">
                  <c:v>536145</c:v>
                </c:pt>
                <c:pt idx="15" formatCode="#,##0">
                  <c:v>764671</c:v>
                </c:pt>
                <c:pt idx="16" formatCode="#,##0">
                  <c:v>886274</c:v>
                </c:pt>
                <c:pt idx="17" formatCode="#,##0">
                  <c:v>962560</c:v>
                </c:pt>
                <c:pt idx="18" formatCode="#,##0">
                  <c:v>1072290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Projections!$A$146</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Projections!$L$131:$AN$131</c15:sqref>
                  </c15:fullRef>
                </c:ext>
              </c:extLst>
              <c:f>Projections!$L$131:$AD$131</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numCache>
            </c:numRef>
          </c:cat>
          <c:val>
            <c:numRef>
              <c:extLst>
                <c:ext xmlns:c15="http://schemas.microsoft.com/office/drawing/2012/chart" uri="{02D57815-91ED-43cb-92C2-25804820EDAC}">
                  <c15:fullRef>
                    <c15:sqref>Projections!$L$146:$AN$146</c15:sqref>
                  </c15:fullRef>
                </c:ext>
              </c:extLst>
              <c:f>Projections!$L$146:$AD$146</c:f>
              <c:numCache>
                <c:formatCode>#,##0_ ;[Red]\-#,##0\ </c:formatCode>
                <c:ptCount val="19"/>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43008</c:v>
                </c:pt>
                <c:pt idx="16">
                  <c:v>50176</c:v>
                </c:pt>
                <c:pt idx="17">
                  <c:v>53903.360000000001</c:v>
                </c:pt>
                <c:pt idx="18">
                  <c:v>57344</c:v>
                </c:pt>
              </c:numCache>
            </c:numRef>
          </c:val>
          <c:smooth val="0"/>
          <c:extLst>
            <c:ext xmlns:c16="http://schemas.microsoft.com/office/drawing/2014/chart" uri="{C3380CC4-5D6E-409C-BE32-E72D297353CC}">
              <c16:uniqueId val="{00000000-50BE-40C1-B679-81AF0BCE3FCD}"/>
            </c:ext>
          </c:extLst>
        </c:ser>
        <c:ser>
          <c:idx val="1"/>
          <c:order val="1"/>
          <c:tx>
            <c:strRef>
              <c:f>Projections!$A$160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Projections!$L$131:$AN$131</c15:sqref>
                  </c15:fullRef>
                </c:ext>
              </c:extLst>
              <c:f>Projections!$L$131:$AD$131</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numCache>
            </c:numRef>
          </c:cat>
          <c:val>
            <c:numRef>
              <c:extLst>
                <c:ext xmlns:c15="http://schemas.microsoft.com/office/drawing/2012/chart" uri="{02D57815-91ED-43cb-92C2-25804820EDAC}">
                  <c15:fullRef>
                    <c15:sqref>Projections!$L$160:$AN$160</c15:sqref>
                  </c15:fullRef>
                </c:ext>
              </c:extLst>
              <c:f>Projections!$L$160:$AD$160</c:f>
              <c:numCache>
                <c:formatCode>General</c:formatCode>
                <c:ptCount val="19"/>
                <c:pt idx="0">
                  <c:v>0</c:v>
                </c:pt>
                <c:pt idx="1">
                  <c:v>1</c:v>
                </c:pt>
                <c:pt idx="2" formatCode="#,##0">
                  <c:v>9</c:v>
                </c:pt>
                <c:pt idx="3" formatCode="#,##0">
                  <c:v>12</c:v>
                </c:pt>
                <c:pt idx="4" formatCode="#,##0">
                  <c:v>22</c:v>
                </c:pt>
                <c:pt idx="5" formatCode="#,##0">
                  <c:v>38</c:v>
                </c:pt>
                <c:pt idx="6" formatCode="#,##0">
                  <c:v>57</c:v>
                </c:pt>
                <c:pt idx="7" formatCode="#,##0">
                  <c:v>87</c:v>
                </c:pt>
                <c:pt idx="8" formatCode="#,##0">
                  <c:v>150</c:v>
                </c:pt>
                <c:pt idx="9" formatCode="#,##0">
                  <c:v>255</c:v>
                </c:pt>
                <c:pt idx="10" formatCode="#,##0">
                  <c:v>414</c:v>
                </c:pt>
                <c:pt idx="11" formatCode="#,##0">
                  <c:v>1028</c:v>
                </c:pt>
                <c:pt idx="12" formatCode="#,##0">
                  <c:v>2222</c:v>
                </c:pt>
                <c:pt idx="13" formatCode="#,##0">
                  <c:v>6088</c:v>
                </c:pt>
                <c:pt idx="14" formatCode="#,##0">
                  <c:v>23843</c:v>
                </c:pt>
                <c:pt idx="15" formatCode="#,##0">
                  <c:v>40575</c:v>
                </c:pt>
                <c:pt idx="16" formatCode="#,##0">
                  <c:v>50894</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Projections!$A$142</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Projections!$L$142:$AN$142</c15:sqref>
                  </c15:fullRef>
                </c:ext>
              </c:extLst>
              <c:f>Projections!$L$142:$AE$142</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64486.753877005009</c:v>
                </c:pt>
                <c:pt idx="15">
                  <c:v>110286.44118825588</c:v>
                </c:pt>
                <c:pt idx="16">
                  <c:v>278165.1302392949</c:v>
                </c:pt>
                <c:pt idx="17">
                  <c:v>296213.7247081736</c:v>
                </c:pt>
                <c:pt idx="18">
                  <c:v>187479.91014906965</c:v>
                </c:pt>
                <c:pt idx="19">
                  <c:v>4242337.4975304874</c:v>
                </c:pt>
              </c:numCache>
            </c:numRef>
          </c:val>
          <c:smooth val="0"/>
          <c:extLst>
            <c:ext xmlns:c16="http://schemas.microsoft.com/office/drawing/2014/chart" uri="{C3380CC4-5D6E-409C-BE32-E72D297353CC}">
              <c16:uniqueId val="{00000000-A3C2-4B4C-996C-CDB1A252886F}"/>
            </c:ext>
          </c:extLst>
        </c:ser>
        <c:ser>
          <c:idx val="2"/>
          <c:order val="1"/>
          <c:tx>
            <c:strRef>
              <c:f>Projections!$A$143</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Projections!$L$143:$AN$143</c15:sqref>
                  </c15:fullRef>
                </c:ext>
              </c:extLst>
              <c:f>Projections!$L$143:$AE$143</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58944.211012749765</c:v>
                </c:pt>
                <c:pt idx="15">
                  <c:v>89305.491515294882</c:v>
                </c:pt>
                <c:pt idx="16">
                  <c:v>219109.46445462987</c:v>
                </c:pt>
                <c:pt idx="17">
                  <c:v>252328.16003405603</c:v>
                </c:pt>
                <c:pt idx="18">
                  <c:v>97631.629011726094</c:v>
                </c:pt>
                <c:pt idx="19">
                  <c:v>3376545.6375662182</c:v>
                </c:pt>
              </c:numCache>
            </c:numRef>
          </c:val>
          <c:smooth val="0"/>
          <c:extLst>
            <c:ext xmlns:c16="http://schemas.microsoft.com/office/drawing/2014/chart" uri="{C3380CC4-5D6E-409C-BE32-E72D297353CC}">
              <c16:uniqueId val="{00000001-A3C2-4B4C-996C-CDB1A252886F}"/>
            </c:ext>
          </c:extLst>
        </c:ser>
        <c:ser>
          <c:idx val="0"/>
          <c:order val="2"/>
          <c:tx>
            <c:strRef>
              <c:f>Projections!$A$144</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Projections!$L$144:$AN$144</c15:sqref>
                  </c15:fullRef>
                </c:ext>
              </c:extLst>
              <c:f>Projections!$L$144:$AE$144</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123.66071428571428</c:v>
                </c:pt>
                <c:pt idx="13">
                  <c:v>514.38422097436683</c:v>
                </c:pt>
                <c:pt idx="14">
                  <c:v>5547.1428571428523</c:v>
                </c:pt>
                <c:pt idx="15">
                  <c:v>21064.166989278907</c:v>
                </c:pt>
                <c:pt idx="16">
                  <c:v>59437.380783151777</c:v>
                </c:pt>
                <c:pt idx="17">
                  <c:v>48179.391558528085</c:v>
                </c:pt>
                <c:pt idx="18">
                  <c:v>91609.604192306695</c:v>
                </c:pt>
                <c:pt idx="19">
                  <c:v>462220.87166905875</c:v>
                </c:pt>
              </c:numCache>
            </c:numRef>
          </c:val>
          <c:smooth val="0"/>
          <c:extLst>
            <c:ext xmlns:c16="http://schemas.microsoft.com/office/drawing/2014/chart" uri="{C3380CC4-5D6E-409C-BE32-E72D297353CC}">
              <c16:uniqueId val="{00000002-A3C2-4B4C-996C-CDB1A252886F}"/>
            </c:ext>
          </c:extLst>
        </c:ser>
        <c:ser>
          <c:idx val="4"/>
          <c:order val="3"/>
          <c:tx>
            <c:strRef>
              <c:f>Projections!$A$145</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Projections!$L$145:$AN$145</c15:sqref>
                  </c15:fullRef>
                </c:ext>
              </c:extLst>
              <c:f>Projections!$L$145:$AE$145</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121.90833273345505</c:v>
                </c:pt>
                <c:pt idx="13">
                  <c:v>511.27485454338046</c:v>
                </c:pt>
                <c:pt idx="14">
                  <c:v>5534.0428642552415</c:v>
                </c:pt>
                <c:pt idx="15">
                  <c:v>20913.324672961004</c:v>
                </c:pt>
                <c:pt idx="16">
                  <c:v>58826.608569908589</c:v>
                </c:pt>
                <c:pt idx="17">
                  <c:v>37216.541835568409</c:v>
                </c:pt>
                <c:pt idx="18">
                  <c:v>51327.105850685293</c:v>
                </c:pt>
                <c:pt idx="19">
                  <c:v>376490.13948392164</c:v>
                </c:pt>
              </c:numCache>
            </c:numRef>
          </c:val>
          <c:smooth val="0"/>
          <c:extLst>
            <c:ext xmlns:c16="http://schemas.microsoft.com/office/drawing/2014/chart" uri="{C3380CC4-5D6E-409C-BE32-E72D297353CC}">
              <c16:uniqueId val="{00000003-A3C2-4B4C-996C-CDB1A252886F}"/>
            </c:ext>
          </c:extLst>
        </c:ser>
        <c:ser>
          <c:idx val="1"/>
          <c:order val="4"/>
          <c:tx>
            <c:strRef>
              <c:f>Projections!$A$146</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Projections!$L$146:$AN$146</c15:sqref>
                  </c15:fullRef>
                </c:ext>
              </c:extLst>
              <c:f>Projections!$L$146:$AE$146</c:f>
              <c:numCache>
                <c:formatCode>#,##0_ ;[Red]\-#,##0\ </c:formatCode>
                <c:ptCount val="20"/>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43008</c:v>
                </c:pt>
                <c:pt idx="16">
                  <c:v>50176</c:v>
                </c:pt>
                <c:pt idx="17">
                  <c:v>53903.360000000001</c:v>
                </c:pt>
                <c:pt idx="18">
                  <c:v>57344</c:v>
                </c:pt>
                <c:pt idx="19">
                  <c:v>114688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Projections!$A$164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Projections!$L$164:$AN$164</c15:sqref>
                  </c15:fullRef>
                </c:ext>
              </c:extLst>
              <c:f>Projections!$L$164:$AE$164</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22155.169324493818</c:v>
                </c:pt>
                <c:pt idx="16">
                  <c:v>25847.697545242787</c:v>
                </c:pt>
                <c:pt idx="17">
                  <c:v>27767.81222003225</c:v>
                </c:pt>
                <c:pt idx="18">
                  <c:v>29540.225765991756</c:v>
                </c:pt>
                <c:pt idx="19">
                  <c:v>59080.451531983512</c:v>
                </c:pt>
              </c:numCache>
            </c:numRef>
          </c:val>
          <c:smooth val="0"/>
          <c:extLst>
            <c:ext xmlns:c16="http://schemas.microsoft.com/office/drawing/2014/chart" uri="{C3380CC4-5D6E-409C-BE32-E72D297353CC}">
              <c16:uniqueId val="{00000000-7972-43AB-83E8-C2C99B4277B0}"/>
            </c:ext>
          </c:extLst>
        </c:ser>
        <c:ser>
          <c:idx val="2"/>
          <c:order val="1"/>
          <c:tx>
            <c:strRef>
              <c:f>Projections!$A$166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Projections!$L$166:$AN$166</c15:sqref>
                  </c15:fullRef>
                </c:ext>
              </c:extLst>
              <c:f>Projections!$L$166:$AE$166</c:f>
              <c:numCache>
                <c:formatCode>#,##0</c:formatCode>
                <c:ptCount val="20"/>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81877.799677477145</c:v>
                </c:pt>
                <c:pt idx="16">
                  <c:v>95524.099623723334</c:v>
                </c:pt>
                <c:pt idx="17">
                  <c:v>102620.17559577136</c:v>
                </c:pt>
                <c:pt idx="18">
                  <c:v>109170.39956996954</c:v>
                </c:pt>
                <c:pt idx="19">
                  <c:v>218340.79913993907</c:v>
                </c:pt>
              </c:numCache>
            </c:numRef>
          </c:val>
          <c:smooth val="0"/>
          <c:extLst>
            <c:ext xmlns:c16="http://schemas.microsoft.com/office/drawing/2014/chart" uri="{C3380CC4-5D6E-409C-BE32-E72D297353CC}">
              <c16:uniqueId val="{00000001-7972-43AB-83E8-C2C99B4277B0}"/>
            </c:ext>
          </c:extLst>
        </c:ser>
        <c:ser>
          <c:idx val="4"/>
          <c:order val="2"/>
          <c:tx>
            <c:strRef>
              <c:f>Projections!$A$168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Projections!$L$168:$AN$168</c15:sqref>
                  </c15:fullRef>
                </c:ext>
              </c:extLst>
              <c:f>Projections!$L$168:$AE$168</c:f>
              <c:numCache>
                <c:formatCode>#,##0</c:formatCode>
                <c:ptCount val="20"/>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128527.50403153556</c:v>
                </c:pt>
                <c:pt idx="16">
                  <c:v>149948.75470345814</c:v>
                </c:pt>
                <c:pt idx="17">
                  <c:v>161087.8050528579</c:v>
                </c:pt>
                <c:pt idx="18">
                  <c:v>171370.00537538074</c:v>
                </c:pt>
                <c:pt idx="19">
                  <c:v>342740.01075076149</c:v>
                </c:pt>
              </c:numCache>
            </c:numRef>
          </c:val>
          <c:smooth val="0"/>
          <c:extLst>
            <c:ext xmlns:c16="http://schemas.microsoft.com/office/drawing/2014/chart" uri="{C3380CC4-5D6E-409C-BE32-E72D297353CC}">
              <c16:uniqueId val="{00000002-7972-43AB-83E8-C2C99B4277B0}"/>
            </c:ext>
          </c:extLst>
        </c:ser>
        <c:ser>
          <c:idx val="6"/>
          <c:order val="3"/>
          <c:tx>
            <c:strRef>
              <c:f>Projections!$A$170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Projections!$L$170:$AN$170</c15:sqref>
                  </c15:fullRef>
                </c:ext>
              </c:extLst>
              <c:f>Projections!$L$170:$AE$170</c:f>
              <c:numCache>
                <c:formatCode>#,##0</c:formatCode>
                <c:ptCount val="20"/>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119307.65095860958</c:v>
                </c:pt>
                <c:pt idx="16">
                  <c:v>139192.25945171117</c:v>
                </c:pt>
                <c:pt idx="17">
                  <c:v>149532.25586812399</c:v>
                </c:pt>
                <c:pt idx="18">
                  <c:v>159076.86794481275</c:v>
                </c:pt>
                <c:pt idx="19">
                  <c:v>318153.7358896255</c:v>
                </c:pt>
              </c:numCache>
            </c:numRef>
          </c:val>
          <c:smooth val="0"/>
          <c:extLst>
            <c:ext xmlns:c16="http://schemas.microsoft.com/office/drawing/2014/chart" uri="{C3380CC4-5D6E-409C-BE32-E72D297353CC}">
              <c16:uniqueId val="{00000003-7972-43AB-83E8-C2C99B4277B0}"/>
            </c:ext>
          </c:extLst>
        </c:ser>
        <c:ser>
          <c:idx val="8"/>
          <c:order val="4"/>
          <c:tx>
            <c:strRef>
              <c:f>Projections!$A$172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Projections!$L$172:$AN$172</c15:sqref>
                  </c15:fullRef>
                </c:ext>
              </c:extLst>
              <c:f>Projections!$L$172:$AE$172</c:f>
              <c:numCache>
                <c:formatCode>#,##0</c:formatCode>
                <c:ptCount val="20"/>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99629.457086543625</c:v>
                </c:pt>
                <c:pt idx="16">
                  <c:v>116234.36660096757</c:v>
                </c:pt>
                <c:pt idx="17">
                  <c:v>124868.91954846801</c:v>
                </c:pt>
                <c:pt idx="18">
                  <c:v>132839.27611539149</c:v>
                </c:pt>
                <c:pt idx="19">
                  <c:v>265678.55223078298</c:v>
                </c:pt>
              </c:numCache>
            </c:numRef>
          </c:val>
          <c:smooth val="0"/>
          <c:extLst>
            <c:ext xmlns:c16="http://schemas.microsoft.com/office/drawing/2014/chart" uri="{C3380CC4-5D6E-409C-BE32-E72D297353CC}">
              <c16:uniqueId val="{00000004-7972-43AB-83E8-C2C99B4277B0}"/>
            </c:ext>
          </c:extLst>
        </c:ser>
        <c:ser>
          <c:idx val="10"/>
          <c:order val="5"/>
          <c:tx>
            <c:strRef>
              <c:f>Projections!$A$174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Projections!$L$174:$AN$174</c15:sqref>
                  </c15:fullRef>
                </c:ext>
              </c:extLst>
              <c:f>Projections!$L$174:$AE$174</c:f>
              <c:numCache>
                <c:formatCode>#,##0</c:formatCode>
                <c:ptCount val="20"/>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120821.35817953771</c:v>
                </c:pt>
                <c:pt idx="16">
                  <c:v>140958.25120946066</c:v>
                </c:pt>
                <c:pt idx="17">
                  <c:v>151429.4355850206</c:v>
                </c:pt>
                <c:pt idx="18">
                  <c:v>161095.1442393836</c:v>
                </c:pt>
                <c:pt idx="19">
                  <c:v>322190.28847876721</c:v>
                </c:pt>
              </c:numCache>
            </c:numRef>
          </c:val>
          <c:smooth val="0"/>
          <c:extLst>
            <c:ext xmlns:c16="http://schemas.microsoft.com/office/drawing/2014/chart" uri="{C3380CC4-5D6E-409C-BE32-E72D297353CC}">
              <c16:uniqueId val="{00000005-7972-43AB-83E8-C2C99B4277B0}"/>
            </c:ext>
          </c:extLst>
        </c:ser>
        <c:ser>
          <c:idx val="12"/>
          <c:order val="6"/>
          <c:tx>
            <c:strRef>
              <c:f>Projections!$A$176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Projections!$L$176:$AN$176</c15:sqref>
                  </c15:fullRef>
                </c:ext>
              </c:extLst>
              <c:f>Projections!$L$176:$AE$176</c:f>
              <c:numCache>
                <c:formatCode>#,##0</c:formatCode>
                <c:ptCount val="20"/>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165957.35531266799</c:v>
                </c:pt>
                <c:pt idx="16">
                  <c:v>193616.91453144597</c:v>
                </c:pt>
                <c:pt idx="17">
                  <c:v>207999.88532521055</c:v>
                </c:pt>
                <c:pt idx="18">
                  <c:v>221276.47375022396</c:v>
                </c:pt>
                <c:pt idx="19">
                  <c:v>442552.94750044792</c:v>
                </c:pt>
              </c:numCache>
            </c:numRef>
          </c:val>
          <c:smooth val="0"/>
          <c:extLst>
            <c:ext xmlns:c16="http://schemas.microsoft.com/office/drawing/2014/chart" uri="{C3380CC4-5D6E-409C-BE32-E72D297353CC}">
              <c16:uniqueId val="{00000006-7972-43AB-83E8-C2C99B4277B0}"/>
            </c:ext>
          </c:extLst>
        </c:ser>
        <c:ser>
          <c:idx val="14"/>
          <c:order val="7"/>
          <c:tx>
            <c:strRef>
              <c:f>Projections!$A$178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Projections!$L$178:$AN$178</c15:sqref>
                  </c15:fullRef>
                </c:ext>
              </c:extLst>
              <c:f>Projections!$L$178:$AE$178</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22155.169324493818</c:v>
                </c:pt>
                <c:pt idx="16">
                  <c:v>25847.697545242787</c:v>
                </c:pt>
                <c:pt idx="17">
                  <c:v>27767.81222003225</c:v>
                </c:pt>
                <c:pt idx="18">
                  <c:v>29540.225765991756</c:v>
                </c:pt>
                <c:pt idx="19">
                  <c:v>59080.451531983512</c:v>
                </c:pt>
              </c:numCache>
            </c:numRef>
          </c:val>
          <c:smooth val="0"/>
          <c:extLst>
            <c:ext xmlns:c16="http://schemas.microsoft.com/office/drawing/2014/chart" uri="{C3380CC4-5D6E-409C-BE32-E72D297353CC}">
              <c16:uniqueId val="{00000007-7972-43AB-83E8-C2C99B4277B0}"/>
            </c:ext>
          </c:extLst>
        </c:ser>
        <c:ser>
          <c:idx val="16"/>
          <c:order val="8"/>
          <c:tx>
            <c:strRef>
              <c:f>Projections!$A$180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Projections!$L$180:$AN$180</c15:sqref>
                  </c15:fullRef>
                </c:ext>
              </c:extLst>
              <c:f>Projections!$L$180:$AE$180</c:f>
              <c:numCache>
                <c:formatCode>#,##0</c:formatCode>
                <c:ptCount val="20"/>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7568.5361046407452</c:v>
                </c:pt>
                <c:pt idx="16">
                  <c:v>8829.9587887475354</c:v>
                </c:pt>
                <c:pt idx="17">
                  <c:v>9485.8985844830677</c:v>
                </c:pt>
                <c:pt idx="18">
                  <c:v>10091.381472854326</c:v>
                </c:pt>
                <c:pt idx="19">
                  <c:v>20182.762945708651</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Projections!$A$164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Projections!$L$165:$AN$165</c15:sqref>
                  </c15:fullRef>
                </c:ext>
              </c:extLst>
              <c:f>Projections!$L$165:$AE$165</c:f>
              <c:numCache>
                <c:formatCode>#,##0</c:formatCode>
                <c:ptCount val="20"/>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3278.9650600250848</c:v>
                </c:pt>
                <c:pt idx="16">
                  <c:v>3825.4592366959323</c:v>
                </c:pt>
                <c:pt idx="17">
                  <c:v>4109.6362085647725</c:v>
                </c:pt>
                <c:pt idx="18">
                  <c:v>4371.9534133667794</c:v>
                </c:pt>
                <c:pt idx="19">
                  <c:v>8743.9068267335588</c:v>
                </c:pt>
              </c:numCache>
            </c:numRef>
          </c:val>
          <c:smooth val="0"/>
          <c:extLst>
            <c:ext xmlns:c16="http://schemas.microsoft.com/office/drawing/2014/chart" uri="{C3380CC4-5D6E-409C-BE32-E72D297353CC}">
              <c16:uniqueId val="{00000000-FE50-482D-905D-7C3B099138E4}"/>
            </c:ext>
          </c:extLst>
        </c:ser>
        <c:ser>
          <c:idx val="3"/>
          <c:order val="1"/>
          <c:tx>
            <c:strRef>
              <c:f>Projections!$A$166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Projections!$L$167:$AN$167</c15:sqref>
                  </c15:fullRef>
                </c:ext>
              </c:extLst>
              <c:f>Projections!$L$167:$AE$167</c:f>
              <c:numCache>
                <c:formatCode>#,##0</c:formatCode>
                <c:ptCount val="20"/>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6550.2239741981721</c:v>
                </c:pt>
                <c:pt idx="16">
                  <c:v>7641.9279698978671</c:v>
                </c:pt>
                <c:pt idx="17">
                  <c:v>8209.6140476617093</c:v>
                </c:pt>
                <c:pt idx="18">
                  <c:v>8733.631965597564</c:v>
                </c:pt>
                <c:pt idx="19">
                  <c:v>17467.263931195128</c:v>
                </c:pt>
              </c:numCache>
            </c:numRef>
          </c:val>
          <c:smooth val="0"/>
          <c:extLst>
            <c:ext xmlns:c16="http://schemas.microsoft.com/office/drawing/2014/chart" uri="{C3380CC4-5D6E-409C-BE32-E72D297353CC}">
              <c16:uniqueId val="{00000001-FE50-482D-905D-7C3B099138E4}"/>
            </c:ext>
          </c:extLst>
        </c:ser>
        <c:ser>
          <c:idx val="5"/>
          <c:order val="2"/>
          <c:tx>
            <c:strRef>
              <c:f>Projections!$A$168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Projections!$L$169:$AN$169</c15:sqref>
                  </c15:fullRef>
                </c:ext>
              </c:extLst>
              <c:f>Projections!$L$169:$AE$169</c:f>
              <c:numCache>
                <c:formatCode>#,##0</c:formatCode>
                <c:ptCount val="20"/>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4626.9901451352798</c:v>
                </c:pt>
                <c:pt idx="16">
                  <c:v>5398.1551693244928</c:v>
                </c:pt>
                <c:pt idx="17">
                  <c:v>5799.1609819028845</c:v>
                </c:pt>
                <c:pt idx="18">
                  <c:v>6169.3201935137067</c:v>
                </c:pt>
                <c:pt idx="19">
                  <c:v>12338.640387027413</c:v>
                </c:pt>
              </c:numCache>
            </c:numRef>
          </c:val>
          <c:smooth val="0"/>
          <c:extLst>
            <c:ext xmlns:c16="http://schemas.microsoft.com/office/drawing/2014/chart" uri="{C3380CC4-5D6E-409C-BE32-E72D297353CC}">
              <c16:uniqueId val="{00000002-FE50-482D-905D-7C3B099138E4}"/>
            </c:ext>
          </c:extLst>
        </c:ser>
        <c:ser>
          <c:idx val="7"/>
          <c:order val="3"/>
          <c:tx>
            <c:strRef>
              <c:f>Projections!$A$170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Projections!$L$171:$AN$171</c15:sqref>
                  </c15:fullRef>
                </c:ext>
              </c:extLst>
              <c:f>Projections!$L$171:$AE$171</c:f>
              <c:numCache>
                <c:formatCode>#,##0</c:formatCode>
                <c:ptCount val="20"/>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1550.9994624619244</c:v>
                </c:pt>
                <c:pt idx="16">
                  <c:v>1809.4993728722452</c:v>
                </c:pt>
                <c:pt idx="17">
                  <c:v>1943.9193262856118</c:v>
                </c:pt>
                <c:pt idx="18">
                  <c:v>2067.9992832825656</c:v>
                </c:pt>
                <c:pt idx="19">
                  <c:v>4135.9985665651311</c:v>
                </c:pt>
              </c:numCache>
            </c:numRef>
          </c:val>
          <c:smooth val="0"/>
          <c:extLst>
            <c:ext xmlns:c16="http://schemas.microsoft.com/office/drawing/2014/chart" uri="{C3380CC4-5D6E-409C-BE32-E72D297353CC}">
              <c16:uniqueId val="{00000003-FE50-482D-905D-7C3B099138E4}"/>
            </c:ext>
          </c:extLst>
        </c:ser>
        <c:ser>
          <c:idx val="9"/>
          <c:order val="4"/>
          <c:tx>
            <c:strRef>
              <c:f>Projections!$A$172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Projections!$L$173:$AN$173</c15:sqref>
                  </c15:fullRef>
                </c:ext>
              </c:extLst>
              <c:f>Projections!$L$173:$AE$173</c:f>
              <c:numCache>
                <c:formatCode>#,##0</c:formatCode>
                <c:ptCount val="20"/>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398.5178283461745</c:v>
                </c:pt>
                <c:pt idx="16">
                  <c:v>464.93746640387025</c:v>
                </c:pt>
                <c:pt idx="17">
                  <c:v>499.47567819387206</c:v>
                </c:pt>
                <c:pt idx="18">
                  <c:v>531.357104461566</c:v>
                </c:pt>
                <c:pt idx="19">
                  <c:v>1062.714208923132</c:v>
                </c:pt>
              </c:numCache>
            </c:numRef>
          </c:val>
          <c:smooth val="0"/>
          <c:extLst>
            <c:ext xmlns:c16="http://schemas.microsoft.com/office/drawing/2014/chart" uri="{C3380CC4-5D6E-409C-BE32-E72D297353CC}">
              <c16:uniqueId val="{00000004-FE50-482D-905D-7C3B099138E4}"/>
            </c:ext>
          </c:extLst>
        </c:ser>
        <c:ser>
          <c:idx val="11"/>
          <c:order val="5"/>
          <c:tx>
            <c:strRef>
              <c:f>Projections!$A$174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Projections!$L$175:$AN$175</c15:sqref>
                  </c15:fullRef>
                </c:ext>
              </c:extLst>
              <c:f>Projections!$L$175:$AE$175</c:f>
              <c:numCache>
                <c:formatCode>#,##0</c:formatCode>
                <c:ptCount val="20"/>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241.64271635907542</c:v>
                </c:pt>
                <c:pt idx="16">
                  <c:v>281.91650241892131</c:v>
                </c:pt>
                <c:pt idx="17">
                  <c:v>302.8588711700412</c:v>
                </c:pt>
                <c:pt idx="18">
                  <c:v>322.19028847876723</c:v>
                </c:pt>
                <c:pt idx="19">
                  <c:v>644.38057695753446</c:v>
                </c:pt>
              </c:numCache>
            </c:numRef>
          </c:val>
          <c:smooth val="0"/>
          <c:extLst>
            <c:ext xmlns:c16="http://schemas.microsoft.com/office/drawing/2014/chart" uri="{C3380CC4-5D6E-409C-BE32-E72D297353CC}">
              <c16:uniqueId val="{00000005-FE50-482D-905D-7C3B099138E4}"/>
            </c:ext>
          </c:extLst>
        </c:ser>
        <c:ser>
          <c:idx val="13"/>
          <c:order val="6"/>
          <c:tx>
            <c:strRef>
              <c:f>Projections!$A$176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Projections!$L$177:$AN$177</c15:sqref>
                  </c15:fullRef>
                </c:ext>
              </c:extLst>
              <c:f>Projections!$L$177:$AE$177</c:f>
              <c:numCache>
                <c:formatCode>#,##0</c:formatCode>
                <c:ptCount val="20"/>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331.914710625336</c:v>
                </c:pt>
                <c:pt idx="16">
                  <c:v>387.23382906289197</c:v>
                </c:pt>
                <c:pt idx="17">
                  <c:v>415.99977065042111</c:v>
                </c:pt>
                <c:pt idx="18">
                  <c:v>442.55294750044794</c:v>
                </c:pt>
                <c:pt idx="19">
                  <c:v>885.10589500089588</c:v>
                </c:pt>
              </c:numCache>
            </c:numRef>
          </c:val>
          <c:smooth val="0"/>
          <c:extLst>
            <c:ext xmlns:c16="http://schemas.microsoft.com/office/drawing/2014/chart" uri="{C3380CC4-5D6E-409C-BE32-E72D297353CC}">
              <c16:uniqueId val="{00000006-FE50-482D-905D-7C3B099138E4}"/>
            </c:ext>
          </c:extLst>
        </c:ser>
        <c:ser>
          <c:idx val="15"/>
          <c:order val="7"/>
          <c:tx>
            <c:strRef>
              <c:f>Projections!$A$178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Projections!$L$179:$AN$179</c15:sqref>
                  </c15:fullRef>
                </c:ext>
              </c:extLst>
              <c:f>Projections!$L$179:$AE$179</c:f>
              <c:numCache>
                <c:formatCode>#,##0</c:formatCode>
                <c:ptCount val="20"/>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44.310338648987639</c:v>
                </c:pt>
                <c:pt idx="16">
                  <c:v>51.695395090485576</c:v>
                </c:pt>
                <c:pt idx="17">
                  <c:v>55.535624440064502</c:v>
                </c:pt>
                <c:pt idx="18">
                  <c:v>59.080451531983513</c:v>
                </c:pt>
                <c:pt idx="19">
                  <c:v>118.16090306396703</c:v>
                </c:pt>
              </c:numCache>
            </c:numRef>
          </c:val>
          <c:smooth val="0"/>
          <c:extLst>
            <c:ext xmlns:c16="http://schemas.microsoft.com/office/drawing/2014/chart" uri="{C3380CC4-5D6E-409C-BE32-E72D297353CC}">
              <c16:uniqueId val="{00000007-FE50-482D-905D-7C3B099138E4}"/>
            </c:ext>
          </c:extLst>
        </c:ser>
        <c:ser>
          <c:idx val="17"/>
          <c:order val="8"/>
          <c:tx>
            <c:strRef>
              <c:f>Projections!$A$180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Projections!$L$181:$AN$181</c15:sqref>
                  </c15:fullRef>
                </c:ext>
              </c:extLst>
              <c:f>Projections!$L$181:$AE$181</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Projections!$A$193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Projections!$L$193:$AN$193</c15:sqref>
                  </c15:fullRef>
                </c:ext>
              </c:extLst>
              <c:f>Projections!$L$193:$AE$193</c:f>
              <c:numCache>
                <c:formatCode>#,##0</c:formatCode>
                <c:ptCount val="20"/>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353280</c:v>
                </c:pt>
                <c:pt idx="16">
                  <c:v>412160</c:v>
                </c:pt>
                <c:pt idx="17">
                  <c:v>442777.60000000003</c:v>
                </c:pt>
                <c:pt idx="18">
                  <c:v>471040</c:v>
                </c:pt>
                <c:pt idx="19">
                  <c:v>942080</c:v>
                </c:pt>
              </c:numCache>
            </c:numRef>
          </c:val>
          <c:smooth val="0"/>
          <c:extLst>
            <c:ext xmlns:c16="http://schemas.microsoft.com/office/drawing/2014/chart" uri="{C3380CC4-5D6E-409C-BE32-E72D297353CC}">
              <c16:uniqueId val="{00000000-C5BA-4495-93D4-AC4CA8674604}"/>
            </c:ext>
          </c:extLst>
        </c:ser>
        <c:ser>
          <c:idx val="4"/>
          <c:order val="1"/>
          <c:tx>
            <c:strRef>
              <c:f>Projections!$A$191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Projections!$L$191:$AN$191</c15:sqref>
                  </c15:fullRef>
                </c:ext>
              </c:extLst>
              <c:f>Projections!$L$191:$AE$191</c:f>
              <c:numCache>
                <c:formatCode>#,##0</c:formatCode>
                <c:ptCount val="20"/>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102912</c:v>
                </c:pt>
                <c:pt idx="16">
                  <c:v>120064</c:v>
                </c:pt>
                <c:pt idx="17">
                  <c:v>128983.04000000001</c:v>
                </c:pt>
                <c:pt idx="18">
                  <c:v>137216</c:v>
                </c:pt>
                <c:pt idx="19">
                  <c:v>274432</c:v>
                </c:pt>
              </c:numCache>
            </c:numRef>
          </c:val>
          <c:smooth val="0"/>
          <c:extLst>
            <c:ext xmlns:c16="http://schemas.microsoft.com/office/drawing/2014/chart" uri="{C3380CC4-5D6E-409C-BE32-E72D297353CC}">
              <c16:uniqueId val="{00000001-C5BA-4495-93D4-AC4CA8674604}"/>
            </c:ext>
          </c:extLst>
        </c:ser>
        <c:ser>
          <c:idx val="10"/>
          <c:order val="2"/>
          <c:tx>
            <c:strRef>
              <c:f>Projections!$A$197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Projections!$L$197:$AN$197</c15:sqref>
                  </c15:fullRef>
                </c:ext>
              </c:extLst>
              <c:f>Projections!$L$197:$AE$197</c:f>
              <c:numCache>
                <c:formatCode>#,##0</c:formatCode>
                <c:ptCount val="20"/>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119040</c:v>
                </c:pt>
                <c:pt idx="16">
                  <c:v>138880</c:v>
                </c:pt>
                <c:pt idx="17">
                  <c:v>149196.79999999999</c:v>
                </c:pt>
                <c:pt idx="18">
                  <c:v>158720</c:v>
                </c:pt>
                <c:pt idx="19">
                  <c:v>317440</c:v>
                </c:pt>
              </c:numCache>
            </c:numRef>
          </c:val>
          <c:smooth val="0"/>
          <c:extLst>
            <c:ext xmlns:c16="http://schemas.microsoft.com/office/drawing/2014/chart" uri="{C3380CC4-5D6E-409C-BE32-E72D297353CC}">
              <c16:uniqueId val="{00000002-C5BA-4495-93D4-AC4CA8674604}"/>
            </c:ext>
          </c:extLst>
        </c:ser>
        <c:ser>
          <c:idx val="0"/>
          <c:order val="3"/>
          <c:tx>
            <c:strRef>
              <c:f>Projections!$A$187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Projections!$L$187:$AN$187</c15:sqref>
                  </c15:fullRef>
                </c:ext>
              </c:extLst>
              <c:f>Projections!$L$187:$AE$187</c:f>
              <c:numCache>
                <c:formatCode>#,##0</c:formatCode>
                <c:ptCount val="20"/>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282624</c:v>
                </c:pt>
                <c:pt idx="16">
                  <c:v>329728</c:v>
                </c:pt>
                <c:pt idx="17">
                  <c:v>354222.08000000002</c:v>
                </c:pt>
                <c:pt idx="18">
                  <c:v>376832</c:v>
                </c:pt>
                <c:pt idx="19">
                  <c:v>753664</c:v>
                </c:pt>
              </c:numCache>
            </c:numRef>
          </c:val>
          <c:smooth val="0"/>
          <c:extLst>
            <c:ext xmlns:c16="http://schemas.microsoft.com/office/drawing/2014/chart" uri="{C3380CC4-5D6E-409C-BE32-E72D297353CC}">
              <c16:uniqueId val="{00000003-C5BA-4495-93D4-AC4CA8674604}"/>
            </c:ext>
          </c:extLst>
        </c:ser>
        <c:ser>
          <c:idx val="2"/>
          <c:order val="4"/>
          <c:tx>
            <c:strRef>
              <c:f>Projections!$A$189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Projections!$L$189:$AN$189</c15:sqref>
                  </c15:fullRef>
                </c:ext>
              </c:extLst>
              <c:f>Projections!$L$189:$AE$189</c:f>
              <c:numCache>
                <c:formatCode>#,##0</c:formatCode>
                <c:ptCount val="20"/>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75264</c:v>
                </c:pt>
                <c:pt idx="16">
                  <c:v>87808</c:v>
                </c:pt>
                <c:pt idx="17">
                  <c:v>94330.880000000005</c:v>
                </c:pt>
                <c:pt idx="18">
                  <c:v>100352</c:v>
                </c:pt>
                <c:pt idx="19">
                  <c:v>200704</c:v>
                </c:pt>
              </c:numCache>
            </c:numRef>
          </c:val>
          <c:smooth val="0"/>
          <c:extLst>
            <c:ext xmlns:c16="http://schemas.microsoft.com/office/drawing/2014/chart" uri="{C3380CC4-5D6E-409C-BE32-E72D297353CC}">
              <c16:uniqueId val="{00000004-C5BA-4495-93D4-AC4CA8674604}"/>
            </c:ext>
          </c:extLst>
        </c:ser>
        <c:ser>
          <c:idx val="8"/>
          <c:order val="5"/>
          <c:tx>
            <c:strRef>
              <c:f>Projections!$A$195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Projections!$L$195:$AN$195</c15:sqref>
                  </c15:fullRef>
                </c:ext>
              </c:extLst>
              <c:f>Projections!$L$195:$AE$195</c:f>
              <c:numCache>
                <c:formatCode>#,##0</c:formatCode>
                <c:ptCount val="20"/>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3371.52</c:v>
                </c:pt>
                <c:pt idx="16">
                  <c:v>3933.4399999999996</c:v>
                </c:pt>
                <c:pt idx="17">
                  <c:v>4225.6383999999998</c:v>
                </c:pt>
                <c:pt idx="18">
                  <c:v>4495.3599999999997</c:v>
                </c:pt>
                <c:pt idx="19">
                  <c:v>8990.7199999999993</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Projections!$A$193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Projections!$L$194:$AN$194</c15:sqref>
                  </c15:fullRef>
                </c:ext>
              </c:extLst>
              <c:f>Projections!$L$194:$AE$194</c:f>
              <c:numCache>
                <c:formatCode>#,##0</c:formatCode>
                <c:ptCount val="20"/>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21196.799999999999</c:v>
                </c:pt>
                <c:pt idx="16">
                  <c:v>24729.599999999999</c:v>
                </c:pt>
                <c:pt idx="17">
                  <c:v>26566.656000000003</c:v>
                </c:pt>
                <c:pt idx="18">
                  <c:v>28262.399999999998</c:v>
                </c:pt>
                <c:pt idx="19">
                  <c:v>56524.799999999996</c:v>
                </c:pt>
              </c:numCache>
            </c:numRef>
          </c:val>
          <c:smooth val="0"/>
          <c:extLst>
            <c:ext xmlns:c16="http://schemas.microsoft.com/office/drawing/2014/chart" uri="{C3380CC4-5D6E-409C-BE32-E72D297353CC}">
              <c16:uniqueId val="{00000000-5E66-4AF0-A3CA-7CF12153AA8E}"/>
            </c:ext>
          </c:extLst>
        </c:ser>
        <c:ser>
          <c:idx val="5"/>
          <c:order val="1"/>
          <c:tx>
            <c:strRef>
              <c:f>Projections!$A$191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Projections!$L$192:$AN$192</c15:sqref>
                  </c15:fullRef>
                </c:ext>
              </c:extLst>
              <c:f>Projections!$L$192:$AE$192</c:f>
              <c:numCache>
                <c:formatCode>#,##0</c:formatCode>
                <c:ptCount val="20"/>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6483.4560000000001</c:v>
                </c:pt>
                <c:pt idx="16">
                  <c:v>7564.0320000000002</c:v>
                </c:pt>
                <c:pt idx="17">
                  <c:v>8125.931520000001</c:v>
                </c:pt>
                <c:pt idx="18">
                  <c:v>8644.6080000000002</c:v>
                </c:pt>
                <c:pt idx="19">
                  <c:v>17289.216</c:v>
                </c:pt>
              </c:numCache>
            </c:numRef>
          </c:val>
          <c:smooth val="0"/>
          <c:extLst>
            <c:ext xmlns:c16="http://schemas.microsoft.com/office/drawing/2014/chart" uri="{C3380CC4-5D6E-409C-BE32-E72D297353CC}">
              <c16:uniqueId val="{00000001-5E66-4AF0-A3CA-7CF12153AA8E}"/>
            </c:ext>
          </c:extLst>
        </c:ser>
        <c:ser>
          <c:idx val="1"/>
          <c:order val="2"/>
          <c:tx>
            <c:strRef>
              <c:f>Projections!$A$187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Projections!$L$188:$AN$188</c15:sqref>
                  </c15:fullRef>
                </c:ext>
              </c:extLst>
              <c:f>Projections!$L$188:$AE$188</c:f>
              <c:numCache>
                <c:formatCode>#,##0</c:formatCode>
                <c:ptCount val="20"/>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29675.52</c:v>
                </c:pt>
                <c:pt idx="16">
                  <c:v>34621.440000000002</c:v>
                </c:pt>
                <c:pt idx="17">
                  <c:v>37193.318400000004</c:v>
                </c:pt>
                <c:pt idx="18">
                  <c:v>39567.360000000001</c:v>
                </c:pt>
                <c:pt idx="19">
                  <c:v>79134.720000000001</c:v>
                </c:pt>
              </c:numCache>
            </c:numRef>
          </c:val>
          <c:smooth val="0"/>
          <c:extLst>
            <c:ext xmlns:c16="http://schemas.microsoft.com/office/drawing/2014/chart" uri="{C3380CC4-5D6E-409C-BE32-E72D297353CC}">
              <c16:uniqueId val="{00000002-5E66-4AF0-A3CA-7CF12153AA8E}"/>
            </c:ext>
          </c:extLst>
        </c:ser>
        <c:ser>
          <c:idx val="3"/>
          <c:order val="3"/>
          <c:tx>
            <c:strRef>
              <c:f>Projections!$A$189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Projections!$L$190:$AN$190</c15:sqref>
                  </c15:fullRef>
                </c:ext>
              </c:extLst>
              <c:f>Projections!$L$190:$AE$190</c:f>
              <c:numCache>
                <c:formatCode>#,##0</c:formatCode>
                <c:ptCount val="20"/>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5494.2719999999999</c:v>
                </c:pt>
                <c:pt idx="16">
                  <c:v>6409.9839999999995</c:v>
                </c:pt>
                <c:pt idx="17">
                  <c:v>6886.1542399999998</c:v>
                </c:pt>
                <c:pt idx="18">
                  <c:v>7325.6959999999999</c:v>
                </c:pt>
                <c:pt idx="19">
                  <c:v>14651.392</c:v>
                </c:pt>
              </c:numCache>
            </c:numRef>
          </c:val>
          <c:smooth val="0"/>
          <c:extLst>
            <c:ext xmlns:c16="http://schemas.microsoft.com/office/drawing/2014/chart" uri="{C3380CC4-5D6E-409C-BE32-E72D297353CC}">
              <c16:uniqueId val="{00000003-5E66-4AF0-A3CA-7CF12153AA8E}"/>
            </c:ext>
          </c:extLst>
        </c:ser>
        <c:ser>
          <c:idx val="9"/>
          <c:order val="4"/>
          <c:tx>
            <c:strRef>
              <c:f>Projections!$A$195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Projections!$L$196:$AN$196</c15:sqref>
                  </c15:fullRef>
                </c:ext>
              </c:extLst>
              <c:f>Projections!$L$196:$AE$196</c:f>
              <c:numCache>
                <c:formatCode>#,##0</c:formatCode>
                <c:ptCount val="20"/>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188.80512000000002</c:v>
                </c:pt>
                <c:pt idx="16">
                  <c:v>220.27264</c:v>
                </c:pt>
                <c:pt idx="17">
                  <c:v>236.63575040000001</c:v>
                </c:pt>
                <c:pt idx="18">
                  <c:v>251.74015999999997</c:v>
                </c:pt>
                <c:pt idx="19">
                  <c:v>503.48031999999995</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Projections!$A$132</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Projections!$L$131:$AN$131</c15:sqref>
                  </c15:fullRef>
                </c:ext>
              </c:extLst>
              <c:f>Projections!$L$131:$AD$131</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numCache>
            </c:numRef>
          </c:cat>
          <c:val>
            <c:numRef>
              <c:extLst>
                <c:ext xmlns:c15="http://schemas.microsoft.com/office/drawing/2012/chart" uri="{02D57815-91ED-43cb-92C2-25804820EDAC}">
                  <c15:fullRef>
                    <c15:sqref>Projections!$L$132:$AN$132</c15:sqref>
                  </c15:fullRef>
                </c:ext>
              </c:extLst>
              <c:f>Projections!$L$132:$AD$132</c:f>
              <c:numCache>
                <c:formatCode>#,##0_ ;[Red]\-#,##0\ </c:formatCode>
                <c:ptCount val="1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768000</c:v>
                </c:pt>
                <c:pt idx="16">
                  <c:v>896000</c:v>
                </c:pt>
                <c:pt idx="17">
                  <c:v>962560</c:v>
                </c:pt>
                <c:pt idx="18">
                  <c:v>1024000</c:v>
                </c:pt>
              </c:numCache>
            </c:numRef>
          </c:val>
          <c:smooth val="0"/>
          <c:extLst>
            <c:ext xmlns:c16="http://schemas.microsoft.com/office/drawing/2014/chart" uri="{C3380CC4-5D6E-409C-BE32-E72D297353CC}">
              <c16:uniqueId val="{00000000-9DE3-43B6-B60B-9B4AA4851702}"/>
            </c:ext>
          </c:extLst>
        </c:ser>
        <c:ser>
          <c:idx val="1"/>
          <c:order val="1"/>
          <c:tx>
            <c:strRef>
              <c:f>Projections!$A$156</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Projections!$L$131:$AN$131</c15:sqref>
                  </c15:fullRef>
                </c:ext>
              </c:extLst>
              <c:f>Projections!$L$131:$AD$131</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numCache>
            </c:numRef>
          </c:cat>
          <c:val>
            <c:numRef>
              <c:extLst>
                <c:ext xmlns:c15="http://schemas.microsoft.com/office/drawing/2012/chart" uri="{02D57815-91ED-43cb-92C2-25804820EDAC}">
                  <c15:fullRef>
                    <c15:sqref>Projections!$L$156:$AN$156</c15:sqref>
                  </c15:fullRef>
                </c:ext>
              </c:extLst>
              <c:f>Projections!$L$156:$AD$156</c:f>
              <c:numCache>
                <c:formatCode>General</c:formatCode>
                <c:ptCount val="19"/>
                <c:pt idx="0">
                  <c:v>35</c:v>
                </c:pt>
                <c:pt idx="1">
                  <c:v>68</c:v>
                </c:pt>
                <c:pt idx="2" formatCode="#,##0">
                  <c:v>124</c:v>
                </c:pt>
                <c:pt idx="3" formatCode="#,##0">
                  <c:v>221</c:v>
                </c:pt>
                <c:pt idx="4" formatCode="#,##0">
                  <c:v>541</c:v>
                </c:pt>
                <c:pt idx="5" formatCode="#,##0">
                  <c:v>1301</c:v>
                </c:pt>
                <c:pt idx="6" formatCode="#,##0">
                  <c:v>2770</c:v>
                </c:pt>
                <c:pt idx="7" formatCode="#,##0">
                  <c:v>4596</c:v>
                </c:pt>
                <c:pt idx="8" formatCode="#,##0">
                  <c:v>9296</c:v>
                </c:pt>
                <c:pt idx="9" formatCode="#,##0">
                  <c:v>19497</c:v>
                </c:pt>
                <c:pt idx="10" formatCode="#,##0">
                  <c:v>33745</c:v>
                </c:pt>
                <c:pt idx="11" formatCode="#,##0">
                  <c:v>68673</c:v>
                </c:pt>
                <c:pt idx="12" formatCode="#,##0">
                  <c:v>124256</c:v>
                </c:pt>
                <c:pt idx="13" formatCode="#,##0">
                  <c:v>246729</c:v>
                </c:pt>
                <c:pt idx="14" formatCode="#,##0">
                  <c:v>536145</c:v>
                </c:pt>
                <c:pt idx="15" formatCode="#,##0">
                  <c:v>764671</c:v>
                </c:pt>
                <c:pt idx="16" formatCode="#,##0">
                  <c:v>886274</c:v>
                </c:pt>
                <c:pt idx="17" formatCode="#,##0">
                  <c:v>962560</c:v>
                </c:pt>
                <c:pt idx="18" formatCode="#,##0">
                  <c:v>1072290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Projections!$A$146</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Projections!$L$131:$AN$131</c15:sqref>
                  </c15:fullRef>
                </c:ext>
              </c:extLst>
              <c:f>Projections!$L$131:$AD$131</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numCache>
            </c:numRef>
          </c:cat>
          <c:val>
            <c:numRef>
              <c:extLst>
                <c:ext xmlns:c15="http://schemas.microsoft.com/office/drawing/2012/chart" uri="{02D57815-91ED-43cb-92C2-25804820EDAC}">
                  <c15:fullRef>
                    <c15:sqref>Projections!$L$146:$AN$146</c15:sqref>
                  </c15:fullRef>
                </c:ext>
              </c:extLst>
              <c:f>Projections!$L$146:$AD$146</c:f>
              <c:numCache>
                <c:formatCode>#,##0_ ;[Red]\-#,##0\ </c:formatCode>
                <c:ptCount val="19"/>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43008</c:v>
                </c:pt>
                <c:pt idx="16">
                  <c:v>50176</c:v>
                </c:pt>
                <c:pt idx="17">
                  <c:v>53903.360000000001</c:v>
                </c:pt>
                <c:pt idx="18">
                  <c:v>57344</c:v>
                </c:pt>
              </c:numCache>
            </c:numRef>
          </c:val>
          <c:smooth val="0"/>
          <c:extLst>
            <c:ext xmlns:c16="http://schemas.microsoft.com/office/drawing/2014/chart" uri="{C3380CC4-5D6E-409C-BE32-E72D297353CC}">
              <c16:uniqueId val="{00000000-FE1B-4946-A476-7952C5C71231}"/>
            </c:ext>
          </c:extLst>
        </c:ser>
        <c:ser>
          <c:idx val="1"/>
          <c:order val="1"/>
          <c:tx>
            <c:strRef>
              <c:f>Projections!$A$160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Projections!$L$131:$AN$131</c15:sqref>
                  </c15:fullRef>
                </c:ext>
              </c:extLst>
              <c:f>Projections!$L$131:$AD$131</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numCache>
            </c:numRef>
          </c:cat>
          <c:val>
            <c:numRef>
              <c:extLst>
                <c:ext xmlns:c15="http://schemas.microsoft.com/office/drawing/2012/chart" uri="{02D57815-91ED-43cb-92C2-25804820EDAC}">
                  <c15:fullRef>
                    <c15:sqref>Projections!$L$160:$AN$160</c15:sqref>
                  </c15:fullRef>
                </c:ext>
              </c:extLst>
              <c:f>Projections!$L$160:$AD$160</c:f>
              <c:numCache>
                <c:formatCode>General</c:formatCode>
                <c:ptCount val="19"/>
                <c:pt idx="0">
                  <c:v>0</c:v>
                </c:pt>
                <c:pt idx="1">
                  <c:v>1</c:v>
                </c:pt>
                <c:pt idx="2" formatCode="#,##0">
                  <c:v>9</c:v>
                </c:pt>
                <c:pt idx="3" formatCode="#,##0">
                  <c:v>12</c:v>
                </c:pt>
                <c:pt idx="4" formatCode="#,##0">
                  <c:v>22</c:v>
                </c:pt>
                <c:pt idx="5" formatCode="#,##0">
                  <c:v>38</c:v>
                </c:pt>
                <c:pt idx="6" formatCode="#,##0">
                  <c:v>57</c:v>
                </c:pt>
                <c:pt idx="7" formatCode="#,##0">
                  <c:v>87</c:v>
                </c:pt>
                <c:pt idx="8" formatCode="#,##0">
                  <c:v>150</c:v>
                </c:pt>
                <c:pt idx="9" formatCode="#,##0">
                  <c:v>255</c:v>
                </c:pt>
                <c:pt idx="10" formatCode="#,##0">
                  <c:v>414</c:v>
                </c:pt>
                <c:pt idx="11" formatCode="#,##0">
                  <c:v>1028</c:v>
                </c:pt>
                <c:pt idx="12" formatCode="#,##0">
                  <c:v>2222</c:v>
                </c:pt>
                <c:pt idx="13" formatCode="#,##0">
                  <c:v>6088</c:v>
                </c:pt>
                <c:pt idx="14" formatCode="#,##0">
                  <c:v>23843</c:v>
                </c:pt>
                <c:pt idx="15" formatCode="#,##0">
                  <c:v>40575</c:v>
                </c:pt>
                <c:pt idx="16" formatCode="#,##0">
                  <c:v>50894</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43907.770149189811</c:v>
                </c:pt>
                <c:pt idx="1">
                  <c:v>43910.770149189811</c:v>
                </c:pt>
                <c:pt idx="2">
                  <c:v>43913.770149189811</c:v>
                </c:pt>
                <c:pt idx="3">
                  <c:v>43916.770149189811</c:v>
                </c:pt>
                <c:pt idx="4">
                  <c:v>43919.770149189811</c:v>
                </c:pt>
                <c:pt idx="5">
                  <c:v>43922.770149189811</c:v>
                </c:pt>
                <c:pt idx="6">
                  <c:v>43925.770149189811</c:v>
                </c:pt>
                <c:pt idx="7">
                  <c:v>43928.770149189811</c:v>
                </c:pt>
                <c:pt idx="8">
                  <c:v>43931.770149189811</c:v>
                </c:pt>
                <c:pt idx="9">
                  <c:v>43934.770149189811</c:v>
                </c:pt>
                <c:pt idx="10">
                  <c:v>43937.770149189811</c:v>
                </c:pt>
                <c:pt idx="11">
                  <c:v>43940.770149189811</c:v>
                </c:pt>
                <c:pt idx="12">
                  <c:v>43943.770149189811</c:v>
                </c:pt>
                <c:pt idx="13">
                  <c:v>43946.770149189811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43907.770149189811</c:v>
                </c:pt>
                <c:pt idx="1">
                  <c:v>43910.770149189811</c:v>
                </c:pt>
                <c:pt idx="2">
                  <c:v>43913.770149189811</c:v>
                </c:pt>
                <c:pt idx="3">
                  <c:v>43916.770149189811</c:v>
                </c:pt>
                <c:pt idx="4">
                  <c:v>43919.770149189811</c:v>
                </c:pt>
                <c:pt idx="5">
                  <c:v>43922.770149189811</c:v>
                </c:pt>
                <c:pt idx="6">
                  <c:v>43925.770149189811</c:v>
                </c:pt>
                <c:pt idx="7">
                  <c:v>43928.770149189811</c:v>
                </c:pt>
                <c:pt idx="8">
                  <c:v>43931.770149189811</c:v>
                </c:pt>
                <c:pt idx="9">
                  <c:v>43934.770149189811</c:v>
                </c:pt>
                <c:pt idx="10">
                  <c:v>43937.770149189811</c:v>
                </c:pt>
                <c:pt idx="11">
                  <c:v>43940.770149189811</c:v>
                </c:pt>
                <c:pt idx="12">
                  <c:v>43943.770149189811</c:v>
                </c:pt>
                <c:pt idx="13">
                  <c:v>43946.770149189811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17.857142857142861</c:v>
                </c:pt>
                <c:pt idx="3">
                  <c:v>35.714285714285722</c:v>
                </c:pt>
                <c:pt idx="4">
                  <c:v>57.857142857142875</c:v>
                </c:pt>
                <c:pt idx="5">
                  <c:v>115.71428571428575</c:v>
                </c:pt>
                <c:pt idx="6">
                  <c:v>231.4285714285715</c:v>
                </c:pt>
                <c:pt idx="7">
                  <c:v>448.39285714285728</c:v>
                </c:pt>
                <c:pt idx="8">
                  <c:v>896.78571428571456</c:v>
                </c:pt>
                <c:pt idx="9">
                  <c:v>1793.5714285714291</c:v>
                </c:pt>
                <c:pt idx="10">
                  <c:v>3587.1428571428582</c:v>
                </c:pt>
                <c:pt idx="11">
                  <c:v>7174.2857142857165</c:v>
                </c:pt>
                <c:pt idx="12">
                  <c:v>14363.035714285719</c:v>
                </c:pt>
                <c:pt idx="13">
                  <c:v>28726.071428571438</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43907.770149189811</c:v>
                </c:pt>
                <c:pt idx="1">
                  <c:v>43910.770149189811</c:v>
                </c:pt>
                <c:pt idx="2">
                  <c:v>43913.770149189811</c:v>
                </c:pt>
                <c:pt idx="3">
                  <c:v>43916.770149189811</c:v>
                </c:pt>
                <c:pt idx="4">
                  <c:v>43919.770149189811</c:v>
                </c:pt>
                <c:pt idx="5">
                  <c:v>43922.770149189811</c:v>
                </c:pt>
                <c:pt idx="6">
                  <c:v>43925.770149189811</c:v>
                </c:pt>
                <c:pt idx="7">
                  <c:v>43928.770149189811</c:v>
                </c:pt>
                <c:pt idx="8">
                  <c:v>43931.770149189811</c:v>
                </c:pt>
                <c:pt idx="9">
                  <c:v>43934.770149189811</c:v>
                </c:pt>
                <c:pt idx="10">
                  <c:v>43937.770149189811</c:v>
                </c:pt>
                <c:pt idx="11">
                  <c:v>43940.770149189811</c:v>
                </c:pt>
                <c:pt idx="12">
                  <c:v>43943.770149189811</c:v>
                </c:pt>
                <c:pt idx="13">
                  <c:v>43946.770149189811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13.571428571428575</c:v>
                </c:pt>
                <c:pt idx="5">
                  <c:v>27.142857142857149</c:v>
                </c:pt>
                <c:pt idx="6">
                  <c:v>40.000000000000014</c:v>
                </c:pt>
                <c:pt idx="7">
                  <c:v>80.000000000000028</c:v>
                </c:pt>
                <c:pt idx="8">
                  <c:v>160.00000000000006</c:v>
                </c:pt>
                <c:pt idx="9">
                  <c:v>320.00000000000011</c:v>
                </c:pt>
                <c:pt idx="10">
                  <c:v>640.00000000000023</c:v>
                </c:pt>
                <c:pt idx="11">
                  <c:v>1280.0000000000005</c:v>
                </c:pt>
                <c:pt idx="12">
                  <c:v>2560.0000000000009</c:v>
                </c:pt>
                <c:pt idx="13">
                  <c:v>5120.0000000000018</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43907.770149189811</c:v>
                </c:pt>
                <c:pt idx="1">
                  <c:v>43910.770149189811</c:v>
                </c:pt>
                <c:pt idx="2">
                  <c:v>43913.770149189811</c:v>
                </c:pt>
                <c:pt idx="3">
                  <c:v>43916.770149189811</c:v>
                </c:pt>
                <c:pt idx="4">
                  <c:v>43919.770149189811</c:v>
                </c:pt>
                <c:pt idx="5">
                  <c:v>43922.770149189811</c:v>
                </c:pt>
                <c:pt idx="6">
                  <c:v>43925.770149189811</c:v>
                </c:pt>
                <c:pt idx="7">
                  <c:v>43928.770149189811</c:v>
                </c:pt>
                <c:pt idx="8">
                  <c:v>43931.770149189811</c:v>
                </c:pt>
                <c:pt idx="9">
                  <c:v>43934.770149189811</c:v>
                </c:pt>
                <c:pt idx="10">
                  <c:v>43937.770149189811</c:v>
                </c:pt>
                <c:pt idx="11">
                  <c:v>43940.770149189811</c:v>
                </c:pt>
                <c:pt idx="12">
                  <c:v>43943.770149189811</c:v>
                </c:pt>
                <c:pt idx="13">
                  <c:v>43946.770149189811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14.28571428571429</c:v>
                </c:pt>
                <c:pt idx="7">
                  <c:v>28.57142857142858</c:v>
                </c:pt>
                <c:pt idx="8">
                  <c:v>57.14285714285716</c:v>
                </c:pt>
                <c:pt idx="9">
                  <c:v>114.28571428571432</c:v>
                </c:pt>
                <c:pt idx="10">
                  <c:v>228.57142857142864</c:v>
                </c:pt>
                <c:pt idx="11">
                  <c:v>457.14285714285728</c:v>
                </c:pt>
                <c:pt idx="12">
                  <c:v>914.28571428571456</c:v>
                </c:pt>
                <c:pt idx="13">
                  <c:v>1828.5714285714291</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43907.770149189811</c:v>
                </c:pt>
                <c:pt idx="1">
                  <c:v>43910.770149189811</c:v>
                </c:pt>
                <c:pt idx="2">
                  <c:v>43913.770149189811</c:v>
                </c:pt>
                <c:pt idx="3">
                  <c:v>43916.770149189811</c:v>
                </c:pt>
                <c:pt idx="4">
                  <c:v>43919.770149189811</c:v>
                </c:pt>
                <c:pt idx="5">
                  <c:v>43922.770149189811</c:v>
                </c:pt>
                <c:pt idx="6">
                  <c:v>43925.770149189811</c:v>
                </c:pt>
                <c:pt idx="7">
                  <c:v>43928.770149189811</c:v>
                </c:pt>
                <c:pt idx="8">
                  <c:v>43931.770149189811</c:v>
                </c:pt>
                <c:pt idx="9">
                  <c:v>43934.770149189811</c:v>
                </c:pt>
                <c:pt idx="10">
                  <c:v>43937.770149189811</c:v>
                </c:pt>
                <c:pt idx="11">
                  <c:v>43940.770149189811</c:v>
                </c:pt>
                <c:pt idx="12">
                  <c:v>43943.770149189811</c:v>
                </c:pt>
                <c:pt idx="13">
                  <c:v>43946.770149189811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148.80952380952382</c:v>
                </c:pt>
                <c:pt idx="1">
                  <c:v>297.61904761904765</c:v>
                </c:pt>
                <c:pt idx="2">
                  <c:v>595.2380952380953</c:v>
                </c:pt>
                <c:pt idx="3">
                  <c:v>1190.4761904761906</c:v>
                </c:pt>
                <c:pt idx="4">
                  <c:v>2380.9523809523812</c:v>
                </c:pt>
                <c:pt idx="5">
                  <c:v>4761.9047619047624</c:v>
                </c:pt>
                <c:pt idx="6">
                  <c:v>9523.8095238095248</c:v>
                </c:pt>
                <c:pt idx="7">
                  <c:v>19047.61904761905</c:v>
                </c:pt>
                <c:pt idx="8">
                  <c:v>38095.238095238099</c:v>
                </c:pt>
                <c:pt idx="9">
                  <c:v>76190.476190476198</c:v>
                </c:pt>
                <c:pt idx="10">
                  <c:v>152380.9523809524</c:v>
                </c:pt>
                <c:pt idx="11">
                  <c:v>304761.90476190479</c:v>
                </c:pt>
                <c:pt idx="12">
                  <c:v>609523.80952380958</c:v>
                </c:pt>
                <c:pt idx="13">
                  <c:v>1219047.6190476192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43907.770149189811</c:v>
                </c:pt>
                <c:pt idx="1">
                  <c:v>43910.770149189811</c:v>
                </c:pt>
                <c:pt idx="2">
                  <c:v>43913.770149189811</c:v>
                </c:pt>
                <c:pt idx="3">
                  <c:v>43916.770149189811</c:v>
                </c:pt>
                <c:pt idx="4">
                  <c:v>43919.770149189811</c:v>
                </c:pt>
                <c:pt idx="5">
                  <c:v>43922.770149189811</c:v>
                </c:pt>
                <c:pt idx="6">
                  <c:v>43925.770149189811</c:v>
                </c:pt>
                <c:pt idx="7">
                  <c:v>43928.770149189811</c:v>
                </c:pt>
                <c:pt idx="8">
                  <c:v>43931.770149189811</c:v>
                </c:pt>
                <c:pt idx="9">
                  <c:v>43934.770149189811</c:v>
                </c:pt>
                <c:pt idx="10">
                  <c:v>43937.770149189811</c:v>
                </c:pt>
                <c:pt idx="11">
                  <c:v>43940.770149189811</c:v>
                </c:pt>
                <c:pt idx="12">
                  <c:v>43943.770149189811</c:v>
                </c:pt>
                <c:pt idx="13">
                  <c:v>43946.770149189811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130.95238095238096</c:v>
                </c:pt>
                <c:pt idx="1">
                  <c:v>261.90476190476193</c:v>
                </c:pt>
                <c:pt idx="2">
                  <c:v>523.80952380952385</c:v>
                </c:pt>
                <c:pt idx="3">
                  <c:v>1047.6190476190477</c:v>
                </c:pt>
                <c:pt idx="4">
                  <c:v>2095.2380952380954</c:v>
                </c:pt>
                <c:pt idx="5">
                  <c:v>4190.4761904761908</c:v>
                </c:pt>
                <c:pt idx="6">
                  <c:v>8380.9523809523816</c:v>
                </c:pt>
                <c:pt idx="7">
                  <c:v>16761.904761904763</c:v>
                </c:pt>
                <c:pt idx="8">
                  <c:v>33523.809523809527</c:v>
                </c:pt>
                <c:pt idx="9">
                  <c:v>67047.619047619053</c:v>
                </c:pt>
                <c:pt idx="10">
                  <c:v>134095.23809523811</c:v>
                </c:pt>
                <c:pt idx="11">
                  <c:v>268190.47619047621</c:v>
                </c:pt>
                <c:pt idx="12">
                  <c:v>536380.95238095243</c:v>
                </c:pt>
                <c:pt idx="13">
                  <c:v>1072761.9047619049</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43907.770149189811</c:v>
                </c:pt>
                <c:pt idx="1">
                  <c:v>43910.770149189811</c:v>
                </c:pt>
                <c:pt idx="2">
                  <c:v>43913.770149189811</c:v>
                </c:pt>
                <c:pt idx="3">
                  <c:v>43916.770149189811</c:v>
                </c:pt>
                <c:pt idx="4">
                  <c:v>43919.770149189811</c:v>
                </c:pt>
                <c:pt idx="5">
                  <c:v>43922.770149189811</c:v>
                </c:pt>
                <c:pt idx="6">
                  <c:v>43925.770149189811</c:v>
                </c:pt>
                <c:pt idx="7">
                  <c:v>43928.770149189811</c:v>
                </c:pt>
                <c:pt idx="8">
                  <c:v>43931.770149189811</c:v>
                </c:pt>
                <c:pt idx="9">
                  <c:v>43934.770149189811</c:v>
                </c:pt>
                <c:pt idx="10">
                  <c:v>43937.770149189811</c:v>
                </c:pt>
                <c:pt idx="11">
                  <c:v>43940.770149189811</c:v>
                </c:pt>
                <c:pt idx="12">
                  <c:v>43943.770149189811</c:v>
                </c:pt>
                <c:pt idx="13">
                  <c:v>43946.770149189811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43907.770149189811</c:v>
                </c:pt>
                <c:pt idx="1">
                  <c:v>43910.770149189811</c:v>
                </c:pt>
                <c:pt idx="2">
                  <c:v>43913.770149189811</c:v>
                </c:pt>
                <c:pt idx="3">
                  <c:v>43916.770149189811</c:v>
                </c:pt>
                <c:pt idx="4">
                  <c:v>43919.770149189811</c:v>
                </c:pt>
                <c:pt idx="5">
                  <c:v>43922.770149189811</c:v>
                </c:pt>
                <c:pt idx="6">
                  <c:v>43925.770149189811</c:v>
                </c:pt>
                <c:pt idx="7">
                  <c:v>43928.770149189811</c:v>
                </c:pt>
                <c:pt idx="8">
                  <c:v>43931.770149189811</c:v>
                </c:pt>
                <c:pt idx="9">
                  <c:v>43934.770149189811</c:v>
                </c:pt>
                <c:pt idx="10">
                  <c:v>43937.770149189811</c:v>
                </c:pt>
                <c:pt idx="11">
                  <c:v>43940.770149189811</c:v>
                </c:pt>
                <c:pt idx="12">
                  <c:v>43943.770149189811</c:v>
                </c:pt>
                <c:pt idx="13">
                  <c:v>43946.770149189811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43907.770149189811</c:v>
                </c:pt>
                <c:pt idx="1">
                  <c:v>43910.770149189811</c:v>
                </c:pt>
                <c:pt idx="2">
                  <c:v>43913.770149189811</c:v>
                </c:pt>
                <c:pt idx="3">
                  <c:v>43916.770149189811</c:v>
                </c:pt>
                <c:pt idx="4">
                  <c:v>43919.770149189811</c:v>
                </c:pt>
                <c:pt idx="5">
                  <c:v>43922.770149189811</c:v>
                </c:pt>
                <c:pt idx="6">
                  <c:v>43925.770149189811</c:v>
                </c:pt>
                <c:pt idx="7">
                  <c:v>43928.770149189811</c:v>
                </c:pt>
                <c:pt idx="8">
                  <c:v>43931.770149189811</c:v>
                </c:pt>
                <c:pt idx="9">
                  <c:v>43934.770149189811</c:v>
                </c:pt>
                <c:pt idx="10">
                  <c:v>43937.770149189811</c:v>
                </c:pt>
                <c:pt idx="11">
                  <c:v>43940.770149189811</c:v>
                </c:pt>
                <c:pt idx="12">
                  <c:v>43943.770149189811</c:v>
                </c:pt>
                <c:pt idx="13">
                  <c:v>43946.770149189811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17.857142857142861</c:v>
                </c:pt>
                <c:pt idx="3">
                  <c:v>35.714285714285722</c:v>
                </c:pt>
                <c:pt idx="4">
                  <c:v>57.857142857142875</c:v>
                </c:pt>
                <c:pt idx="5">
                  <c:v>115.71428571428575</c:v>
                </c:pt>
                <c:pt idx="6">
                  <c:v>231.4285714285715</c:v>
                </c:pt>
                <c:pt idx="7">
                  <c:v>448.39285714285728</c:v>
                </c:pt>
                <c:pt idx="8">
                  <c:v>896.78571428571456</c:v>
                </c:pt>
                <c:pt idx="9">
                  <c:v>1793.5714285714291</c:v>
                </c:pt>
                <c:pt idx="10">
                  <c:v>3587.1428571428582</c:v>
                </c:pt>
                <c:pt idx="11">
                  <c:v>7174.2857142857165</c:v>
                </c:pt>
                <c:pt idx="12">
                  <c:v>14363.035714285719</c:v>
                </c:pt>
                <c:pt idx="13">
                  <c:v>28726.071428571438</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43907.770149189811</c:v>
                </c:pt>
                <c:pt idx="1">
                  <c:v>43910.770149189811</c:v>
                </c:pt>
                <c:pt idx="2">
                  <c:v>43913.770149189811</c:v>
                </c:pt>
                <c:pt idx="3">
                  <c:v>43916.770149189811</c:v>
                </c:pt>
                <c:pt idx="4">
                  <c:v>43919.770149189811</c:v>
                </c:pt>
                <c:pt idx="5">
                  <c:v>43922.770149189811</c:v>
                </c:pt>
                <c:pt idx="6">
                  <c:v>43925.770149189811</c:v>
                </c:pt>
                <c:pt idx="7">
                  <c:v>43928.770149189811</c:v>
                </c:pt>
                <c:pt idx="8">
                  <c:v>43931.770149189811</c:v>
                </c:pt>
                <c:pt idx="9">
                  <c:v>43934.770149189811</c:v>
                </c:pt>
                <c:pt idx="10">
                  <c:v>43937.770149189811</c:v>
                </c:pt>
                <c:pt idx="11">
                  <c:v>43940.770149189811</c:v>
                </c:pt>
                <c:pt idx="12">
                  <c:v>43943.770149189811</c:v>
                </c:pt>
                <c:pt idx="13">
                  <c:v>43946.770149189811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13.571428571428575</c:v>
                </c:pt>
                <c:pt idx="5">
                  <c:v>27.142857142857149</c:v>
                </c:pt>
                <c:pt idx="6">
                  <c:v>40.000000000000014</c:v>
                </c:pt>
                <c:pt idx="7">
                  <c:v>80.000000000000028</c:v>
                </c:pt>
                <c:pt idx="8">
                  <c:v>160.00000000000006</c:v>
                </c:pt>
                <c:pt idx="9">
                  <c:v>320.00000000000011</c:v>
                </c:pt>
                <c:pt idx="10">
                  <c:v>640.00000000000023</c:v>
                </c:pt>
                <c:pt idx="11">
                  <c:v>1280.0000000000005</c:v>
                </c:pt>
                <c:pt idx="12">
                  <c:v>2560.0000000000009</c:v>
                </c:pt>
                <c:pt idx="13">
                  <c:v>5120.0000000000018</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43907.770149189811</c:v>
                </c:pt>
                <c:pt idx="1">
                  <c:v>43910.770149189811</c:v>
                </c:pt>
                <c:pt idx="2">
                  <c:v>43913.770149189811</c:v>
                </c:pt>
                <c:pt idx="3">
                  <c:v>43916.770149189811</c:v>
                </c:pt>
                <c:pt idx="4">
                  <c:v>43919.770149189811</c:v>
                </c:pt>
                <c:pt idx="5">
                  <c:v>43922.770149189811</c:v>
                </c:pt>
                <c:pt idx="6">
                  <c:v>43925.770149189811</c:v>
                </c:pt>
                <c:pt idx="7">
                  <c:v>43928.770149189811</c:v>
                </c:pt>
                <c:pt idx="8">
                  <c:v>43931.770149189811</c:v>
                </c:pt>
                <c:pt idx="9">
                  <c:v>43934.770149189811</c:v>
                </c:pt>
                <c:pt idx="10">
                  <c:v>43937.770149189811</c:v>
                </c:pt>
                <c:pt idx="11">
                  <c:v>43940.770149189811</c:v>
                </c:pt>
                <c:pt idx="12">
                  <c:v>43943.770149189811</c:v>
                </c:pt>
                <c:pt idx="13">
                  <c:v>43946.770149189811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14.28571428571429</c:v>
                </c:pt>
                <c:pt idx="7">
                  <c:v>28.57142857142858</c:v>
                </c:pt>
                <c:pt idx="8">
                  <c:v>57.14285714285716</c:v>
                </c:pt>
                <c:pt idx="9">
                  <c:v>114.28571428571432</c:v>
                </c:pt>
                <c:pt idx="10">
                  <c:v>228.57142857142864</c:v>
                </c:pt>
                <c:pt idx="11">
                  <c:v>457.14285714285728</c:v>
                </c:pt>
                <c:pt idx="12">
                  <c:v>914.28571428571456</c:v>
                </c:pt>
                <c:pt idx="13">
                  <c:v>1828.5714285714291</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Projections!$A$142</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Projections!$L$142:$AN$142</c15:sqref>
                  </c15:fullRef>
                </c:ext>
              </c:extLst>
              <c:f>Projections!$L$142:$AE$142</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64486.753877005009</c:v>
                </c:pt>
                <c:pt idx="15">
                  <c:v>110286.44118825588</c:v>
                </c:pt>
                <c:pt idx="16">
                  <c:v>278165.1302392949</c:v>
                </c:pt>
                <c:pt idx="17">
                  <c:v>296213.7247081736</c:v>
                </c:pt>
                <c:pt idx="18">
                  <c:v>187479.91014906965</c:v>
                </c:pt>
                <c:pt idx="19">
                  <c:v>4242337.4975304874</c:v>
                </c:pt>
              </c:numCache>
            </c:numRef>
          </c:val>
          <c:smooth val="0"/>
          <c:extLst>
            <c:ext xmlns:c16="http://schemas.microsoft.com/office/drawing/2014/chart" uri="{C3380CC4-5D6E-409C-BE32-E72D297353CC}">
              <c16:uniqueId val="{00000003-5231-4BE2-97ED-54F0C3DB105C}"/>
            </c:ext>
          </c:extLst>
        </c:ser>
        <c:ser>
          <c:idx val="2"/>
          <c:order val="1"/>
          <c:tx>
            <c:strRef>
              <c:f>Projections!$A$143</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Projections!$L$143:$AN$143</c15:sqref>
                  </c15:fullRef>
                </c:ext>
              </c:extLst>
              <c:f>Projections!$L$143:$AE$143</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58944.211012749765</c:v>
                </c:pt>
                <c:pt idx="15">
                  <c:v>89305.491515294882</c:v>
                </c:pt>
                <c:pt idx="16">
                  <c:v>219109.46445462987</c:v>
                </c:pt>
                <c:pt idx="17">
                  <c:v>252328.16003405603</c:v>
                </c:pt>
                <c:pt idx="18">
                  <c:v>97631.629011726094</c:v>
                </c:pt>
                <c:pt idx="19">
                  <c:v>3376545.6375662182</c:v>
                </c:pt>
              </c:numCache>
            </c:numRef>
          </c:val>
          <c:smooth val="0"/>
          <c:extLst>
            <c:ext xmlns:c16="http://schemas.microsoft.com/office/drawing/2014/chart" uri="{C3380CC4-5D6E-409C-BE32-E72D297353CC}">
              <c16:uniqueId val="{00000002-9381-4A4E-BB43-DCD8EC2F4E00}"/>
            </c:ext>
          </c:extLst>
        </c:ser>
        <c:ser>
          <c:idx val="0"/>
          <c:order val="2"/>
          <c:tx>
            <c:strRef>
              <c:f>Projections!$A$144</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Projections!$L$144:$AN$144</c15:sqref>
                  </c15:fullRef>
                </c:ext>
              </c:extLst>
              <c:f>Projections!$L$144:$AE$144</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123.66071428571428</c:v>
                </c:pt>
                <c:pt idx="13">
                  <c:v>514.38422097436683</c:v>
                </c:pt>
                <c:pt idx="14">
                  <c:v>5547.1428571428523</c:v>
                </c:pt>
                <c:pt idx="15">
                  <c:v>21064.166989278907</c:v>
                </c:pt>
                <c:pt idx="16">
                  <c:v>59437.380783151777</c:v>
                </c:pt>
                <c:pt idx="17">
                  <c:v>48179.391558528085</c:v>
                </c:pt>
                <c:pt idx="18">
                  <c:v>91609.604192306695</c:v>
                </c:pt>
                <c:pt idx="19">
                  <c:v>462220.87166905875</c:v>
                </c:pt>
              </c:numCache>
            </c:numRef>
          </c:val>
          <c:smooth val="0"/>
          <c:extLst>
            <c:ext xmlns:c16="http://schemas.microsoft.com/office/drawing/2014/chart" uri="{C3380CC4-5D6E-409C-BE32-E72D297353CC}">
              <c16:uniqueId val="{00000000-9381-4A4E-BB43-DCD8EC2F4E00}"/>
            </c:ext>
          </c:extLst>
        </c:ser>
        <c:ser>
          <c:idx val="4"/>
          <c:order val="3"/>
          <c:tx>
            <c:strRef>
              <c:f>Projections!$A$145</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Projections!$L$145:$AN$145</c15:sqref>
                  </c15:fullRef>
                </c:ext>
              </c:extLst>
              <c:f>Projections!$L$145:$AE$145</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121.90833273345505</c:v>
                </c:pt>
                <c:pt idx="13">
                  <c:v>511.27485454338046</c:v>
                </c:pt>
                <c:pt idx="14">
                  <c:v>5534.0428642552415</c:v>
                </c:pt>
                <c:pt idx="15">
                  <c:v>20913.324672961004</c:v>
                </c:pt>
                <c:pt idx="16">
                  <c:v>58826.608569908589</c:v>
                </c:pt>
                <c:pt idx="17">
                  <c:v>37216.541835568409</c:v>
                </c:pt>
                <c:pt idx="18">
                  <c:v>51327.105850685293</c:v>
                </c:pt>
                <c:pt idx="19">
                  <c:v>376490.13948392164</c:v>
                </c:pt>
              </c:numCache>
            </c:numRef>
          </c:val>
          <c:smooth val="0"/>
          <c:extLst>
            <c:ext xmlns:c16="http://schemas.microsoft.com/office/drawing/2014/chart" uri="{C3380CC4-5D6E-409C-BE32-E72D297353CC}">
              <c16:uniqueId val="{00000003-9381-4A4E-BB43-DCD8EC2F4E00}"/>
            </c:ext>
          </c:extLst>
        </c:ser>
        <c:ser>
          <c:idx val="1"/>
          <c:order val="4"/>
          <c:tx>
            <c:strRef>
              <c:f>Projections!$A$146</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Projections!$L$146:$AN$146</c15:sqref>
                  </c15:fullRef>
                </c:ext>
              </c:extLst>
              <c:f>Projections!$L$146:$AE$146</c:f>
              <c:numCache>
                <c:formatCode>#,##0_ ;[Red]\-#,##0\ </c:formatCode>
                <c:ptCount val="20"/>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43008</c:v>
                </c:pt>
                <c:pt idx="16">
                  <c:v>50176</c:v>
                </c:pt>
                <c:pt idx="17">
                  <c:v>53903.360000000001</c:v>
                </c:pt>
                <c:pt idx="18">
                  <c:v>57344</c:v>
                </c:pt>
                <c:pt idx="19">
                  <c:v>114688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Projections!$A$164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Projections!$L$164:$AN$164</c15:sqref>
                  </c15:fullRef>
                </c:ext>
              </c:extLst>
              <c:f>Projections!$L$164:$AE$164</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22155.169324493818</c:v>
                </c:pt>
                <c:pt idx="16">
                  <c:v>25847.697545242787</c:v>
                </c:pt>
                <c:pt idx="17">
                  <c:v>27767.81222003225</c:v>
                </c:pt>
                <c:pt idx="18">
                  <c:v>29540.225765991756</c:v>
                </c:pt>
                <c:pt idx="19">
                  <c:v>59080.451531983512</c:v>
                </c:pt>
              </c:numCache>
            </c:numRef>
          </c:val>
          <c:smooth val="0"/>
          <c:extLst>
            <c:ext xmlns:c16="http://schemas.microsoft.com/office/drawing/2014/chart" uri="{C3380CC4-5D6E-409C-BE32-E72D297353CC}">
              <c16:uniqueId val="{00000000-04B6-450D-AD81-6BF382C059D1}"/>
            </c:ext>
          </c:extLst>
        </c:ser>
        <c:ser>
          <c:idx val="2"/>
          <c:order val="1"/>
          <c:tx>
            <c:strRef>
              <c:f>Projections!$A$166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Projections!$L$166:$AN$166</c15:sqref>
                  </c15:fullRef>
                </c:ext>
              </c:extLst>
              <c:f>Projections!$L$166:$AE$166</c:f>
              <c:numCache>
                <c:formatCode>#,##0</c:formatCode>
                <c:ptCount val="20"/>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81877.799677477145</c:v>
                </c:pt>
                <c:pt idx="16">
                  <c:v>95524.099623723334</c:v>
                </c:pt>
                <c:pt idx="17">
                  <c:v>102620.17559577136</c:v>
                </c:pt>
                <c:pt idx="18">
                  <c:v>109170.39956996954</c:v>
                </c:pt>
                <c:pt idx="19">
                  <c:v>218340.79913993907</c:v>
                </c:pt>
              </c:numCache>
            </c:numRef>
          </c:val>
          <c:smooth val="0"/>
          <c:extLst>
            <c:ext xmlns:c16="http://schemas.microsoft.com/office/drawing/2014/chart" uri="{C3380CC4-5D6E-409C-BE32-E72D297353CC}">
              <c16:uniqueId val="{00000002-04B6-450D-AD81-6BF382C059D1}"/>
            </c:ext>
          </c:extLst>
        </c:ser>
        <c:ser>
          <c:idx val="4"/>
          <c:order val="2"/>
          <c:tx>
            <c:strRef>
              <c:f>Projections!$A$168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Projections!$L$168:$AN$168</c15:sqref>
                  </c15:fullRef>
                </c:ext>
              </c:extLst>
              <c:f>Projections!$L$168:$AE$168</c:f>
              <c:numCache>
                <c:formatCode>#,##0</c:formatCode>
                <c:ptCount val="20"/>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128527.50403153556</c:v>
                </c:pt>
                <c:pt idx="16">
                  <c:v>149948.75470345814</c:v>
                </c:pt>
                <c:pt idx="17">
                  <c:v>161087.8050528579</c:v>
                </c:pt>
                <c:pt idx="18">
                  <c:v>171370.00537538074</c:v>
                </c:pt>
                <c:pt idx="19">
                  <c:v>342740.01075076149</c:v>
                </c:pt>
              </c:numCache>
            </c:numRef>
          </c:val>
          <c:smooth val="0"/>
          <c:extLst>
            <c:ext xmlns:c16="http://schemas.microsoft.com/office/drawing/2014/chart" uri="{C3380CC4-5D6E-409C-BE32-E72D297353CC}">
              <c16:uniqueId val="{00000004-04B6-450D-AD81-6BF382C059D1}"/>
            </c:ext>
          </c:extLst>
        </c:ser>
        <c:ser>
          <c:idx val="6"/>
          <c:order val="3"/>
          <c:tx>
            <c:strRef>
              <c:f>Projections!$A$170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Projections!$L$170:$AN$170</c15:sqref>
                  </c15:fullRef>
                </c:ext>
              </c:extLst>
              <c:f>Projections!$L$170:$AE$170</c:f>
              <c:numCache>
                <c:formatCode>#,##0</c:formatCode>
                <c:ptCount val="20"/>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119307.65095860958</c:v>
                </c:pt>
                <c:pt idx="16">
                  <c:v>139192.25945171117</c:v>
                </c:pt>
                <c:pt idx="17">
                  <c:v>149532.25586812399</c:v>
                </c:pt>
                <c:pt idx="18">
                  <c:v>159076.86794481275</c:v>
                </c:pt>
                <c:pt idx="19">
                  <c:v>318153.7358896255</c:v>
                </c:pt>
              </c:numCache>
            </c:numRef>
          </c:val>
          <c:smooth val="0"/>
          <c:extLst>
            <c:ext xmlns:c16="http://schemas.microsoft.com/office/drawing/2014/chart" uri="{C3380CC4-5D6E-409C-BE32-E72D297353CC}">
              <c16:uniqueId val="{00000006-04B6-450D-AD81-6BF382C059D1}"/>
            </c:ext>
          </c:extLst>
        </c:ser>
        <c:ser>
          <c:idx val="8"/>
          <c:order val="4"/>
          <c:tx>
            <c:strRef>
              <c:f>Projections!$A$172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Projections!$L$172:$AN$172</c15:sqref>
                  </c15:fullRef>
                </c:ext>
              </c:extLst>
              <c:f>Projections!$L$172:$AE$172</c:f>
              <c:numCache>
                <c:formatCode>#,##0</c:formatCode>
                <c:ptCount val="20"/>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99629.457086543625</c:v>
                </c:pt>
                <c:pt idx="16">
                  <c:v>116234.36660096757</c:v>
                </c:pt>
                <c:pt idx="17">
                  <c:v>124868.91954846801</c:v>
                </c:pt>
                <c:pt idx="18">
                  <c:v>132839.27611539149</c:v>
                </c:pt>
                <c:pt idx="19">
                  <c:v>265678.55223078298</c:v>
                </c:pt>
              </c:numCache>
            </c:numRef>
          </c:val>
          <c:smooth val="0"/>
          <c:extLst>
            <c:ext xmlns:c16="http://schemas.microsoft.com/office/drawing/2014/chart" uri="{C3380CC4-5D6E-409C-BE32-E72D297353CC}">
              <c16:uniqueId val="{00000008-04B6-450D-AD81-6BF382C059D1}"/>
            </c:ext>
          </c:extLst>
        </c:ser>
        <c:ser>
          <c:idx val="10"/>
          <c:order val="5"/>
          <c:tx>
            <c:strRef>
              <c:f>Projections!$A$174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Projections!$L$174:$AN$174</c15:sqref>
                  </c15:fullRef>
                </c:ext>
              </c:extLst>
              <c:f>Projections!$L$174:$AE$174</c:f>
              <c:numCache>
                <c:formatCode>#,##0</c:formatCode>
                <c:ptCount val="20"/>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120821.35817953771</c:v>
                </c:pt>
                <c:pt idx="16">
                  <c:v>140958.25120946066</c:v>
                </c:pt>
                <c:pt idx="17">
                  <c:v>151429.4355850206</c:v>
                </c:pt>
                <c:pt idx="18">
                  <c:v>161095.1442393836</c:v>
                </c:pt>
                <c:pt idx="19">
                  <c:v>322190.28847876721</c:v>
                </c:pt>
              </c:numCache>
            </c:numRef>
          </c:val>
          <c:smooth val="0"/>
          <c:extLst>
            <c:ext xmlns:c16="http://schemas.microsoft.com/office/drawing/2014/chart" uri="{C3380CC4-5D6E-409C-BE32-E72D297353CC}">
              <c16:uniqueId val="{0000000A-04B6-450D-AD81-6BF382C059D1}"/>
            </c:ext>
          </c:extLst>
        </c:ser>
        <c:ser>
          <c:idx val="12"/>
          <c:order val="6"/>
          <c:tx>
            <c:strRef>
              <c:f>Projections!$A$176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Projections!$L$176:$AN$176</c15:sqref>
                  </c15:fullRef>
                </c:ext>
              </c:extLst>
              <c:f>Projections!$L$176:$AE$176</c:f>
              <c:numCache>
                <c:formatCode>#,##0</c:formatCode>
                <c:ptCount val="20"/>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165957.35531266799</c:v>
                </c:pt>
                <c:pt idx="16">
                  <c:v>193616.91453144597</c:v>
                </c:pt>
                <c:pt idx="17">
                  <c:v>207999.88532521055</c:v>
                </c:pt>
                <c:pt idx="18">
                  <c:v>221276.47375022396</c:v>
                </c:pt>
                <c:pt idx="19">
                  <c:v>442552.94750044792</c:v>
                </c:pt>
              </c:numCache>
            </c:numRef>
          </c:val>
          <c:smooth val="0"/>
          <c:extLst>
            <c:ext xmlns:c16="http://schemas.microsoft.com/office/drawing/2014/chart" uri="{C3380CC4-5D6E-409C-BE32-E72D297353CC}">
              <c16:uniqueId val="{0000000C-04B6-450D-AD81-6BF382C059D1}"/>
            </c:ext>
          </c:extLst>
        </c:ser>
        <c:ser>
          <c:idx val="14"/>
          <c:order val="7"/>
          <c:tx>
            <c:strRef>
              <c:f>Projections!$A$178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Projections!$L$178:$AN$178</c15:sqref>
                  </c15:fullRef>
                </c:ext>
              </c:extLst>
              <c:f>Projections!$L$178:$AE$178</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22155.169324493818</c:v>
                </c:pt>
                <c:pt idx="16">
                  <c:v>25847.697545242787</c:v>
                </c:pt>
                <c:pt idx="17">
                  <c:v>27767.81222003225</c:v>
                </c:pt>
                <c:pt idx="18">
                  <c:v>29540.225765991756</c:v>
                </c:pt>
                <c:pt idx="19">
                  <c:v>59080.451531983512</c:v>
                </c:pt>
              </c:numCache>
            </c:numRef>
          </c:val>
          <c:smooth val="0"/>
          <c:extLst>
            <c:ext xmlns:c16="http://schemas.microsoft.com/office/drawing/2014/chart" uri="{C3380CC4-5D6E-409C-BE32-E72D297353CC}">
              <c16:uniqueId val="{0000000E-04B6-450D-AD81-6BF382C059D1}"/>
            </c:ext>
          </c:extLst>
        </c:ser>
        <c:ser>
          <c:idx val="16"/>
          <c:order val="8"/>
          <c:tx>
            <c:strRef>
              <c:f>Projections!$A$180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Projections!$L$180:$AN$180</c15:sqref>
                  </c15:fullRef>
                </c:ext>
              </c:extLst>
              <c:f>Projections!$L$180:$AE$180</c:f>
              <c:numCache>
                <c:formatCode>#,##0</c:formatCode>
                <c:ptCount val="20"/>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7568.5361046407452</c:v>
                </c:pt>
                <c:pt idx="16">
                  <c:v>8829.9587887475354</c:v>
                </c:pt>
                <c:pt idx="17">
                  <c:v>9485.8985844830677</c:v>
                </c:pt>
                <c:pt idx="18">
                  <c:v>10091.381472854326</c:v>
                </c:pt>
                <c:pt idx="19">
                  <c:v>20182.762945708651</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Projections!$A$164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Projections!$L$165:$AN$165</c15:sqref>
                  </c15:fullRef>
                </c:ext>
              </c:extLst>
              <c:f>Projections!$L$165:$AE$165</c:f>
              <c:numCache>
                <c:formatCode>#,##0</c:formatCode>
                <c:ptCount val="20"/>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3278.9650600250848</c:v>
                </c:pt>
                <c:pt idx="16">
                  <c:v>3825.4592366959323</c:v>
                </c:pt>
                <c:pt idx="17">
                  <c:v>4109.6362085647725</c:v>
                </c:pt>
                <c:pt idx="18">
                  <c:v>4371.9534133667794</c:v>
                </c:pt>
                <c:pt idx="19">
                  <c:v>8743.9068267335588</c:v>
                </c:pt>
              </c:numCache>
            </c:numRef>
          </c:val>
          <c:smooth val="0"/>
          <c:extLst>
            <c:ext xmlns:c16="http://schemas.microsoft.com/office/drawing/2014/chart" uri="{C3380CC4-5D6E-409C-BE32-E72D297353CC}">
              <c16:uniqueId val="{00000001-EBAD-48A5-9277-83F388186C0C}"/>
            </c:ext>
          </c:extLst>
        </c:ser>
        <c:ser>
          <c:idx val="3"/>
          <c:order val="1"/>
          <c:tx>
            <c:strRef>
              <c:f>Projections!$A$166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Projections!$L$167:$AN$167</c15:sqref>
                  </c15:fullRef>
                </c:ext>
              </c:extLst>
              <c:f>Projections!$L$167:$AE$167</c:f>
              <c:numCache>
                <c:formatCode>#,##0</c:formatCode>
                <c:ptCount val="20"/>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6550.2239741981721</c:v>
                </c:pt>
                <c:pt idx="16">
                  <c:v>7641.9279698978671</c:v>
                </c:pt>
                <c:pt idx="17">
                  <c:v>8209.6140476617093</c:v>
                </c:pt>
                <c:pt idx="18">
                  <c:v>8733.631965597564</c:v>
                </c:pt>
                <c:pt idx="19">
                  <c:v>17467.263931195128</c:v>
                </c:pt>
              </c:numCache>
            </c:numRef>
          </c:val>
          <c:smooth val="0"/>
          <c:extLst>
            <c:ext xmlns:c16="http://schemas.microsoft.com/office/drawing/2014/chart" uri="{C3380CC4-5D6E-409C-BE32-E72D297353CC}">
              <c16:uniqueId val="{00000003-EBAD-48A5-9277-83F388186C0C}"/>
            </c:ext>
          </c:extLst>
        </c:ser>
        <c:ser>
          <c:idx val="5"/>
          <c:order val="2"/>
          <c:tx>
            <c:strRef>
              <c:f>Projections!$A$168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Projections!$L$169:$AN$169</c15:sqref>
                  </c15:fullRef>
                </c:ext>
              </c:extLst>
              <c:f>Projections!$L$169:$AE$169</c:f>
              <c:numCache>
                <c:formatCode>#,##0</c:formatCode>
                <c:ptCount val="20"/>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4626.9901451352798</c:v>
                </c:pt>
                <c:pt idx="16">
                  <c:v>5398.1551693244928</c:v>
                </c:pt>
                <c:pt idx="17">
                  <c:v>5799.1609819028845</c:v>
                </c:pt>
                <c:pt idx="18">
                  <c:v>6169.3201935137067</c:v>
                </c:pt>
                <c:pt idx="19">
                  <c:v>12338.640387027413</c:v>
                </c:pt>
              </c:numCache>
            </c:numRef>
          </c:val>
          <c:smooth val="0"/>
          <c:extLst>
            <c:ext xmlns:c16="http://schemas.microsoft.com/office/drawing/2014/chart" uri="{C3380CC4-5D6E-409C-BE32-E72D297353CC}">
              <c16:uniqueId val="{00000005-EBAD-48A5-9277-83F388186C0C}"/>
            </c:ext>
          </c:extLst>
        </c:ser>
        <c:ser>
          <c:idx val="7"/>
          <c:order val="3"/>
          <c:tx>
            <c:strRef>
              <c:f>Projections!$A$170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Projections!$L$171:$AN$171</c15:sqref>
                  </c15:fullRef>
                </c:ext>
              </c:extLst>
              <c:f>Projections!$L$171:$AE$171</c:f>
              <c:numCache>
                <c:formatCode>#,##0</c:formatCode>
                <c:ptCount val="20"/>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1550.9994624619244</c:v>
                </c:pt>
                <c:pt idx="16">
                  <c:v>1809.4993728722452</c:v>
                </c:pt>
                <c:pt idx="17">
                  <c:v>1943.9193262856118</c:v>
                </c:pt>
                <c:pt idx="18">
                  <c:v>2067.9992832825656</c:v>
                </c:pt>
                <c:pt idx="19">
                  <c:v>4135.9985665651311</c:v>
                </c:pt>
              </c:numCache>
            </c:numRef>
          </c:val>
          <c:smooth val="0"/>
          <c:extLst>
            <c:ext xmlns:c16="http://schemas.microsoft.com/office/drawing/2014/chart" uri="{C3380CC4-5D6E-409C-BE32-E72D297353CC}">
              <c16:uniqueId val="{00000007-EBAD-48A5-9277-83F388186C0C}"/>
            </c:ext>
          </c:extLst>
        </c:ser>
        <c:ser>
          <c:idx val="9"/>
          <c:order val="4"/>
          <c:tx>
            <c:strRef>
              <c:f>Projections!$A$172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Projections!$L$173:$AN$173</c15:sqref>
                  </c15:fullRef>
                </c:ext>
              </c:extLst>
              <c:f>Projections!$L$173:$AE$173</c:f>
              <c:numCache>
                <c:formatCode>#,##0</c:formatCode>
                <c:ptCount val="20"/>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398.5178283461745</c:v>
                </c:pt>
                <c:pt idx="16">
                  <c:v>464.93746640387025</c:v>
                </c:pt>
                <c:pt idx="17">
                  <c:v>499.47567819387206</c:v>
                </c:pt>
                <c:pt idx="18">
                  <c:v>531.357104461566</c:v>
                </c:pt>
                <c:pt idx="19">
                  <c:v>1062.714208923132</c:v>
                </c:pt>
              </c:numCache>
            </c:numRef>
          </c:val>
          <c:smooth val="0"/>
          <c:extLst>
            <c:ext xmlns:c16="http://schemas.microsoft.com/office/drawing/2014/chart" uri="{C3380CC4-5D6E-409C-BE32-E72D297353CC}">
              <c16:uniqueId val="{00000009-EBAD-48A5-9277-83F388186C0C}"/>
            </c:ext>
          </c:extLst>
        </c:ser>
        <c:ser>
          <c:idx val="11"/>
          <c:order val="5"/>
          <c:tx>
            <c:strRef>
              <c:f>Projections!$A$174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Projections!$L$175:$AN$175</c15:sqref>
                  </c15:fullRef>
                </c:ext>
              </c:extLst>
              <c:f>Projections!$L$175:$AE$175</c:f>
              <c:numCache>
                <c:formatCode>#,##0</c:formatCode>
                <c:ptCount val="20"/>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241.64271635907542</c:v>
                </c:pt>
                <c:pt idx="16">
                  <c:v>281.91650241892131</c:v>
                </c:pt>
                <c:pt idx="17">
                  <c:v>302.8588711700412</c:v>
                </c:pt>
                <c:pt idx="18">
                  <c:v>322.19028847876723</c:v>
                </c:pt>
                <c:pt idx="19">
                  <c:v>644.38057695753446</c:v>
                </c:pt>
              </c:numCache>
            </c:numRef>
          </c:val>
          <c:smooth val="0"/>
          <c:extLst>
            <c:ext xmlns:c16="http://schemas.microsoft.com/office/drawing/2014/chart" uri="{C3380CC4-5D6E-409C-BE32-E72D297353CC}">
              <c16:uniqueId val="{0000000B-EBAD-48A5-9277-83F388186C0C}"/>
            </c:ext>
          </c:extLst>
        </c:ser>
        <c:ser>
          <c:idx val="13"/>
          <c:order val="6"/>
          <c:tx>
            <c:strRef>
              <c:f>Projections!$A$176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Projections!$L$177:$AN$177</c15:sqref>
                  </c15:fullRef>
                </c:ext>
              </c:extLst>
              <c:f>Projections!$L$177:$AE$177</c:f>
              <c:numCache>
                <c:formatCode>#,##0</c:formatCode>
                <c:ptCount val="20"/>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331.914710625336</c:v>
                </c:pt>
                <c:pt idx="16">
                  <c:v>387.23382906289197</c:v>
                </c:pt>
                <c:pt idx="17">
                  <c:v>415.99977065042111</c:v>
                </c:pt>
                <c:pt idx="18">
                  <c:v>442.55294750044794</c:v>
                </c:pt>
                <c:pt idx="19">
                  <c:v>885.10589500089588</c:v>
                </c:pt>
              </c:numCache>
            </c:numRef>
          </c:val>
          <c:smooth val="0"/>
          <c:extLst>
            <c:ext xmlns:c16="http://schemas.microsoft.com/office/drawing/2014/chart" uri="{C3380CC4-5D6E-409C-BE32-E72D297353CC}">
              <c16:uniqueId val="{0000000D-EBAD-48A5-9277-83F388186C0C}"/>
            </c:ext>
          </c:extLst>
        </c:ser>
        <c:ser>
          <c:idx val="15"/>
          <c:order val="7"/>
          <c:tx>
            <c:strRef>
              <c:f>Projections!$A$178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Projections!$L$179:$AN$179</c15:sqref>
                  </c15:fullRef>
                </c:ext>
              </c:extLst>
              <c:f>Projections!$L$179:$AE$179</c:f>
              <c:numCache>
                <c:formatCode>#,##0</c:formatCode>
                <c:ptCount val="20"/>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44.310338648987639</c:v>
                </c:pt>
                <c:pt idx="16">
                  <c:v>51.695395090485576</c:v>
                </c:pt>
                <c:pt idx="17">
                  <c:v>55.535624440064502</c:v>
                </c:pt>
                <c:pt idx="18">
                  <c:v>59.080451531983513</c:v>
                </c:pt>
                <c:pt idx="19">
                  <c:v>118.16090306396703</c:v>
                </c:pt>
              </c:numCache>
            </c:numRef>
          </c:val>
          <c:smooth val="0"/>
          <c:extLst>
            <c:ext xmlns:c16="http://schemas.microsoft.com/office/drawing/2014/chart" uri="{C3380CC4-5D6E-409C-BE32-E72D297353CC}">
              <c16:uniqueId val="{0000000F-EBAD-48A5-9277-83F388186C0C}"/>
            </c:ext>
          </c:extLst>
        </c:ser>
        <c:ser>
          <c:idx val="17"/>
          <c:order val="8"/>
          <c:tx>
            <c:strRef>
              <c:f>Projections!$A$180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Projections!$L$181:$AN$181</c15:sqref>
                  </c15:fullRef>
                </c:ext>
              </c:extLst>
              <c:f>Projections!$L$181:$AE$181</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Projections!$A$193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Projections!$L$193:$AN$193</c15:sqref>
                  </c15:fullRef>
                </c:ext>
              </c:extLst>
              <c:f>Projections!$L$193:$AE$193</c:f>
              <c:numCache>
                <c:formatCode>#,##0</c:formatCode>
                <c:ptCount val="20"/>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353280</c:v>
                </c:pt>
                <c:pt idx="16">
                  <c:v>412160</c:v>
                </c:pt>
                <c:pt idx="17">
                  <c:v>442777.60000000003</c:v>
                </c:pt>
                <c:pt idx="18">
                  <c:v>471040</c:v>
                </c:pt>
                <c:pt idx="19">
                  <c:v>942080</c:v>
                </c:pt>
              </c:numCache>
            </c:numRef>
          </c:val>
          <c:smooth val="0"/>
          <c:extLst>
            <c:ext xmlns:c16="http://schemas.microsoft.com/office/drawing/2014/chart" uri="{C3380CC4-5D6E-409C-BE32-E72D297353CC}">
              <c16:uniqueId val="{0000001E-05DD-4DD4-A5B5-12D162507280}"/>
            </c:ext>
          </c:extLst>
        </c:ser>
        <c:ser>
          <c:idx val="4"/>
          <c:order val="1"/>
          <c:tx>
            <c:strRef>
              <c:f>Projections!$A$191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Projections!$L$191:$AN$191</c15:sqref>
                  </c15:fullRef>
                </c:ext>
              </c:extLst>
              <c:f>Projections!$L$191:$AE$191</c:f>
              <c:numCache>
                <c:formatCode>#,##0</c:formatCode>
                <c:ptCount val="20"/>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102912</c:v>
                </c:pt>
                <c:pt idx="16">
                  <c:v>120064</c:v>
                </c:pt>
                <c:pt idx="17">
                  <c:v>128983.04000000001</c:v>
                </c:pt>
                <c:pt idx="18">
                  <c:v>137216</c:v>
                </c:pt>
                <c:pt idx="19">
                  <c:v>274432</c:v>
                </c:pt>
              </c:numCache>
            </c:numRef>
          </c:val>
          <c:smooth val="0"/>
          <c:extLst>
            <c:ext xmlns:c16="http://schemas.microsoft.com/office/drawing/2014/chart" uri="{C3380CC4-5D6E-409C-BE32-E72D297353CC}">
              <c16:uniqueId val="{0000001C-05DD-4DD4-A5B5-12D162507280}"/>
            </c:ext>
          </c:extLst>
        </c:ser>
        <c:ser>
          <c:idx val="10"/>
          <c:order val="2"/>
          <c:tx>
            <c:strRef>
              <c:f>Projections!$A$197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Projections!$L$197:$AN$197</c15:sqref>
                  </c15:fullRef>
                </c:ext>
              </c:extLst>
              <c:f>Projections!$L$197:$AE$197</c:f>
              <c:numCache>
                <c:formatCode>#,##0</c:formatCode>
                <c:ptCount val="20"/>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119040</c:v>
                </c:pt>
                <c:pt idx="16">
                  <c:v>138880</c:v>
                </c:pt>
                <c:pt idx="17">
                  <c:v>149196.79999999999</c:v>
                </c:pt>
                <c:pt idx="18">
                  <c:v>158720</c:v>
                </c:pt>
                <c:pt idx="19">
                  <c:v>317440</c:v>
                </c:pt>
              </c:numCache>
            </c:numRef>
          </c:val>
          <c:smooth val="0"/>
          <c:extLst>
            <c:ext xmlns:c16="http://schemas.microsoft.com/office/drawing/2014/chart" uri="{C3380CC4-5D6E-409C-BE32-E72D297353CC}">
              <c16:uniqueId val="{00000022-05DD-4DD4-A5B5-12D162507280}"/>
            </c:ext>
          </c:extLst>
        </c:ser>
        <c:ser>
          <c:idx val="0"/>
          <c:order val="3"/>
          <c:tx>
            <c:strRef>
              <c:f>Projections!$A$187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Projections!$L$187:$AN$187</c15:sqref>
                  </c15:fullRef>
                </c:ext>
              </c:extLst>
              <c:f>Projections!$L$187:$AE$187</c:f>
              <c:numCache>
                <c:formatCode>#,##0</c:formatCode>
                <c:ptCount val="20"/>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282624</c:v>
                </c:pt>
                <c:pt idx="16">
                  <c:v>329728</c:v>
                </c:pt>
                <c:pt idx="17">
                  <c:v>354222.08000000002</c:v>
                </c:pt>
                <c:pt idx="18">
                  <c:v>376832</c:v>
                </c:pt>
                <c:pt idx="19">
                  <c:v>753664</c:v>
                </c:pt>
              </c:numCache>
            </c:numRef>
          </c:val>
          <c:smooth val="0"/>
          <c:extLst>
            <c:ext xmlns:c16="http://schemas.microsoft.com/office/drawing/2014/chart" uri="{C3380CC4-5D6E-409C-BE32-E72D297353CC}">
              <c16:uniqueId val="{00000018-05DD-4DD4-A5B5-12D162507280}"/>
            </c:ext>
          </c:extLst>
        </c:ser>
        <c:ser>
          <c:idx val="2"/>
          <c:order val="4"/>
          <c:tx>
            <c:strRef>
              <c:f>Projections!$A$189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Projections!$L$189:$AN$189</c15:sqref>
                  </c15:fullRef>
                </c:ext>
              </c:extLst>
              <c:f>Projections!$L$189:$AE$189</c:f>
              <c:numCache>
                <c:formatCode>#,##0</c:formatCode>
                <c:ptCount val="20"/>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75264</c:v>
                </c:pt>
                <c:pt idx="16">
                  <c:v>87808</c:v>
                </c:pt>
                <c:pt idx="17">
                  <c:v>94330.880000000005</c:v>
                </c:pt>
                <c:pt idx="18">
                  <c:v>100352</c:v>
                </c:pt>
                <c:pt idx="19">
                  <c:v>200704</c:v>
                </c:pt>
              </c:numCache>
            </c:numRef>
          </c:val>
          <c:smooth val="0"/>
          <c:extLst>
            <c:ext xmlns:c16="http://schemas.microsoft.com/office/drawing/2014/chart" uri="{C3380CC4-5D6E-409C-BE32-E72D297353CC}">
              <c16:uniqueId val="{0000001A-05DD-4DD4-A5B5-12D162507280}"/>
            </c:ext>
          </c:extLst>
        </c:ser>
        <c:ser>
          <c:idx val="8"/>
          <c:order val="5"/>
          <c:tx>
            <c:strRef>
              <c:f>Projections!$A$195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Projections!$L$195:$AN$195</c15:sqref>
                  </c15:fullRef>
                </c:ext>
              </c:extLst>
              <c:f>Projections!$L$195:$AE$195</c:f>
              <c:numCache>
                <c:formatCode>#,##0</c:formatCode>
                <c:ptCount val="20"/>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3371.52</c:v>
                </c:pt>
                <c:pt idx="16">
                  <c:v>3933.4399999999996</c:v>
                </c:pt>
                <c:pt idx="17">
                  <c:v>4225.6383999999998</c:v>
                </c:pt>
                <c:pt idx="18">
                  <c:v>4495.3599999999997</c:v>
                </c:pt>
                <c:pt idx="19">
                  <c:v>8990.7199999999993</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Projections!$A$193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Projections!$L$194:$AN$194</c15:sqref>
                  </c15:fullRef>
                </c:ext>
              </c:extLst>
              <c:f>Projections!$L$194:$AE$194</c:f>
              <c:numCache>
                <c:formatCode>#,##0</c:formatCode>
                <c:ptCount val="20"/>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21196.799999999999</c:v>
                </c:pt>
                <c:pt idx="16">
                  <c:v>24729.599999999999</c:v>
                </c:pt>
                <c:pt idx="17">
                  <c:v>26566.656000000003</c:v>
                </c:pt>
                <c:pt idx="18">
                  <c:v>28262.399999999998</c:v>
                </c:pt>
                <c:pt idx="19">
                  <c:v>56524.799999999996</c:v>
                </c:pt>
              </c:numCache>
            </c:numRef>
          </c:val>
          <c:smooth val="0"/>
          <c:extLst>
            <c:ext xmlns:c16="http://schemas.microsoft.com/office/drawing/2014/chart" uri="{C3380CC4-5D6E-409C-BE32-E72D297353CC}">
              <c16:uniqueId val="{00000007-65B4-47F9-9B97-64FB989C8893}"/>
            </c:ext>
          </c:extLst>
        </c:ser>
        <c:ser>
          <c:idx val="5"/>
          <c:order val="1"/>
          <c:tx>
            <c:strRef>
              <c:f>Projections!$A$191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Projections!$L$192:$AN$192</c15:sqref>
                  </c15:fullRef>
                </c:ext>
              </c:extLst>
              <c:f>Projections!$L$192:$AE$192</c:f>
              <c:numCache>
                <c:formatCode>#,##0</c:formatCode>
                <c:ptCount val="20"/>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6483.4560000000001</c:v>
                </c:pt>
                <c:pt idx="16">
                  <c:v>7564.0320000000002</c:v>
                </c:pt>
                <c:pt idx="17">
                  <c:v>8125.931520000001</c:v>
                </c:pt>
                <c:pt idx="18">
                  <c:v>8644.6080000000002</c:v>
                </c:pt>
                <c:pt idx="19">
                  <c:v>17289.216</c:v>
                </c:pt>
              </c:numCache>
            </c:numRef>
          </c:val>
          <c:smooth val="0"/>
          <c:extLst>
            <c:ext xmlns:c16="http://schemas.microsoft.com/office/drawing/2014/chart" uri="{C3380CC4-5D6E-409C-BE32-E72D297353CC}">
              <c16:uniqueId val="{00000005-65B4-47F9-9B97-64FB989C8893}"/>
            </c:ext>
          </c:extLst>
        </c:ser>
        <c:ser>
          <c:idx val="1"/>
          <c:order val="2"/>
          <c:tx>
            <c:strRef>
              <c:f>Projections!$A$187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Projections!$L$188:$AN$188</c15:sqref>
                  </c15:fullRef>
                </c:ext>
              </c:extLst>
              <c:f>Projections!$L$188:$AE$188</c:f>
              <c:numCache>
                <c:formatCode>#,##0</c:formatCode>
                <c:ptCount val="20"/>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29675.52</c:v>
                </c:pt>
                <c:pt idx="16">
                  <c:v>34621.440000000002</c:v>
                </c:pt>
                <c:pt idx="17">
                  <c:v>37193.318400000004</c:v>
                </c:pt>
                <c:pt idx="18">
                  <c:v>39567.360000000001</c:v>
                </c:pt>
                <c:pt idx="19">
                  <c:v>79134.720000000001</c:v>
                </c:pt>
              </c:numCache>
            </c:numRef>
          </c:val>
          <c:smooth val="0"/>
          <c:extLst>
            <c:ext xmlns:c16="http://schemas.microsoft.com/office/drawing/2014/chart" uri="{C3380CC4-5D6E-409C-BE32-E72D297353CC}">
              <c16:uniqueId val="{00000001-65B4-47F9-9B97-64FB989C8893}"/>
            </c:ext>
          </c:extLst>
        </c:ser>
        <c:ser>
          <c:idx val="3"/>
          <c:order val="3"/>
          <c:tx>
            <c:strRef>
              <c:f>Projections!$A$189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Projections!$L$190:$AN$190</c15:sqref>
                  </c15:fullRef>
                </c:ext>
              </c:extLst>
              <c:f>Projections!$L$190:$AE$190</c:f>
              <c:numCache>
                <c:formatCode>#,##0</c:formatCode>
                <c:ptCount val="20"/>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5494.2719999999999</c:v>
                </c:pt>
                <c:pt idx="16">
                  <c:v>6409.9839999999995</c:v>
                </c:pt>
                <c:pt idx="17">
                  <c:v>6886.1542399999998</c:v>
                </c:pt>
                <c:pt idx="18">
                  <c:v>7325.6959999999999</c:v>
                </c:pt>
                <c:pt idx="19">
                  <c:v>14651.392</c:v>
                </c:pt>
              </c:numCache>
            </c:numRef>
          </c:val>
          <c:smooth val="0"/>
          <c:extLst>
            <c:ext xmlns:c16="http://schemas.microsoft.com/office/drawing/2014/chart" uri="{C3380CC4-5D6E-409C-BE32-E72D297353CC}">
              <c16:uniqueId val="{00000003-65B4-47F9-9B97-64FB989C8893}"/>
            </c:ext>
          </c:extLst>
        </c:ser>
        <c:ser>
          <c:idx val="9"/>
          <c:order val="4"/>
          <c:tx>
            <c:strRef>
              <c:f>Projections!$A$195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Projections!$L$131:$AN$131</c15:sqref>
                  </c15:fullRef>
                </c:ext>
              </c:extLst>
              <c:f>Projections!$L$131:$AE$131</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43940</c:v>
                </c:pt>
                <c:pt idx="16">
                  <c:v>43944.800000000003</c:v>
                </c:pt>
                <c:pt idx="17">
                  <c:v>43956</c:v>
                </c:pt>
                <c:pt idx="18">
                  <c:v>43964</c:v>
                </c:pt>
                <c:pt idx="19">
                  <c:v>43996</c:v>
                </c:pt>
              </c:numCache>
            </c:numRef>
          </c:cat>
          <c:val>
            <c:numRef>
              <c:extLst>
                <c:ext xmlns:c15="http://schemas.microsoft.com/office/drawing/2012/chart" uri="{02D57815-91ED-43cb-92C2-25804820EDAC}">
                  <c15:fullRef>
                    <c15:sqref>Projections!$L$196:$AN$196</c15:sqref>
                  </c15:fullRef>
                </c:ext>
              </c:extLst>
              <c:f>Projections!$L$196:$AE$196</c:f>
              <c:numCache>
                <c:formatCode>#,##0</c:formatCode>
                <c:ptCount val="20"/>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188.80512000000002</c:v>
                </c:pt>
                <c:pt idx="16">
                  <c:v>220.27264</c:v>
                </c:pt>
                <c:pt idx="17">
                  <c:v>236.63575040000001</c:v>
                </c:pt>
                <c:pt idx="18">
                  <c:v>251.74015999999997</c:v>
                </c:pt>
                <c:pt idx="19">
                  <c:v>503.48031999999995</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42</xdr:col>
      <xdr:colOff>9526</xdr:colOff>
      <xdr:row>130</xdr:row>
      <xdr:rowOff>104775</xdr:rowOff>
    </xdr:from>
    <xdr:to>
      <xdr:col>53</xdr:col>
      <xdr:colOff>600075</xdr:colOff>
      <xdr:row>162</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736455</xdr:colOff>
      <xdr:row>202</xdr:row>
      <xdr:rowOff>120114</xdr:rowOff>
    </xdr:from>
    <xdr:to>
      <xdr:col>54</xdr:col>
      <xdr:colOff>19050</xdr:colOff>
      <xdr:row>225</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3031</xdr:colOff>
      <xdr:row>226</xdr:row>
      <xdr:rowOff>124876</xdr:rowOff>
    </xdr:from>
    <xdr:to>
      <xdr:col>54</xdr:col>
      <xdr:colOff>28575</xdr:colOff>
      <xdr:row>243</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741217</xdr:colOff>
      <xdr:row>244</xdr:row>
      <xdr:rowOff>105825</xdr:rowOff>
    </xdr:from>
    <xdr:to>
      <xdr:col>54</xdr:col>
      <xdr:colOff>38099</xdr:colOff>
      <xdr:row>260</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741219</xdr:colOff>
      <xdr:row>261</xdr:row>
      <xdr:rowOff>124875</xdr:rowOff>
    </xdr:from>
    <xdr:to>
      <xdr:col>54</xdr:col>
      <xdr:colOff>19050</xdr:colOff>
      <xdr:row>280</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738187</xdr:colOff>
      <xdr:row>164</xdr:row>
      <xdr:rowOff>119062</xdr:rowOff>
    </xdr:from>
    <xdr:to>
      <xdr:col>54</xdr:col>
      <xdr:colOff>19050</xdr:colOff>
      <xdr:row>184</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740228</xdr:colOff>
      <xdr:row>185</xdr:row>
      <xdr:rowOff>117021</xdr:rowOff>
    </xdr:from>
    <xdr:to>
      <xdr:col>53</xdr:col>
      <xdr:colOff>590550</xdr:colOff>
      <xdr:row>201</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55</xdr:col>
      <xdr:colOff>1</xdr:colOff>
      <xdr:row>130</xdr:row>
      <xdr:rowOff>104775</xdr:rowOff>
    </xdr:from>
    <xdr:to>
      <xdr:col>67</xdr:col>
      <xdr:colOff>161925</xdr:colOff>
      <xdr:row>162</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54</xdr:col>
      <xdr:colOff>607867</xdr:colOff>
      <xdr:row>202</xdr:row>
      <xdr:rowOff>101064</xdr:rowOff>
    </xdr:from>
    <xdr:to>
      <xdr:col>67</xdr:col>
      <xdr:colOff>209550</xdr:colOff>
      <xdr:row>225</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54</xdr:col>
      <xdr:colOff>598343</xdr:colOff>
      <xdr:row>226</xdr:row>
      <xdr:rowOff>115351</xdr:rowOff>
    </xdr:from>
    <xdr:to>
      <xdr:col>67</xdr:col>
      <xdr:colOff>200025</xdr:colOff>
      <xdr:row>243</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55</xdr:col>
      <xdr:colOff>3029</xdr:colOff>
      <xdr:row>244</xdr:row>
      <xdr:rowOff>105825</xdr:rowOff>
    </xdr:from>
    <xdr:to>
      <xdr:col>67</xdr:col>
      <xdr:colOff>219074</xdr:colOff>
      <xdr:row>260</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55</xdr:col>
      <xdr:colOff>22081</xdr:colOff>
      <xdr:row>261</xdr:row>
      <xdr:rowOff>124875</xdr:rowOff>
    </xdr:from>
    <xdr:to>
      <xdr:col>67</xdr:col>
      <xdr:colOff>228600</xdr:colOff>
      <xdr:row>280</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54</xdr:col>
      <xdr:colOff>600074</xdr:colOff>
      <xdr:row>164</xdr:row>
      <xdr:rowOff>128587</xdr:rowOff>
    </xdr:from>
    <xdr:to>
      <xdr:col>67</xdr:col>
      <xdr:colOff>200025</xdr:colOff>
      <xdr:row>184</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606878</xdr:colOff>
      <xdr:row>185</xdr:row>
      <xdr:rowOff>117021</xdr:rowOff>
    </xdr:from>
    <xdr:to>
      <xdr:col>67</xdr:col>
      <xdr:colOff>161925</xdr:colOff>
      <xdr:row>201</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6" sqref="E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64</v>
      </c>
    </row>
    <row r="3" spans="2:2" x14ac:dyDescent="0.25">
      <c r="B3" t="s">
        <v>52</v>
      </c>
    </row>
    <row r="4" spans="2:2" x14ac:dyDescent="0.25">
      <c r="B4" t="s">
        <v>62</v>
      </c>
    </row>
    <row r="5" spans="2:2" x14ac:dyDescent="0.25">
      <c r="B5" t="s">
        <v>65</v>
      </c>
    </row>
    <row r="6" spans="2:2" x14ac:dyDescent="0.25">
      <c r="B6" t="s">
        <v>66</v>
      </c>
    </row>
    <row r="7" spans="2:2" x14ac:dyDescent="0.25">
      <c r="B7" t="s">
        <v>53</v>
      </c>
    </row>
    <row r="11" spans="2:2" x14ac:dyDescent="0.25">
      <c r="B11" t="s">
        <v>73</v>
      </c>
    </row>
    <row r="12" spans="2:2" x14ac:dyDescent="0.25">
      <c r="B12" t="s">
        <v>86</v>
      </c>
    </row>
    <row r="13" spans="2:2" x14ac:dyDescent="0.25">
      <c r="B13" t="s">
        <v>88</v>
      </c>
    </row>
    <row r="14" spans="2:2" x14ac:dyDescent="0.25">
      <c r="B14" t="s">
        <v>87</v>
      </c>
    </row>
    <row r="15" spans="2:2" x14ac:dyDescent="0.25">
      <c r="B15" t="s">
        <v>94</v>
      </c>
    </row>
    <row r="17" spans="1:43" x14ac:dyDescent="0.25">
      <c r="A17" t="s">
        <v>92</v>
      </c>
      <c r="B17" s="102">
        <f>(AP25/E31) /Projections!B120</f>
        <v>148.80952380952382</v>
      </c>
      <c r="C17" s="103"/>
      <c r="D17" s="104"/>
      <c r="E17" s="98">
        <f>B17*2</f>
        <v>297.61904761904765</v>
      </c>
      <c r="F17" s="103"/>
      <c r="G17" s="98"/>
      <c r="H17" s="98">
        <f>E17*2</f>
        <v>595.2380952380953</v>
      </c>
      <c r="I17" s="103"/>
      <c r="J17" s="104"/>
      <c r="K17" s="95">
        <f>H17*2</f>
        <v>1190.4761904761906</v>
      </c>
      <c r="L17" s="93"/>
      <c r="M17" s="94"/>
      <c r="N17" s="95">
        <f>K17*2</f>
        <v>2380.9523809523812</v>
      </c>
      <c r="O17" s="93"/>
      <c r="P17" s="94"/>
      <c r="Q17" s="95">
        <f>N17*2</f>
        <v>4761.9047619047624</v>
      </c>
      <c r="R17" s="93"/>
      <c r="S17" s="94"/>
      <c r="T17" s="95">
        <f>Q17*2</f>
        <v>9523.8095238095248</v>
      </c>
      <c r="U17" s="93"/>
      <c r="V17" s="94"/>
      <c r="W17" s="95">
        <f>T17*2</f>
        <v>19047.61904761905</v>
      </c>
      <c r="X17" s="93"/>
      <c r="Y17" s="94"/>
      <c r="Z17" s="95">
        <f>W17*2</f>
        <v>38095.238095238099</v>
      </c>
      <c r="AA17" s="93"/>
      <c r="AB17" s="94"/>
      <c r="AC17" s="95">
        <f>Z17*2</f>
        <v>76190.476190476198</v>
      </c>
      <c r="AD17" s="93"/>
      <c r="AE17" s="94"/>
      <c r="AF17" s="95">
        <f>AC17*2</f>
        <v>152380.9523809524</v>
      </c>
      <c r="AG17" s="93"/>
      <c r="AH17" s="94"/>
      <c r="AI17" s="95">
        <f>AF17*2</f>
        <v>304761.90476190479</v>
      </c>
      <c r="AJ17" s="93"/>
      <c r="AK17" s="94"/>
      <c r="AL17" s="95">
        <f>AI17*2</f>
        <v>609523.80952380958</v>
      </c>
      <c r="AM17" s="93"/>
      <c r="AN17" s="94"/>
      <c r="AO17" s="95">
        <f>AL17*2</f>
        <v>1219047.6190476192</v>
      </c>
      <c r="AP17" s="98"/>
      <c r="AQ17" t="s">
        <v>92</v>
      </c>
    </row>
    <row r="18" spans="1:43" s="69" customFormat="1" x14ac:dyDescent="0.25">
      <c r="A18" s="69" t="s">
        <v>166</v>
      </c>
      <c r="B18" s="88">
        <f>B17*$E$34</f>
        <v>130.95238095238096</v>
      </c>
      <c r="C18" s="105"/>
      <c r="D18" s="105"/>
      <c r="E18" s="105">
        <f>E17*$E$34</f>
        <v>261.90476190476193</v>
      </c>
      <c r="F18" s="105"/>
      <c r="G18" s="33"/>
      <c r="H18" s="105">
        <f>H17*$E$34</f>
        <v>523.80952380952385</v>
      </c>
      <c r="I18" s="105"/>
      <c r="J18" s="105"/>
      <c r="K18" s="105">
        <f>K17*$E$34</f>
        <v>1047.6190476190477</v>
      </c>
      <c r="L18" s="105"/>
      <c r="M18" s="105"/>
      <c r="N18" s="105">
        <f>N17*$E$34</f>
        <v>2095.2380952380954</v>
      </c>
      <c r="O18" s="105"/>
      <c r="P18" s="105"/>
      <c r="Q18" s="105">
        <f>Q17*$E$34</f>
        <v>4190.4761904761908</v>
      </c>
      <c r="R18" s="105"/>
      <c r="S18" s="105"/>
      <c r="T18" s="105">
        <f>T17*$E$34</f>
        <v>8380.9523809523816</v>
      </c>
      <c r="U18" s="105"/>
      <c r="V18" s="105"/>
      <c r="W18" s="105">
        <f>W17*$E$34</f>
        <v>16761.904761904763</v>
      </c>
      <c r="X18" s="105"/>
      <c r="Y18" s="105"/>
      <c r="Z18" s="105">
        <f>Z17*$E$34</f>
        <v>33523.809523809527</v>
      </c>
      <c r="AA18" s="105"/>
      <c r="AB18" s="105"/>
      <c r="AC18" s="105">
        <f>AC17*$E$34</f>
        <v>67047.619047619053</v>
      </c>
      <c r="AD18" s="105"/>
      <c r="AE18" s="105"/>
      <c r="AF18" s="105">
        <f>AF17*$E$34</f>
        <v>134095.23809523811</v>
      </c>
      <c r="AG18" s="105"/>
      <c r="AH18" s="105"/>
      <c r="AI18" s="105">
        <f>AI17*$E$34</f>
        <v>268190.47619047621</v>
      </c>
      <c r="AJ18" s="105"/>
      <c r="AK18" s="105"/>
      <c r="AL18" s="105">
        <f>AL17*$E$34</f>
        <v>536380.95238095243</v>
      </c>
      <c r="AM18" s="105"/>
      <c r="AN18" s="105"/>
      <c r="AO18" s="105">
        <f>AO17*$E$34</f>
        <v>1072761.9047619049</v>
      </c>
      <c r="AP18" s="33"/>
      <c r="AQ18" s="69" t="s">
        <v>166</v>
      </c>
    </row>
    <row r="19" spans="1:43" s="69" customFormat="1" x14ac:dyDescent="0.25">
      <c r="A19" s="47" t="s">
        <v>168</v>
      </c>
      <c r="B19" s="86">
        <f>B18</f>
        <v>130.95238095238096</v>
      </c>
      <c r="C19" s="87"/>
      <c r="D19" s="87"/>
      <c r="E19" s="87">
        <f>E18</f>
        <v>261.90476190476193</v>
      </c>
      <c r="F19" s="87"/>
      <c r="G19" s="34"/>
      <c r="H19" s="87">
        <f>H18</f>
        <v>523.80952380952385</v>
      </c>
      <c r="I19" s="87"/>
      <c r="J19" s="87"/>
      <c r="K19" s="87">
        <f>K18</f>
        <v>1047.6190476190477</v>
      </c>
      <c r="L19" s="87"/>
      <c r="M19" s="87"/>
      <c r="N19" s="87">
        <f>N18</f>
        <v>2095.2380952380954</v>
      </c>
      <c r="O19" s="87"/>
      <c r="P19" s="87"/>
      <c r="Q19" s="87">
        <f>Q18</f>
        <v>4190.4761904761908</v>
      </c>
      <c r="R19" s="87"/>
      <c r="S19" s="87"/>
      <c r="T19" s="87">
        <f>T18</f>
        <v>8380.9523809523816</v>
      </c>
      <c r="U19" s="87"/>
      <c r="V19" s="87"/>
      <c r="W19" s="121">
        <f>W18-B18</f>
        <v>16630.952380952382</v>
      </c>
      <c r="X19" s="121"/>
      <c r="Y19" s="121"/>
      <c r="Z19" s="121">
        <f>Z18-E18</f>
        <v>33261.904761904763</v>
      </c>
      <c r="AA19" s="121"/>
      <c r="AB19" s="121"/>
      <c r="AC19" s="121">
        <f>AC18-H18</f>
        <v>66523.809523809527</v>
      </c>
      <c r="AD19" s="121"/>
      <c r="AE19" s="121"/>
      <c r="AF19" s="121">
        <f>AF18-K18</f>
        <v>133047.61904761905</v>
      </c>
      <c r="AG19" s="121"/>
      <c r="AH19" s="121"/>
      <c r="AI19" s="121">
        <f>AI18-N18</f>
        <v>266095.23809523811</v>
      </c>
      <c r="AJ19" s="121"/>
      <c r="AK19" s="121"/>
      <c r="AL19" s="121">
        <f>AL18-Q18</f>
        <v>532190.47619047621</v>
      </c>
      <c r="AM19" s="121"/>
      <c r="AN19" s="121"/>
      <c r="AO19" s="121">
        <f>AO18-T18</f>
        <v>1064380.9523809524</v>
      </c>
      <c r="AP19" s="122"/>
      <c r="AQ19" s="47" t="s">
        <v>168</v>
      </c>
    </row>
    <row r="20" spans="1:43" s="69" customFormat="1" x14ac:dyDescent="0.25">
      <c r="A20" t="s">
        <v>93</v>
      </c>
      <c r="B20" s="88"/>
      <c r="C20" s="105"/>
      <c r="D20" s="105"/>
      <c r="E20" s="105"/>
      <c r="F20" s="105"/>
      <c r="G20" s="33"/>
      <c r="H20" s="106"/>
      <c r="I20" s="107"/>
      <c r="J20" s="108"/>
      <c r="K20" s="131">
        <f>B17*(1-$E$34)</f>
        <v>17.857142857142858</v>
      </c>
      <c r="L20" s="128"/>
      <c r="M20" s="129"/>
      <c r="N20" s="130">
        <f>E17*(1-$E$34)</f>
        <v>35.714285714285715</v>
      </c>
      <c r="O20" s="128"/>
      <c r="P20" s="129"/>
      <c r="Q20" s="130">
        <f>H17*(1-$E$34)</f>
        <v>71.428571428571431</v>
      </c>
      <c r="R20" s="128"/>
      <c r="S20" s="129"/>
      <c r="T20" s="130">
        <f>K17*(1-$E$34)</f>
        <v>142.85714285714286</v>
      </c>
      <c r="U20" s="128"/>
      <c r="V20" s="129"/>
      <c r="W20" s="130">
        <f>N17*(1-$E$34)</f>
        <v>285.71428571428572</v>
      </c>
      <c r="X20" s="128"/>
      <c r="Y20" s="129"/>
      <c r="Z20" s="130">
        <f>Q17*(1-$E$34)</f>
        <v>571.42857142857144</v>
      </c>
      <c r="AA20" s="128"/>
      <c r="AB20" s="129"/>
      <c r="AC20" s="130">
        <f>T17*(1-$E$34)</f>
        <v>1142.8571428571429</v>
      </c>
      <c r="AD20" s="128"/>
      <c r="AE20" s="129"/>
      <c r="AF20" s="130">
        <f>W17*(1-$E$34)</f>
        <v>2285.7142857142858</v>
      </c>
      <c r="AG20" s="128"/>
      <c r="AH20" s="129"/>
      <c r="AI20" s="130">
        <f>Z17*(1-$E$34)</f>
        <v>4571.4285714285716</v>
      </c>
      <c r="AJ20" s="128"/>
      <c r="AK20" s="129"/>
      <c r="AL20" s="130">
        <f>AC17*(1-$E$34)</f>
        <v>9142.8571428571431</v>
      </c>
      <c r="AM20" s="128"/>
      <c r="AN20" s="129"/>
      <c r="AO20" s="130">
        <f>AF17*(1-$E$34)</f>
        <v>18285.714285714286</v>
      </c>
      <c r="AP20" s="79"/>
      <c r="AQ20" t="s">
        <v>93</v>
      </c>
    </row>
    <row r="21" spans="1:43" s="69" customFormat="1" x14ac:dyDescent="0.25">
      <c r="A21" s="69" t="s">
        <v>74</v>
      </c>
      <c r="B21" s="80"/>
      <c r="C21" s="81"/>
      <c r="D21" s="81"/>
      <c r="E21" s="81"/>
      <c r="F21" s="81"/>
      <c r="G21" s="82"/>
      <c r="H21" s="123">
        <f>B17-B18</f>
        <v>17.857142857142861</v>
      </c>
      <c r="I21" s="123"/>
      <c r="J21" s="123"/>
      <c r="K21" s="123">
        <f>E17-E18</f>
        <v>35.714285714285722</v>
      </c>
      <c r="L21" s="123"/>
      <c r="M21" s="123"/>
      <c r="N21" s="123">
        <f>(H17-H18)*$E$35</f>
        <v>57.857142857142875</v>
      </c>
      <c r="O21" s="123"/>
      <c r="P21" s="123"/>
      <c r="Q21" s="123">
        <f>(K17-K18)*$E$35</f>
        <v>115.71428571428575</v>
      </c>
      <c r="R21" s="123"/>
      <c r="S21" s="123"/>
      <c r="T21" s="123">
        <f>(N17-N18)*$E$35</f>
        <v>231.4285714285715</v>
      </c>
      <c r="U21" s="123"/>
      <c r="V21" s="123"/>
      <c r="W21" s="123">
        <f>((Q17-Q18)*$E$35)-(H21*$E$35)</f>
        <v>448.39285714285728</v>
      </c>
      <c r="X21" s="123"/>
      <c r="Y21" s="123"/>
      <c r="Z21" s="123">
        <f>((T17-T18)*$E$35)-(K21*$E$35)</f>
        <v>896.78571428571456</v>
      </c>
      <c r="AA21" s="123"/>
      <c r="AB21" s="123"/>
      <c r="AC21" s="123">
        <f>((W17-W18)*$E$35)-N21</f>
        <v>1793.5714285714291</v>
      </c>
      <c r="AD21" s="123"/>
      <c r="AE21" s="123"/>
      <c r="AF21" s="123">
        <f>((Z17-Z18)*$E$35)-Q21</f>
        <v>3587.1428571428582</v>
      </c>
      <c r="AG21" s="123"/>
      <c r="AH21" s="123"/>
      <c r="AI21" s="123">
        <f>((AC17-AC18)*$E$35)-T21</f>
        <v>7174.2857142857165</v>
      </c>
      <c r="AJ21" s="123"/>
      <c r="AK21" s="123"/>
      <c r="AL21" s="123">
        <f>((AF17-AF18)*$E$35)-W21</f>
        <v>14363.035714285719</v>
      </c>
      <c r="AM21" s="123"/>
      <c r="AN21" s="123"/>
      <c r="AO21" s="123">
        <f>((AI17-AI18)*$E$35)-Z21</f>
        <v>28726.071428571438</v>
      </c>
      <c r="AP21" s="124"/>
      <c r="AQ21" s="69" t="s">
        <v>74</v>
      </c>
    </row>
    <row r="22" spans="1:43" s="69" customFormat="1" x14ac:dyDescent="0.25">
      <c r="A22" s="69" t="s">
        <v>75</v>
      </c>
      <c r="B22" s="80"/>
      <c r="C22" s="81"/>
      <c r="D22" s="81"/>
      <c r="E22" s="81"/>
      <c r="F22" s="81"/>
      <c r="G22" s="82"/>
      <c r="H22" s="107"/>
      <c r="I22" s="107"/>
      <c r="J22" s="107"/>
      <c r="K22" s="107"/>
      <c r="L22" s="107"/>
      <c r="M22" s="108"/>
      <c r="N22" s="125">
        <f>(H17-H18)*($E$36+$E$37)</f>
        <v>13.571428571428575</v>
      </c>
      <c r="O22" s="125"/>
      <c r="P22" s="125"/>
      <c r="Q22" s="125">
        <f>(K17-K18)*($E$36+$E$37)</f>
        <v>27.142857142857149</v>
      </c>
      <c r="R22" s="125"/>
      <c r="S22" s="125"/>
      <c r="T22" s="125">
        <f>(N17-N18)*$E$36</f>
        <v>40.000000000000014</v>
      </c>
      <c r="U22" s="125"/>
      <c r="V22" s="125"/>
      <c r="W22" s="125">
        <f>(Q17-Q18)*$E$36</f>
        <v>80.000000000000028</v>
      </c>
      <c r="X22" s="125"/>
      <c r="Y22" s="125"/>
      <c r="Z22" s="125">
        <f>(T17-T18)*$E$36</f>
        <v>160.00000000000006</v>
      </c>
      <c r="AA22" s="125"/>
      <c r="AB22" s="125"/>
      <c r="AC22" s="125">
        <f>(W17-W18)*$E$36</f>
        <v>320.00000000000011</v>
      </c>
      <c r="AD22" s="125"/>
      <c r="AE22" s="125"/>
      <c r="AF22" s="125">
        <f>(Z17-Z18)*$E$36</f>
        <v>640.00000000000023</v>
      </c>
      <c r="AG22" s="125"/>
      <c r="AH22" s="125"/>
      <c r="AI22" s="125">
        <f>(AC17-AC18)*$E$36</f>
        <v>1280.0000000000005</v>
      </c>
      <c r="AJ22" s="125"/>
      <c r="AK22" s="125"/>
      <c r="AL22" s="125">
        <f>(AF17-AF18)*$E$36</f>
        <v>2560.0000000000009</v>
      </c>
      <c r="AM22" s="125"/>
      <c r="AN22" s="125"/>
      <c r="AO22" s="125">
        <f>(AI17-AI18)*$E$36</f>
        <v>5120.0000000000018</v>
      </c>
      <c r="AP22" s="126"/>
      <c r="AQ22" s="69" t="s">
        <v>75</v>
      </c>
    </row>
    <row r="23" spans="1:43" s="69" customFormat="1" x14ac:dyDescent="0.25">
      <c r="A23" s="47" t="s">
        <v>76</v>
      </c>
      <c r="B23" s="80"/>
      <c r="C23" s="81"/>
      <c r="D23" s="81"/>
      <c r="E23" s="81"/>
      <c r="F23" s="81"/>
      <c r="G23" s="82"/>
      <c r="H23" s="87"/>
      <c r="I23" s="87"/>
      <c r="J23" s="87"/>
      <c r="K23" s="87"/>
      <c r="L23" s="87"/>
      <c r="M23" s="87"/>
      <c r="N23" s="107"/>
      <c r="O23" s="107"/>
      <c r="P23" s="107"/>
      <c r="Q23" s="107"/>
      <c r="R23" s="107"/>
      <c r="S23" s="108"/>
      <c r="T23" s="40">
        <f>(N17-N18)*$E$37</f>
        <v>14.28571428571429</v>
      </c>
      <c r="U23" s="40"/>
      <c r="V23" s="40"/>
      <c r="W23" s="40">
        <f>(Q17-Q18)*$E$37</f>
        <v>28.57142857142858</v>
      </c>
      <c r="X23" s="40"/>
      <c r="Y23" s="40"/>
      <c r="Z23" s="40">
        <f>(T17-T18)*$E$37</f>
        <v>57.14285714285716</v>
      </c>
      <c r="AA23" s="40"/>
      <c r="AB23" s="40"/>
      <c r="AC23" s="40">
        <f>(W17-W18)*$E$37</f>
        <v>114.28571428571432</v>
      </c>
      <c r="AD23" s="40"/>
      <c r="AE23" s="40"/>
      <c r="AF23" s="40">
        <f>(Z17-Z18)*$E$37</f>
        <v>228.57142857142864</v>
      </c>
      <c r="AG23" s="40"/>
      <c r="AH23" s="40"/>
      <c r="AI23" s="40">
        <f>(AC17-AC18)*$E$37</f>
        <v>457.14285714285728</v>
      </c>
      <c r="AJ23" s="40"/>
      <c r="AK23" s="40"/>
      <c r="AL23" s="40">
        <f>(AF17-AF18)*$E$37</f>
        <v>914.28571428571456</v>
      </c>
      <c r="AM23" s="40"/>
      <c r="AN23" s="40"/>
      <c r="AO23" s="40">
        <f>(AI17-AI18)*$E$37</f>
        <v>1828.5714285714291</v>
      </c>
      <c r="AP23" s="127"/>
      <c r="AQ23" s="47" t="s">
        <v>76</v>
      </c>
    </row>
    <row r="24" spans="1:43" s="69" customFormat="1" x14ac:dyDescent="0.25">
      <c r="A24" s="47" t="s">
        <v>81</v>
      </c>
      <c r="B24" s="86"/>
      <c r="C24" s="87"/>
      <c r="D24" s="87"/>
      <c r="E24" s="87"/>
      <c r="F24" s="87"/>
      <c r="G24" s="34"/>
      <c r="H24" s="87"/>
      <c r="I24" s="87"/>
      <c r="J24" s="87"/>
      <c r="K24" s="87"/>
      <c r="L24" s="87"/>
      <c r="M24" s="87"/>
      <c r="N24" s="87"/>
      <c r="O24" s="87"/>
      <c r="P24" s="87"/>
      <c r="Q24" s="87"/>
      <c r="R24" s="87"/>
      <c r="S24" s="87"/>
      <c r="T24" s="107"/>
      <c r="U24" s="108"/>
      <c r="V24" s="109">
        <f>H21*$E$35</f>
        <v>14.464285714285719</v>
      </c>
      <c r="W24" s="109"/>
      <c r="X24" s="109"/>
      <c r="Y24" s="109">
        <f>K21*$E$35</f>
        <v>28.928571428571438</v>
      </c>
      <c r="Z24" s="109"/>
      <c r="AA24" s="109"/>
      <c r="AB24" s="109">
        <f>N21</f>
        <v>57.857142857142875</v>
      </c>
      <c r="AC24" s="109"/>
      <c r="AD24" s="109"/>
      <c r="AE24" s="109">
        <f>Q21</f>
        <v>115.71428571428575</v>
      </c>
      <c r="AF24" s="109"/>
      <c r="AG24" s="109"/>
      <c r="AH24" s="109">
        <f>T21</f>
        <v>231.4285714285715</v>
      </c>
      <c r="AI24" s="109"/>
      <c r="AJ24" s="109"/>
      <c r="AK24" s="109">
        <f>W21</f>
        <v>448.39285714285728</v>
      </c>
      <c r="AL24" s="109"/>
      <c r="AM24" s="109"/>
      <c r="AN24" s="109">
        <f>Z21</f>
        <v>896.78571428571456</v>
      </c>
      <c r="AO24" s="109"/>
      <c r="AP24" s="110"/>
      <c r="AQ24" s="47" t="s">
        <v>81</v>
      </c>
    </row>
    <row r="25" spans="1:43" x14ac:dyDescent="0.25">
      <c r="A25" s="47" t="s">
        <v>70</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70</v>
      </c>
    </row>
    <row r="26" spans="1:43" x14ac:dyDescent="0.25">
      <c r="A26" s="133" t="s">
        <v>97</v>
      </c>
      <c r="B26" s="89">
        <f t="shared" ref="B26:G26" ca="1" si="0">C26-1</f>
        <v>43907.770149189811</v>
      </c>
      <c r="C26" s="90">
        <f t="shared" ca="1" si="0"/>
        <v>43908.770149189811</v>
      </c>
      <c r="D26" s="90">
        <f t="shared" ca="1" si="0"/>
        <v>43909.770149189811</v>
      </c>
      <c r="E26" s="90">
        <f t="shared" ca="1" si="0"/>
        <v>43910.770149189811</v>
      </c>
      <c r="F26" s="90">
        <f t="shared" ca="1" si="0"/>
        <v>43911.770149189811</v>
      </c>
      <c r="G26" s="91">
        <f t="shared" ca="1" si="0"/>
        <v>43912.770149189811</v>
      </c>
      <c r="H26" s="90">
        <f t="shared" ref="H26:U26" ca="1" si="1">I26-1</f>
        <v>43913.770149189811</v>
      </c>
      <c r="I26" s="90">
        <f t="shared" ca="1" si="1"/>
        <v>43914.770149189811</v>
      </c>
      <c r="J26" s="90">
        <f t="shared" ca="1" si="1"/>
        <v>43915.770149189811</v>
      </c>
      <c r="K26" s="90">
        <f t="shared" ca="1" si="1"/>
        <v>43916.770149189811</v>
      </c>
      <c r="L26" s="90">
        <f t="shared" ca="1" si="1"/>
        <v>43917.770149189811</v>
      </c>
      <c r="M26" s="90">
        <f t="shared" ca="1" si="1"/>
        <v>43918.770149189811</v>
      </c>
      <c r="N26" s="91">
        <f t="shared" ca="1" si="1"/>
        <v>43919.770149189811</v>
      </c>
      <c r="O26" s="89">
        <f t="shared" ca="1" si="1"/>
        <v>43920.770149189811</v>
      </c>
      <c r="P26" s="90">
        <f t="shared" ca="1" si="1"/>
        <v>43921.770149189811</v>
      </c>
      <c r="Q26" s="90">
        <f t="shared" ca="1" si="1"/>
        <v>43922.770149189811</v>
      </c>
      <c r="R26" s="90">
        <f t="shared" ca="1" si="1"/>
        <v>43923.770149189811</v>
      </c>
      <c r="S26" s="90">
        <f t="shared" ca="1" si="1"/>
        <v>43924.770149189811</v>
      </c>
      <c r="T26" s="90">
        <f t="shared" ca="1" si="1"/>
        <v>43925.770149189811</v>
      </c>
      <c r="U26" s="91">
        <f t="shared" ca="1" si="1"/>
        <v>43926.770149189811</v>
      </c>
      <c r="V26" s="89">
        <f t="shared" ref="V26:AN26" ca="1" si="2">W26-1</f>
        <v>43927.770149189811</v>
      </c>
      <c r="W26" s="90">
        <f t="shared" ca="1" si="2"/>
        <v>43928.770149189811</v>
      </c>
      <c r="X26" s="90">
        <f t="shared" ca="1" si="2"/>
        <v>43929.770149189811</v>
      </c>
      <c r="Y26" s="90">
        <f t="shared" ca="1" si="2"/>
        <v>43930.770149189811</v>
      </c>
      <c r="Z26" s="90">
        <f t="shared" ca="1" si="2"/>
        <v>43931.770149189811</v>
      </c>
      <c r="AA26" s="90">
        <f t="shared" ca="1" si="2"/>
        <v>43932.770149189811</v>
      </c>
      <c r="AB26" s="91">
        <f t="shared" ca="1" si="2"/>
        <v>43933.770149189811</v>
      </c>
      <c r="AC26" s="89">
        <f t="shared" ca="1" si="2"/>
        <v>43934.770149189811</v>
      </c>
      <c r="AD26" s="90">
        <f t="shared" ca="1" si="2"/>
        <v>43935.770149189811</v>
      </c>
      <c r="AE26" s="90">
        <f t="shared" ca="1" si="2"/>
        <v>43936.770149189811</v>
      </c>
      <c r="AF26" s="90">
        <f t="shared" ca="1" si="2"/>
        <v>43937.770149189811</v>
      </c>
      <c r="AG26" s="90">
        <f t="shared" ca="1" si="2"/>
        <v>43938.770149189811</v>
      </c>
      <c r="AH26" s="90">
        <f t="shared" ca="1" si="2"/>
        <v>43939.770149189811</v>
      </c>
      <c r="AI26" s="91">
        <f t="shared" ca="1" si="2"/>
        <v>43940.770149189811</v>
      </c>
      <c r="AJ26" s="89">
        <f t="shared" ca="1" si="2"/>
        <v>43941.770149189811</v>
      </c>
      <c r="AK26" s="90">
        <f t="shared" ca="1" si="2"/>
        <v>43942.770149189811</v>
      </c>
      <c r="AL26" s="90">
        <f t="shared" ca="1" si="2"/>
        <v>43943.770149189811</v>
      </c>
      <c r="AM26" s="90">
        <f t="shared" ca="1" si="2"/>
        <v>43944.770149189811</v>
      </c>
      <c r="AN26" s="90">
        <f t="shared" ca="1" si="2"/>
        <v>43945.770149189811</v>
      </c>
      <c r="AO26" s="90">
        <f ca="1">AP26-1</f>
        <v>43946.770149189811</v>
      </c>
      <c r="AP26" s="111">
        <f ca="1">NOW()</f>
        <v>43947.770149189811</v>
      </c>
    </row>
    <row r="27" spans="1:43" x14ac:dyDescent="0.25">
      <c r="A27" s="134" t="s">
        <v>98</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99</v>
      </c>
      <c r="B28" s="278" t="s">
        <v>68</v>
      </c>
      <c r="C28" s="279"/>
      <c r="D28" s="279"/>
      <c r="E28" s="279"/>
      <c r="F28" s="279"/>
      <c r="G28" s="280"/>
      <c r="H28" s="284" t="s">
        <v>57</v>
      </c>
      <c r="I28" s="284"/>
      <c r="J28" s="284"/>
      <c r="K28" s="284"/>
      <c r="L28" s="284"/>
      <c r="M28" s="284"/>
      <c r="N28" s="285"/>
      <c r="O28" s="283" t="s">
        <v>58</v>
      </c>
      <c r="P28" s="284"/>
      <c r="Q28" s="284"/>
      <c r="R28" s="284"/>
      <c r="S28" s="284"/>
      <c r="T28" s="284"/>
      <c r="U28" s="285"/>
      <c r="V28" s="283" t="s">
        <v>59</v>
      </c>
      <c r="W28" s="284"/>
      <c r="X28" s="284"/>
      <c r="Y28" s="284"/>
      <c r="Z28" s="284"/>
      <c r="AA28" s="284"/>
      <c r="AB28" s="285"/>
      <c r="AC28" s="283" t="s">
        <v>60</v>
      </c>
      <c r="AD28" s="284"/>
      <c r="AE28" s="284"/>
      <c r="AF28" s="284"/>
      <c r="AG28" s="284"/>
      <c r="AH28" s="284"/>
      <c r="AI28" s="285"/>
      <c r="AJ28" s="283" t="s">
        <v>61</v>
      </c>
      <c r="AK28" s="284"/>
      <c r="AL28" s="284"/>
      <c r="AM28" s="284"/>
      <c r="AN28" s="284"/>
      <c r="AO28" s="284"/>
      <c r="AP28" s="285"/>
    </row>
    <row r="29" spans="1:43" x14ac:dyDescent="0.25">
      <c r="B29" s="51" t="s">
        <v>80</v>
      </c>
      <c r="C29" s="96"/>
      <c r="D29" s="96"/>
      <c r="E29" s="96"/>
      <c r="F29" s="96"/>
      <c r="G29" s="97"/>
      <c r="H29" s="281" t="s">
        <v>67</v>
      </c>
      <c r="I29" s="281"/>
      <c r="J29" s="281"/>
      <c r="K29" s="281"/>
      <c r="L29" s="281"/>
      <c r="M29" s="281"/>
      <c r="N29" s="281"/>
      <c r="O29" s="281"/>
      <c r="P29" s="281"/>
      <c r="Q29" s="281"/>
      <c r="R29" s="281"/>
      <c r="S29" s="281"/>
      <c r="T29" s="281"/>
      <c r="U29" s="281"/>
      <c r="V29" s="281"/>
      <c r="W29" s="281"/>
      <c r="X29" s="281"/>
      <c r="Y29" s="281"/>
      <c r="Z29" s="281"/>
      <c r="AA29" s="281"/>
      <c r="AB29" s="281"/>
      <c r="AC29" s="281"/>
      <c r="AD29" s="281"/>
      <c r="AE29" s="281"/>
      <c r="AF29" s="281"/>
      <c r="AG29" s="281"/>
      <c r="AH29" s="281"/>
      <c r="AI29" s="281"/>
      <c r="AJ29" s="281"/>
      <c r="AK29" s="281"/>
      <c r="AL29" s="281"/>
      <c r="AM29" s="281"/>
      <c r="AN29" s="281"/>
      <c r="AO29" s="281"/>
      <c r="AP29" s="282"/>
    </row>
    <row r="31" spans="1:43" x14ac:dyDescent="0.25">
      <c r="B31" s="57" t="s">
        <v>69</v>
      </c>
      <c r="C31" s="138" t="s">
        <v>194</v>
      </c>
      <c r="D31" s="9"/>
      <c r="E31" s="85">
        <f>VLOOKUP(C31,B43:C54,2,FALSE)</f>
        <v>5.6000000000000001E-2</v>
      </c>
      <c r="F31" s="9"/>
      <c r="G31" s="9"/>
      <c r="H31" s="9"/>
      <c r="I31" s="5"/>
    </row>
    <row r="32" spans="1:43" x14ac:dyDescent="0.25">
      <c r="B32" s="41" t="s">
        <v>96</v>
      </c>
      <c r="C32" s="16"/>
      <c r="D32" s="16"/>
      <c r="E32" s="139">
        <v>1</v>
      </c>
      <c r="F32" s="16"/>
      <c r="G32" s="16"/>
      <c r="H32" s="16"/>
      <c r="I32" s="17"/>
    </row>
    <row r="33" spans="2:9" x14ac:dyDescent="0.25">
      <c r="B33" s="41" t="s">
        <v>71</v>
      </c>
      <c r="C33" s="16"/>
      <c r="D33" s="16"/>
      <c r="E33" s="16">
        <v>3</v>
      </c>
      <c r="F33" s="16" t="s">
        <v>72</v>
      </c>
      <c r="G33" s="16"/>
      <c r="H33" s="16"/>
      <c r="I33" s="17"/>
    </row>
    <row r="34" spans="2:9" x14ac:dyDescent="0.25">
      <c r="B34" s="41" t="s">
        <v>189</v>
      </c>
      <c r="C34" s="16"/>
      <c r="D34" s="16"/>
      <c r="E34" s="140">
        <f>1-Projections!B120</f>
        <v>0.88</v>
      </c>
      <c r="F34" s="16" t="s">
        <v>191</v>
      </c>
      <c r="G34" s="16"/>
      <c r="H34" s="16"/>
      <c r="I34" s="17"/>
    </row>
    <row r="35" spans="2:9" x14ac:dyDescent="0.25">
      <c r="B35" s="41" t="s">
        <v>77</v>
      </c>
      <c r="C35" s="16"/>
      <c r="D35" s="16"/>
      <c r="E35" s="140">
        <v>0.81</v>
      </c>
      <c r="F35" s="16" t="s">
        <v>95</v>
      </c>
      <c r="G35" s="16"/>
      <c r="H35" s="16"/>
      <c r="I35" s="17"/>
    </row>
    <row r="36" spans="2:9" x14ac:dyDescent="0.25">
      <c r="B36" s="41" t="s">
        <v>78</v>
      </c>
      <c r="C36" s="16"/>
      <c r="D36" s="16"/>
      <c r="E36" s="140">
        <v>0.14000000000000001</v>
      </c>
      <c r="F36" s="16" t="s">
        <v>95</v>
      </c>
      <c r="G36" s="16"/>
      <c r="H36" s="16"/>
      <c r="I36" s="17"/>
    </row>
    <row r="37" spans="2:9" x14ac:dyDescent="0.25">
      <c r="B37" s="41" t="s">
        <v>79</v>
      </c>
      <c r="C37" s="16"/>
      <c r="D37" s="16"/>
      <c r="E37" s="140">
        <v>0.05</v>
      </c>
      <c r="F37" s="16" t="s">
        <v>95</v>
      </c>
      <c r="G37" s="16"/>
      <c r="H37" s="16"/>
      <c r="I37" s="17"/>
    </row>
    <row r="38" spans="2:9" x14ac:dyDescent="0.25">
      <c r="B38" s="41" t="s">
        <v>82</v>
      </c>
      <c r="C38" s="16"/>
      <c r="D38" s="16"/>
      <c r="E38" s="136">
        <v>2</v>
      </c>
      <c r="F38" s="16" t="s">
        <v>83</v>
      </c>
      <c r="G38" s="16"/>
      <c r="H38" s="16"/>
      <c r="I38" s="17"/>
    </row>
    <row r="39" spans="2:9" x14ac:dyDescent="0.25">
      <c r="B39" s="37" t="s">
        <v>84</v>
      </c>
      <c r="C39" s="137"/>
      <c r="D39" s="39"/>
      <c r="E39" s="116">
        <v>4</v>
      </c>
      <c r="F39" s="39" t="s">
        <v>83</v>
      </c>
      <c r="G39" s="39" t="s">
        <v>85</v>
      </c>
      <c r="H39" s="39"/>
      <c r="I39" s="63"/>
    </row>
    <row r="42" spans="2:9" x14ac:dyDescent="0.25">
      <c r="B42" t="s">
        <v>91</v>
      </c>
    </row>
    <row r="43" spans="2:9" x14ac:dyDescent="0.25">
      <c r="B43" s="4" t="s">
        <v>90</v>
      </c>
      <c r="C43" s="115">
        <v>3.5000000000000003E-2</v>
      </c>
    </row>
    <row r="44" spans="2:9" x14ac:dyDescent="0.25">
      <c r="B44" s="41" t="s">
        <v>89</v>
      </c>
      <c r="C44" s="27">
        <v>2.3E-2</v>
      </c>
    </row>
    <row r="45" spans="2:9" x14ac:dyDescent="0.25">
      <c r="B45" s="41" t="s">
        <v>194</v>
      </c>
      <c r="C45" s="27">
        <f>Projections!B127</f>
        <v>5.6000000000000001E-2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100</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R200"/>
  <sheetViews>
    <sheetView tabSelected="1" topLeftCell="F102" zoomScale="85" zoomScaleNormal="85" workbookViewId="0">
      <selection activeCell="AD126" sqref="AD126"/>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19" width="11" customWidth="1"/>
    <col min="20" max="20" width="10.7109375" customWidth="1"/>
    <col min="21" max="22" width="10.85546875" bestFit="1" customWidth="1"/>
    <col min="23" max="23" width="10.85546875" customWidth="1"/>
    <col min="24" max="25" width="10.85546875" bestFit="1" customWidth="1"/>
    <col min="26" max="29" width="11.28515625" customWidth="1"/>
    <col min="30" max="31" width="10.7109375" bestFit="1" customWidth="1"/>
    <col min="32" max="32" width="10.7109375" customWidth="1"/>
    <col min="33" max="33" width="10.7109375" bestFit="1" customWidth="1"/>
    <col min="34" max="37" width="11.5703125" bestFit="1" customWidth="1"/>
    <col min="38" max="39" width="13.28515625" bestFit="1" customWidth="1"/>
    <col min="40" max="40" width="13.7109375" customWidth="1"/>
    <col min="41" max="41" width="11.5703125" style="69" bestFit="1" customWidth="1"/>
    <col min="42" max="42" width="11.140625" bestFit="1" customWidth="1"/>
    <col min="43" max="43" width="12.140625" bestFit="1" customWidth="1"/>
  </cols>
  <sheetData>
    <row r="1" spans="3:12" x14ac:dyDescent="0.25">
      <c r="C1" t="s">
        <v>117</v>
      </c>
    </row>
    <row r="2" spans="3:12" x14ac:dyDescent="0.25">
      <c r="C2" s="277">
        <v>2017</v>
      </c>
      <c r="D2" t="s">
        <v>288</v>
      </c>
    </row>
    <row r="3" spans="3:12" x14ac:dyDescent="0.25">
      <c r="C3" s="277">
        <v>2018</v>
      </c>
      <c r="D3" t="s">
        <v>287</v>
      </c>
    </row>
    <row r="4" spans="3:12" x14ac:dyDescent="0.25">
      <c r="C4" s="217">
        <v>43829</v>
      </c>
      <c r="D4" t="s">
        <v>272</v>
      </c>
    </row>
    <row r="5" spans="3:12" x14ac:dyDescent="0.25">
      <c r="C5" s="217">
        <v>43830</v>
      </c>
      <c r="D5" t="s">
        <v>275</v>
      </c>
    </row>
    <row r="6" spans="3:12" x14ac:dyDescent="0.25">
      <c r="C6" s="217"/>
      <c r="D6" s="217">
        <v>43833</v>
      </c>
      <c r="E6" t="s">
        <v>271</v>
      </c>
    </row>
    <row r="7" spans="3:12" x14ac:dyDescent="0.25">
      <c r="D7" s="271">
        <v>43835</v>
      </c>
      <c r="E7" s="69" t="s">
        <v>267</v>
      </c>
      <c r="F7" s="69"/>
      <c r="G7" s="69"/>
      <c r="H7" s="69"/>
      <c r="I7" s="69"/>
      <c r="J7" s="165"/>
      <c r="L7" s="217"/>
    </row>
    <row r="8" spans="3:12" x14ac:dyDescent="0.25">
      <c r="D8" s="158">
        <v>43836</v>
      </c>
      <c r="E8" s="159" t="s">
        <v>196</v>
      </c>
      <c r="F8" s="159"/>
      <c r="G8" s="159"/>
      <c r="H8" s="159"/>
      <c r="I8" s="159"/>
      <c r="J8" s="158">
        <v>43850</v>
      </c>
      <c r="L8" s="217"/>
    </row>
    <row r="9" spans="3:12" x14ac:dyDescent="0.25">
      <c r="D9" s="271">
        <v>43837</v>
      </c>
      <c r="E9" s="69" t="s">
        <v>234</v>
      </c>
      <c r="F9" s="69"/>
      <c r="G9" s="69"/>
      <c r="H9" s="69"/>
      <c r="I9" s="69"/>
      <c r="J9" s="165"/>
      <c r="L9" s="217"/>
    </row>
    <row r="10" spans="3:12" s="69" customFormat="1" x14ac:dyDescent="0.25">
      <c r="D10" s="165">
        <v>43838</v>
      </c>
      <c r="E10" s="69" t="s">
        <v>276</v>
      </c>
      <c r="J10" s="165"/>
      <c r="L10" s="165"/>
    </row>
    <row r="11" spans="3:12" x14ac:dyDescent="0.25">
      <c r="D11" s="271">
        <v>43839</v>
      </c>
      <c r="E11" s="69" t="s">
        <v>235</v>
      </c>
      <c r="F11" s="69"/>
      <c r="G11" s="69"/>
      <c r="H11" s="69"/>
      <c r="I11" s="69"/>
      <c r="J11" s="165"/>
      <c r="L11" s="217"/>
    </row>
    <row r="12" spans="3:12" x14ac:dyDescent="0.25">
      <c r="D12" s="271">
        <v>43840</v>
      </c>
      <c r="E12" s="69" t="s">
        <v>313</v>
      </c>
      <c r="F12" s="69"/>
      <c r="G12" s="69"/>
      <c r="H12" s="69"/>
      <c r="I12" s="69"/>
      <c r="J12" s="165"/>
      <c r="L12" s="217"/>
    </row>
    <row r="13" spans="3:12" x14ac:dyDescent="0.25">
      <c r="D13" s="165">
        <v>43841</v>
      </c>
      <c r="E13" s="69" t="s">
        <v>242</v>
      </c>
      <c r="F13" s="69"/>
      <c r="G13" s="69"/>
      <c r="H13" s="69"/>
      <c r="I13" s="69"/>
      <c r="J13" s="165"/>
      <c r="L13" s="217"/>
    </row>
    <row r="14" spans="3:12" x14ac:dyDescent="0.25">
      <c r="D14" s="165">
        <v>43842</v>
      </c>
      <c r="E14" s="69" t="s">
        <v>273</v>
      </c>
      <c r="F14" s="69"/>
      <c r="G14" s="69"/>
      <c r="H14" s="69"/>
      <c r="I14" s="69"/>
      <c r="J14" s="165"/>
      <c r="L14" s="217"/>
    </row>
    <row r="15" spans="3:12" x14ac:dyDescent="0.25">
      <c r="D15" s="271">
        <v>43844</v>
      </c>
      <c r="E15" s="69" t="s">
        <v>268</v>
      </c>
      <c r="F15" s="69"/>
      <c r="G15" s="69"/>
      <c r="H15" s="69"/>
      <c r="I15" s="69"/>
      <c r="J15" s="165"/>
      <c r="L15" s="217"/>
    </row>
    <row r="16" spans="3:12" x14ac:dyDescent="0.25">
      <c r="D16" s="165">
        <v>43845</v>
      </c>
      <c r="E16" s="69" t="s">
        <v>279</v>
      </c>
      <c r="F16" s="69"/>
      <c r="G16" s="69"/>
      <c r="H16" s="69"/>
      <c r="I16" s="69"/>
      <c r="J16" s="165"/>
      <c r="L16" s="217"/>
    </row>
    <row r="17" spans="3:35" x14ac:dyDescent="0.25">
      <c r="D17" s="165">
        <v>43846</v>
      </c>
      <c r="E17" s="69" t="s">
        <v>197</v>
      </c>
      <c r="F17" s="69"/>
      <c r="G17" s="69"/>
      <c r="H17" s="69"/>
      <c r="I17" s="69"/>
      <c r="J17" s="165"/>
      <c r="L17" s="217"/>
    </row>
    <row r="18" spans="3:35" x14ac:dyDescent="0.25">
      <c r="D18" s="158">
        <v>43847</v>
      </c>
      <c r="E18" s="159" t="s">
        <v>227</v>
      </c>
      <c r="F18" s="159"/>
      <c r="G18" s="159"/>
      <c r="H18" s="159"/>
      <c r="I18" s="159"/>
      <c r="J18" s="158">
        <v>43861</v>
      </c>
      <c r="L18" s="217"/>
    </row>
    <row r="19" spans="3:35" x14ac:dyDescent="0.25">
      <c r="D19" s="270">
        <v>43848</v>
      </c>
      <c r="E19" s="69" t="s">
        <v>207</v>
      </c>
      <c r="F19" s="69"/>
      <c r="G19" s="69"/>
      <c r="H19" s="69"/>
      <c r="I19" s="69"/>
      <c r="J19" s="165"/>
      <c r="K19" s="69"/>
      <c r="L19" s="165"/>
    </row>
    <row r="20" spans="3:35" x14ac:dyDescent="0.25">
      <c r="D20" s="217">
        <v>43851</v>
      </c>
      <c r="E20" t="s">
        <v>198</v>
      </c>
    </row>
    <row r="21" spans="3:35" x14ac:dyDescent="0.25">
      <c r="D21" s="270">
        <v>43852</v>
      </c>
      <c r="E21" t="s">
        <v>199</v>
      </c>
    </row>
    <row r="22" spans="3:35" x14ac:dyDescent="0.25">
      <c r="C22" s="69"/>
      <c r="D22" s="271">
        <v>43853</v>
      </c>
      <c r="E22" s="69" t="s">
        <v>240</v>
      </c>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row>
    <row r="23" spans="3:35" x14ac:dyDescent="0.25">
      <c r="C23" s="69"/>
      <c r="D23" s="270">
        <v>43854</v>
      </c>
      <c r="E23" s="69" t="s">
        <v>236</v>
      </c>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row>
    <row r="24" spans="3:35" x14ac:dyDescent="0.25">
      <c r="C24" s="69"/>
      <c r="D24" s="165">
        <v>43857</v>
      </c>
      <c r="E24" s="69" t="s">
        <v>208</v>
      </c>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row>
    <row r="25" spans="3:35" x14ac:dyDescent="0.25">
      <c r="C25" s="69"/>
      <c r="D25" s="158">
        <v>43858</v>
      </c>
      <c r="E25" s="159" t="s">
        <v>278</v>
      </c>
      <c r="F25" s="159"/>
      <c r="G25" s="159"/>
      <c r="H25" s="159"/>
      <c r="I25" s="159"/>
      <c r="J25" s="158">
        <v>43873</v>
      </c>
      <c r="K25" s="69"/>
      <c r="L25" s="69"/>
      <c r="M25" s="69"/>
      <c r="N25" s="69"/>
      <c r="O25" s="69"/>
      <c r="P25" s="69"/>
      <c r="Q25" s="69"/>
      <c r="R25" s="69"/>
      <c r="S25" s="69"/>
      <c r="T25" s="69"/>
      <c r="U25" s="69"/>
      <c r="V25" s="69"/>
      <c r="W25" s="69"/>
      <c r="X25" s="69"/>
      <c r="Y25" s="69"/>
      <c r="Z25" s="69"/>
      <c r="AA25" s="69"/>
      <c r="AB25" s="69"/>
      <c r="AC25" s="69"/>
      <c r="AD25" s="69"/>
      <c r="AE25" s="69"/>
    </row>
    <row r="26" spans="3:35" x14ac:dyDescent="0.25">
      <c r="C26" s="69"/>
      <c r="D26" s="165">
        <v>43859</v>
      </c>
      <c r="E26" s="69" t="s">
        <v>209</v>
      </c>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row>
    <row r="27" spans="3:35" x14ac:dyDescent="0.25">
      <c r="D27" s="217">
        <v>43859</v>
      </c>
      <c r="E27" t="s">
        <v>200</v>
      </c>
      <c r="M27" s="217"/>
    </row>
    <row r="28" spans="3:35" x14ac:dyDescent="0.25">
      <c r="D28" s="271">
        <v>43860</v>
      </c>
      <c r="E28" t="s">
        <v>243</v>
      </c>
    </row>
    <row r="29" spans="3:35" x14ac:dyDescent="0.25">
      <c r="D29" s="270">
        <v>43860</v>
      </c>
      <c r="E29" t="s">
        <v>210</v>
      </c>
      <c r="AF29" s="69"/>
      <c r="AG29" s="69"/>
      <c r="AH29" s="69"/>
      <c r="AI29" s="69"/>
    </row>
    <row r="30" spans="3:35" x14ac:dyDescent="0.25">
      <c r="D30" s="270">
        <v>43860</v>
      </c>
      <c r="E30" t="s">
        <v>291</v>
      </c>
      <c r="AF30" s="69"/>
      <c r="AG30" s="69"/>
      <c r="AH30" s="69"/>
      <c r="AI30" s="69"/>
    </row>
    <row r="31" spans="3:35" s="69" customFormat="1" x14ac:dyDescent="0.25">
      <c r="D31" s="165">
        <v>43860</v>
      </c>
      <c r="E31" s="69" t="s">
        <v>274</v>
      </c>
    </row>
    <row r="32" spans="3:35" x14ac:dyDescent="0.25">
      <c r="D32" s="165">
        <v>43861</v>
      </c>
      <c r="E32" s="69" t="s">
        <v>249</v>
      </c>
      <c r="F32" s="69"/>
      <c r="G32" s="69"/>
      <c r="H32" s="69"/>
      <c r="I32" s="69"/>
      <c r="J32" s="69"/>
      <c r="K32" s="165"/>
      <c r="AF32" s="69"/>
      <c r="AG32" s="69"/>
      <c r="AH32" s="69"/>
      <c r="AI32" s="69"/>
    </row>
    <row r="33" spans="3:36" x14ac:dyDescent="0.25">
      <c r="D33" s="270">
        <v>43861</v>
      </c>
      <c r="E33" s="69" t="s">
        <v>252</v>
      </c>
      <c r="F33" s="69"/>
      <c r="G33" s="69"/>
      <c r="H33" s="69"/>
      <c r="I33" s="69"/>
      <c r="J33" s="69"/>
      <c r="K33" s="165"/>
      <c r="AF33" s="69"/>
      <c r="AG33" s="69"/>
      <c r="AH33" s="69"/>
      <c r="AI33" s="69"/>
    </row>
    <row r="34" spans="3:36" x14ac:dyDescent="0.25">
      <c r="D34" s="165">
        <v>43861</v>
      </c>
      <c r="E34" s="69" t="s">
        <v>250</v>
      </c>
      <c r="F34" s="69"/>
      <c r="G34" s="69"/>
      <c r="H34" s="69"/>
      <c r="I34" s="69"/>
      <c r="J34" s="69"/>
      <c r="K34" s="165"/>
      <c r="AF34" s="69"/>
      <c r="AG34" s="69"/>
      <c r="AH34" s="69"/>
      <c r="AI34" s="69"/>
    </row>
    <row r="35" spans="3:36" x14ac:dyDescent="0.25">
      <c r="D35" s="165" t="s">
        <v>211</v>
      </c>
      <c r="E35" t="s">
        <v>212</v>
      </c>
      <c r="AF35" s="69"/>
      <c r="AG35" s="69"/>
      <c r="AH35" s="69"/>
      <c r="AI35" s="69"/>
    </row>
    <row r="36" spans="3:36" x14ac:dyDescent="0.25">
      <c r="D36" s="165"/>
      <c r="E36" s="217">
        <v>43862</v>
      </c>
      <c r="F36" t="s">
        <v>246</v>
      </c>
      <c r="AF36" s="69"/>
      <c r="AG36" s="69"/>
      <c r="AH36" s="69"/>
      <c r="AI36" s="69"/>
    </row>
    <row r="37" spans="3:36" x14ac:dyDescent="0.25">
      <c r="E37" s="158">
        <v>43863</v>
      </c>
      <c r="F37" s="159" t="s">
        <v>202</v>
      </c>
      <c r="G37" s="159"/>
      <c r="H37" s="159"/>
      <c r="I37" s="159"/>
      <c r="J37" s="158"/>
      <c r="K37" s="158">
        <v>43877</v>
      </c>
      <c r="AF37" s="69"/>
      <c r="AG37" s="69"/>
      <c r="AH37" s="69"/>
      <c r="AI37" s="69"/>
    </row>
    <row r="38" spans="3:36" x14ac:dyDescent="0.25">
      <c r="C38" s="69"/>
      <c r="D38" s="69"/>
      <c r="E38" s="165"/>
      <c r="F38" s="272" t="s">
        <v>238</v>
      </c>
      <c r="G38" s="69" t="s">
        <v>239</v>
      </c>
      <c r="H38" s="69"/>
      <c r="I38" s="69"/>
      <c r="J38" s="165"/>
      <c r="K38" s="165"/>
      <c r="L38" s="69"/>
      <c r="M38" s="69"/>
      <c r="N38" s="69"/>
      <c r="O38" s="69"/>
      <c r="P38" s="69"/>
      <c r="Q38" s="69"/>
      <c r="R38" s="69"/>
      <c r="S38" s="69"/>
      <c r="T38" s="69"/>
      <c r="U38" s="69"/>
      <c r="V38" s="69"/>
      <c r="W38" s="69"/>
      <c r="X38" s="69"/>
      <c r="Y38" s="69"/>
      <c r="Z38" s="69"/>
      <c r="AA38" s="69"/>
      <c r="AB38" s="69"/>
      <c r="AC38" s="69"/>
      <c r="AD38" s="69"/>
      <c r="AE38" s="69"/>
    </row>
    <row r="39" spans="3:36" x14ac:dyDescent="0.25">
      <c r="C39" s="69"/>
      <c r="D39" s="69"/>
      <c r="E39" s="165"/>
      <c r="F39" s="270">
        <v>43863</v>
      </c>
      <c r="G39" s="69" t="s">
        <v>296</v>
      </c>
      <c r="H39" s="69"/>
      <c r="I39" s="69"/>
      <c r="J39" s="165"/>
      <c r="K39" s="165"/>
      <c r="L39" s="69"/>
      <c r="M39" s="69"/>
      <c r="N39" s="69"/>
      <c r="O39" s="69"/>
      <c r="P39" s="69"/>
      <c r="Q39" s="69"/>
      <c r="R39" s="69"/>
      <c r="S39" s="69"/>
      <c r="T39" s="69"/>
      <c r="U39" s="69"/>
      <c r="V39" s="69"/>
      <c r="W39" s="69"/>
      <c r="X39" s="69"/>
      <c r="Y39" s="69"/>
      <c r="Z39" s="69"/>
      <c r="AA39" s="69"/>
      <c r="AB39" s="69"/>
      <c r="AC39" s="69"/>
      <c r="AD39" s="69"/>
      <c r="AE39" s="69"/>
    </row>
    <row r="40" spans="3:36" x14ac:dyDescent="0.25">
      <c r="E40" s="165"/>
      <c r="F40" s="165">
        <v>43866</v>
      </c>
      <c r="G40" s="69" t="s">
        <v>251</v>
      </c>
      <c r="H40" s="69"/>
      <c r="I40" s="69"/>
      <c r="J40" s="165"/>
      <c r="K40" s="165"/>
    </row>
    <row r="41" spans="3:36" x14ac:dyDescent="0.25">
      <c r="E41" s="165"/>
      <c r="F41" s="165">
        <v>43868</v>
      </c>
      <c r="G41" s="69" t="s">
        <v>270</v>
      </c>
      <c r="H41" s="69"/>
      <c r="I41" s="69"/>
      <c r="J41" s="165"/>
      <c r="K41" s="165"/>
    </row>
    <row r="42" spans="3:36" x14ac:dyDescent="0.25">
      <c r="E42" s="165"/>
      <c r="F42" s="270">
        <v>43871</v>
      </c>
      <c r="G42" s="69" t="s">
        <v>292</v>
      </c>
      <c r="H42" s="69"/>
      <c r="I42" s="69"/>
      <c r="J42" s="165"/>
      <c r="K42" s="165"/>
    </row>
    <row r="43" spans="3:36" x14ac:dyDescent="0.25">
      <c r="E43" s="165"/>
      <c r="F43" s="270">
        <v>43872</v>
      </c>
      <c r="G43" s="69" t="s">
        <v>286</v>
      </c>
      <c r="H43" s="69"/>
      <c r="I43" s="69"/>
      <c r="J43" s="165"/>
      <c r="K43" s="165"/>
    </row>
    <row r="44" spans="3:36" x14ac:dyDescent="0.25">
      <c r="E44" s="165"/>
      <c r="F44" s="271">
        <v>43873</v>
      </c>
      <c r="G44" s="69" t="s">
        <v>282</v>
      </c>
      <c r="H44" s="69"/>
      <c r="I44" s="69"/>
      <c r="J44" s="165"/>
      <c r="K44" s="165"/>
    </row>
    <row r="45" spans="3:36" x14ac:dyDescent="0.25">
      <c r="E45" s="165"/>
      <c r="G45" s="270">
        <v>43880</v>
      </c>
      <c r="H45" s="69" t="s">
        <v>213</v>
      </c>
      <c r="I45" s="69"/>
      <c r="J45" s="69"/>
      <c r="K45" s="165"/>
      <c r="L45" s="165"/>
    </row>
    <row r="46" spans="3:36" x14ac:dyDescent="0.25">
      <c r="E46" s="165"/>
      <c r="F46" s="165"/>
      <c r="G46" s="69"/>
      <c r="H46" s="69"/>
      <c r="I46" s="69"/>
      <c r="J46" s="165"/>
      <c r="K46" s="165"/>
      <c r="L46" s="217">
        <v>43882</v>
      </c>
      <c r="M46" t="s">
        <v>214</v>
      </c>
      <c r="AJ46" s="69"/>
    </row>
    <row r="47" spans="3:36" x14ac:dyDescent="0.25">
      <c r="E47" s="165"/>
      <c r="F47" s="165"/>
      <c r="G47" s="69"/>
      <c r="H47" s="69"/>
      <c r="I47" s="69"/>
      <c r="J47" s="165"/>
      <c r="K47" s="165"/>
      <c r="L47" s="271">
        <v>43883</v>
      </c>
      <c r="M47" t="s">
        <v>237</v>
      </c>
      <c r="AJ47" s="69"/>
    </row>
    <row r="48" spans="3:36" x14ac:dyDescent="0.25">
      <c r="E48" s="165"/>
      <c r="F48" s="165"/>
      <c r="G48" s="69"/>
      <c r="H48" s="69"/>
      <c r="I48" s="69"/>
      <c r="J48" s="165"/>
      <c r="K48" s="165"/>
      <c r="L48" s="217">
        <v>43884</v>
      </c>
      <c r="M48" t="s">
        <v>215</v>
      </c>
      <c r="AJ48" s="69"/>
    </row>
    <row r="49" spans="3:36" x14ac:dyDescent="0.25">
      <c r="D49" s="217"/>
      <c r="L49" s="270">
        <v>43885</v>
      </c>
      <c r="M49" t="s">
        <v>201</v>
      </c>
      <c r="AF49" s="69"/>
      <c r="AG49" s="69"/>
      <c r="AH49" s="69"/>
      <c r="AI49" s="69"/>
      <c r="AJ49" s="69"/>
    </row>
    <row r="50" spans="3:36" x14ac:dyDescent="0.25">
      <c r="L50" s="165">
        <v>43886</v>
      </c>
      <c r="M50" t="s">
        <v>216</v>
      </c>
      <c r="AJ50" s="69"/>
    </row>
    <row r="51" spans="3:36" x14ac:dyDescent="0.25">
      <c r="L51" s="270">
        <v>43886</v>
      </c>
      <c r="M51" t="s">
        <v>217</v>
      </c>
      <c r="AJ51" s="69"/>
    </row>
    <row r="52" spans="3:36" x14ac:dyDescent="0.25">
      <c r="L52" s="270">
        <v>43886</v>
      </c>
      <c r="M52" t="s">
        <v>285</v>
      </c>
      <c r="AJ52" s="69"/>
    </row>
    <row r="53" spans="3:36" s="69" customFormat="1" x14ac:dyDescent="0.25">
      <c r="C53"/>
      <c r="D53"/>
      <c r="E53"/>
      <c r="F53"/>
      <c r="G53"/>
      <c r="H53"/>
      <c r="I53"/>
      <c r="J53"/>
      <c r="K53"/>
      <c r="L53" s="165">
        <v>43886</v>
      </c>
      <c r="M53" t="s">
        <v>218</v>
      </c>
      <c r="N53"/>
      <c r="O53"/>
      <c r="P53"/>
      <c r="Q53"/>
      <c r="R53"/>
      <c r="S53"/>
      <c r="T53"/>
      <c r="U53"/>
      <c r="V53"/>
      <c r="W53"/>
      <c r="X53"/>
      <c r="Y53"/>
      <c r="Z53"/>
      <c r="AA53"/>
      <c r="AB53"/>
      <c r="AC53"/>
      <c r="AD53"/>
      <c r="AE53"/>
      <c r="AF53"/>
      <c r="AG53"/>
      <c r="AH53"/>
      <c r="AI53"/>
    </row>
    <row r="54" spans="3:36" s="69" customFormat="1" x14ac:dyDescent="0.25">
      <c r="C54"/>
      <c r="D54"/>
      <c r="E54"/>
      <c r="F54"/>
      <c r="G54"/>
      <c r="H54"/>
      <c r="I54"/>
      <c r="J54"/>
      <c r="K54"/>
      <c r="L54" s="270">
        <v>43887</v>
      </c>
      <c r="M54" t="s">
        <v>219</v>
      </c>
      <c r="N54"/>
      <c r="O54"/>
      <c r="P54"/>
      <c r="Q54"/>
      <c r="R54"/>
      <c r="S54"/>
      <c r="T54"/>
      <c r="U54"/>
      <c r="V54"/>
      <c r="W54"/>
      <c r="X54"/>
      <c r="Y54"/>
      <c r="Z54"/>
      <c r="AA54"/>
      <c r="AB54"/>
      <c r="AC54"/>
      <c r="AD54"/>
      <c r="AE54"/>
      <c r="AF54"/>
      <c r="AG54"/>
      <c r="AH54"/>
      <c r="AI54"/>
      <c r="AJ54"/>
    </row>
    <row r="55" spans="3:36" s="69" customFormat="1" x14ac:dyDescent="0.25">
      <c r="C55"/>
      <c r="D55"/>
      <c r="E55"/>
      <c r="F55"/>
      <c r="G55"/>
      <c r="H55"/>
      <c r="I55"/>
      <c r="J55"/>
      <c r="K55"/>
      <c r="L55" s="270">
        <v>43888</v>
      </c>
      <c r="M55" t="s">
        <v>280</v>
      </c>
      <c r="N55"/>
      <c r="O55"/>
      <c r="P55"/>
      <c r="Q55"/>
      <c r="R55"/>
      <c r="S55"/>
      <c r="T55"/>
      <c r="U55"/>
      <c r="V55"/>
      <c r="W55"/>
      <c r="X55"/>
      <c r="Y55"/>
      <c r="Z55"/>
      <c r="AA55"/>
      <c r="AB55"/>
      <c r="AC55"/>
      <c r="AD55"/>
      <c r="AE55"/>
      <c r="AF55"/>
      <c r="AG55"/>
      <c r="AH55"/>
      <c r="AI55"/>
      <c r="AJ55"/>
    </row>
    <row r="56" spans="3:36" s="69" customFormat="1" x14ac:dyDescent="0.25">
      <c r="C56"/>
      <c r="D56"/>
      <c r="E56"/>
      <c r="F56"/>
      <c r="G56"/>
      <c r="H56"/>
      <c r="I56"/>
      <c r="J56"/>
      <c r="K56"/>
      <c r="L56" s="270">
        <v>43888</v>
      </c>
      <c r="M56" t="s">
        <v>281</v>
      </c>
      <c r="N56"/>
      <c r="O56"/>
      <c r="P56"/>
      <c r="Q56"/>
      <c r="R56"/>
      <c r="S56"/>
      <c r="T56"/>
      <c r="U56"/>
      <c r="V56"/>
      <c r="W56"/>
      <c r="X56"/>
      <c r="Y56"/>
      <c r="Z56"/>
      <c r="AA56"/>
      <c r="AB56"/>
      <c r="AC56"/>
      <c r="AD56"/>
      <c r="AE56"/>
      <c r="AF56"/>
      <c r="AG56"/>
      <c r="AH56"/>
      <c r="AI56"/>
      <c r="AJ56"/>
    </row>
    <row r="57" spans="3:36" s="69" customFormat="1" x14ac:dyDescent="0.25">
      <c r="C57"/>
      <c r="D57"/>
      <c r="E57"/>
      <c r="F57"/>
      <c r="G57"/>
      <c r="H57"/>
      <c r="I57"/>
      <c r="J57"/>
      <c r="K57"/>
      <c r="L57" s="270">
        <v>43889</v>
      </c>
      <c r="M57" t="s">
        <v>293</v>
      </c>
      <c r="N57"/>
      <c r="O57"/>
      <c r="P57"/>
      <c r="Q57"/>
      <c r="R57"/>
      <c r="S57"/>
      <c r="T57"/>
      <c r="U57"/>
      <c r="V57"/>
      <c r="W57"/>
      <c r="X57"/>
      <c r="Y57"/>
      <c r="Z57"/>
      <c r="AA57"/>
      <c r="AB57"/>
      <c r="AC57"/>
      <c r="AD57"/>
      <c r="AE57"/>
      <c r="AF57"/>
      <c r="AG57"/>
      <c r="AH57"/>
      <c r="AI57"/>
      <c r="AJ57"/>
    </row>
    <row r="58" spans="3:36" s="69" customFormat="1" x14ac:dyDescent="0.25">
      <c r="C58"/>
      <c r="D58"/>
      <c r="E58"/>
      <c r="F58"/>
      <c r="G58"/>
      <c r="H58"/>
      <c r="I58"/>
      <c r="J58"/>
      <c r="K58"/>
      <c r="L58"/>
      <c r="M58" s="158">
        <v>43890</v>
      </c>
      <c r="N58" s="159" t="s">
        <v>203</v>
      </c>
      <c r="O58" s="159"/>
      <c r="P58" s="159"/>
      <c r="Q58" s="159"/>
      <c r="R58" s="158">
        <f>M58+14</f>
        <v>43904</v>
      </c>
      <c r="S58"/>
      <c r="T58"/>
      <c r="U58"/>
      <c r="V58"/>
      <c r="W58"/>
      <c r="X58"/>
      <c r="Y58"/>
      <c r="Z58"/>
      <c r="AA58"/>
      <c r="AB58"/>
      <c r="AC58"/>
      <c r="AD58"/>
      <c r="AE58"/>
      <c r="AF58"/>
      <c r="AG58"/>
      <c r="AH58"/>
      <c r="AI58"/>
      <c r="AJ58"/>
    </row>
    <row r="59" spans="3:36" s="69" customFormat="1" x14ac:dyDescent="0.25">
      <c r="C59"/>
      <c r="D59"/>
      <c r="E59"/>
      <c r="F59"/>
      <c r="G59"/>
      <c r="H59"/>
      <c r="I59"/>
      <c r="J59"/>
      <c r="K59"/>
      <c r="L59"/>
      <c r="M59" s="270">
        <v>43890</v>
      </c>
      <c r="N59" s="69" t="s">
        <v>294</v>
      </c>
      <c r="R59" s="165"/>
      <c r="S59"/>
      <c r="T59"/>
      <c r="U59"/>
      <c r="V59"/>
      <c r="W59"/>
      <c r="X59"/>
      <c r="Y59"/>
      <c r="Z59"/>
      <c r="AA59"/>
      <c r="AB59"/>
      <c r="AC59"/>
      <c r="AD59"/>
      <c r="AE59"/>
      <c r="AF59"/>
      <c r="AG59"/>
      <c r="AH59"/>
      <c r="AI59"/>
      <c r="AJ59"/>
    </row>
    <row r="60" spans="3:36" s="69" customFormat="1" x14ac:dyDescent="0.25">
      <c r="C60"/>
      <c r="D60"/>
      <c r="E60" s="165"/>
      <c r="F60"/>
      <c r="G60"/>
      <c r="H60"/>
      <c r="I60"/>
      <c r="J60"/>
      <c r="K60"/>
      <c r="L60"/>
      <c r="M60" s="158">
        <v>43892</v>
      </c>
      <c r="N60" s="158" t="s">
        <v>179</v>
      </c>
      <c r="O60" s="159"/>
      <c r="P60" s="159"/>
      <c r="Q60" s="158"/>
      <c r="R60" s="159"/>
      <c r="S60" s="158">
        <v>43906</v>
      </c>
      <c r="T60"/>
      <c r="U60"/>
      <c r="V60"/>
      <c r="W60"/>
      <c r="X60"/>
      <c r="Y60"/>
      <c r="Z60"/>
      <c r="AA60"/>
      <c r="AB60"/>
      <c r="AC60"/>
      <c r="AD60"/>
      <c r="AE60"/>
      <c r="AF60"/>
      <c r="AG60"/>
      <c r="AH60"/>
      <c r="AI60"/>
      <c r="AJ60"/>
    </row>
    <row r="61" spans="3:36" s="69" customFormat="1" x14ac:dyDescent="0.25">
      <c r="E61" s="165"/>
      <c r="M61" s="270">
        <v>43892</v>
      </c>
      <c r="N61" s="165" t="s">
        <v>295</v>
      </c>
      <c r="Q61" s="165"/>
      <c r="S61" s="165"/>
    </row>
    <row r="62" spans="3:36" s="69" customFormat="1" x14ac:dyDescent="0.25">
      <c r="E62" s="165"/>
      <c r="M62" s="165"/>
      <c r="N62" s="165">
        <v>43893</v>
      </c>
      <c r="O62" s="69" t="s">
        <v>231</v>
      </c>
      <c r="Q62" s="165"/>
      <c r="S62" s="165"/>
      <c r="AF62"/>
      <c r="AG62"/>
      <c r="AH62"/>
      <c r="AI62"/>
      <c r="AJ62"/>
    </row>
    <row r="63" spans="3:36" s="69" customFormat="1" x14ac:dyDescent="0.25">
      <c r="C63"/>
      <c r="D63"/>
      <c r="E63" s="165"/>
      <c r="F63"/>
      <c r="G63"/>
      <c r="H63"/>
      <c r="I63"/>
      <c r="J63"/>
      <c r="K63"/>
      <c r="L63"/>
      <c r="M63"/>
      <c r="N63" s="270">
        <v>43894</v>
      </c>
      <c r="O63" t="s">
        <v>204</v>
      </c>
      <c r="P63"/>
      <c r="Q63"/>
      <c r="R63"/>
      <c r="S63"/>
      <c r="T63"/>
      <c r="U63"/>
      <c r="V63"/>
      <c r="W63"/>
      <c r="X63"/>
      <c r="Y63"/>
      <c r="Z63"/>
      <c r="AA63"/>
      <c r="AB63"/>
      <c r="AC63"/>
      <c r="AD63"/>
      <c r="AE63"/>
      <c r="AF63"/>
      <c r="AG63"/>
      <c r="AH63"/>
      <c r="AI63"/>
      <c r="AJ63"/>
    </row>
    <row r="64" spans="3:36" s="69" customFormat="1" x14ac:dyDescent="0.25">
      <c r="C64"/>
      <c r="D64"/>
      <c r="E64" s="165"/>
      <c r="F64"/>
      <c r="G64"/>
      <c r="H64"/>
      <c r="I64"/>
      <c r="J64"/>
      <c r="K64"/>
      <c r="L64"/>
      <c r="M64"/>
      <c r="N64" s="270">
        <v>43894</v>
      </c>
      <c r="O64" t="s">
        <v>284</v>
      </c>
      <c r="P64"/>
      <c r="Q64"/>
      <c r="R64"/>
      <c r="S64"/>
      <c r="T64"/>
      <c r="U64"/>
      <c r="V64"/>
      <c r="W64"/>
      <c r="X64"/>
      <c r="Y64"/>
      <c r="Z64"/>
      <c r="AA64"/>
      <c r="AB64"/>
      <c r="AC64"/>
      <c r="AD64"/>
      <c r="AE64"/>
      <c r="AF64"/>
      <c r="AG64"/>
      <c r="AH64"/>
      <c r="AI64"/>
      <c r="AJ64"/>
    </row>
    <row r="65" spans="3:36" x14ac:dyDescent="0.25">
      <c r="E65" s="165"/>
      <c r="N65" s="165"/>
      <c r="O65" s="270">
        <v>43895</v>
      </c>
      <c r="P65" s="69" t="s">
        <v>220</v>
      </c>
      <c r="Q65" s="165"/>
      <c r="R65" s="69"/>
      <c r="S65" s="165"/>
      <c r="AJ65" s="69"/>
    </row>
    <row r="66" spans="3:36" x14ac:dyDescent="0.25">
      <c r="E66" s="165"/>
      <c r="N66" s="165"/>
      <c r="O66" s="270">
        <v>43895</v>
      </c>
      <c r="P66" s="69" t="s">
        <v>290</v>
      </c>
      <c r="Q66" s="165"/>
      <c r="R66" s="69"/>
      <c r="S66" s="165"/>
      <c r="AJ66" s="69"/>
    </row>
    <row r="67" spans="3:36" x14ac:dyDescent="0.25">
      <c r="E67" s="165"/>
      <c r="N67" s="165"/>
      <c r="O67" s="270">
        <v>43896</v>
      </c>
      <c r="P67" s="69" t="s">
        <v>244</v>
      </c>
      <c r="Q67" s="165"/>
      <c r="R67" s="69"/>
      <c r="S67" s="165"/>
    </row>
    <row r="68" spans="3:36" x14ac:dyDescent="0.25">
      <c r="C68" s="69"/>
      <c r="D68" s="69"/>
      <c r="E68" s="165"/>
      <c r="F68" s="69"/>
      <c r="G68" s="69"/>
      <c r="H68" s="69"/>
      <c r="I68" s="69"/>
      <c r="J68" s="69"/>
      <c r="K68" s="69"/>
      <c r="L68" s="69"/>
      <c r="M68" s="69"/>
      <c r="N68" s="165"/>
      <c r="O68" s="165">
        <v>43896</v>
      </c>
      <c r="P68" s="69" t="s">
        <v>255</v>
      </c>
      <c r="Q68" s="165"/>
      <c r="R68" s="69"/>
      <c r="S68" s="165"/>
      <c r="T68" s="69"/>
      <c r="U68" s="69"/>
      <c r="V68" s="69"/>
      <c r="W68" s="69"/>
      <c r="X68" s="69"/>
      <c r="Y68" s="69"/>
      <c r="Z68" s="69"/>
      <c r="AA68" s="69"/>
      <c r="AB68" s="69"/>
      <c r="AC68" s="69"/>
      <c r="AD68" s="69"/>
      <c r="AE68" s="69"/>
      <c r="AF68" s="69"/>
      <c r="AG68" s="69"/>
      <c r="AH68" s="69"/>
      <c r="AI68" s="69"/>
    </row>
    <row r="69" spans="3:36" x14ac:dyDescent="0.25">
      <c r="C69" s="69"/>
      <c r="D69" s="69"/>
      <c r="E69" s="165"/>
      <c r="F69" s="69"/>
      <c r="G69" s="69"/>
      <c r="H69" s="69"/>
      <c r="I69" s="69"/>
      <c r="J69" s="69"/>
      <c r="K69" s="69"/>
      <c r="L69" s="69"/>
      <c r="M69" s="69"/>
      <c r="N69" s="165"/>
      <c r="O69" s="270">
        <v>43896</v>
      </c>
      <c r="P69" s="69" t="s">
        <v>297</v>
      </c>
      <c r="Q69" s="165"/>
      <c r="R69" s="69"/>
      <c r="S69" s="165"/>
      <c r="T69" s="69"/>
      <c r="U69" s="69"/>
      <c r="V69" s="69"/>
      <c r="W69" s="69"/>
      <c r="X69" s="69"/>
      <c r="Y69" s="69"/>
      <c r="Z69" s="69"/>
      <c r="AA69" s="69"/>
      <c r="AB69" s="69"/>
      <c r="AC69" s="69"/>
      <c r="AD69" s="69"/>
      <c r="AE69" s="69"/>
      <c r="AF69" s="69"/>
      <c r="AG69" s="69"/>
      <c r="AH69" s="69"/>
      <c r="AI69" s="69"/>
    </row>
    <row r="70" spans="3:36" x14ac:dyDescent="0.25">
      <c r="C70" s="69"/>
      <c r="D70" s="69"/>
      <c r="E70" s="165"/>
      <c r="F70" s="69"/>
      <c r="G70" s="69"/>
      <c r="H70" s="69"/>
      <c r="I70" s="69"/>
      <c r="J70" s="69"/>
      <c r="K70" s="69"/>
      <c r="L70" s="69"/>
      <c r="M70" s="69"/>
      <c r="N70" s="165"/>
      <c r="O70" s="270">
        <v>43896</v>
      </c>
      <c r="P70" s="69" t="s">
        <v>298</v>
      </c>
      <c r="Q70" s="165"/>
      <c r="R70" s="69"/>
      <c r="S70" s="165"/>
      <c r="T70" s="69"/>
      <c r="U70" s="69"/>
      <c r="V70" s="69"/>
      <c r="W70" s="69"/>
      <c r="X70" s="69"/>
      <c r="Y70" s="69"/>
      <c r="Z70" s="69"/>
      <c r="AA70" s="69"/>
      <c r="AB70" s="69"/>
      <c r="AC70" s="69"/>
      <c r="AD70" s="69"/>
      <c r="AE70" s="69"/>
      <c r="AF70" s="69"/>
      <c r="AG70" s="69"/>
      <c r="AH70" s="69"/>
      <c r="AI70" s="69"/>
    </row>
    <row r="71" spans="3:36" x14ac:dyDescent="0.25">
      <c r="C71" s="69"/>
      <c r="D71" s="69"/>
      <c r="E71" s="165"/>
      <c r="F71" s="69"/>
      <c r="G71" s="69"/>
      <c r="H71" s="69"/>
      <c r="I71" s="69"/>
      <c r="J71" s="69"/>
      <c r="K71" s="69"/>
      <c r="L71" s="69"/>
      <c r="M71" s="69"/>
      <c r="N71" s="165"/>
      <c r="O71" s="270">
        <v>43897</v>
      </c>
      <c r="P71" s="69" t="s">
        <v>283</v>
      </c>
      <c r="Q71" s="165"/>
      <c r="R71" s="69"/>
      <c r="S71" s="165"/>
      <c r="T71" s="69"/>
      <c r="U71" s="69"/>
      <c r="V71" s="69"/>
      <c r="W71" s="69"/>
      <c r="X71" s="69"/>
      <c r="Y71" s="69"/>
      <c r="Z71" s="69"/>
      <c r="AA71" s="69"/>
      <c r="AB71" s="69"/>
      <c r="AC71" s="69"/>
      <c r="AD71" s="69"/>
      <c r="AE71" s="69"/>
      <c r="AF71" s="69"/>
      <c r="AG71" s="69"/>
      <c r="AH71" s="69"/>
      <c r="AI71" s="69"/>
    </row>
    <row r="72" spans="3:36" x14ac:dyDescent="0.25">
      <c r="C72" s="69"/>
      <c r="D72" s="69"/>
      <c r="E72" s="165"/>
      <c r="F72" s="69"/>
      <c r="G72" s="69"/>
      <c r="H72" s="69"/>
      <c r="I72" s="69"/>
      <c r="J72" s="69"/>
      <c r="K72" s="69"/>
      <c r="L72" s="69"/>
      <c r="M72" s="69"/>
      <c r="N72" s="165"/>
      <c r="O72" s="165"/>
      <c r="P72" s="270">
        <v>43898</v>
      </c>
      <c r="Q72" s="165" t="s">
        <v>299</v>
      </c>
      <c r="R72" s="69"/>
      <c r="S72" s="165"/>
      <c r="T72" s="69"/>
      <c r="U72" s="69"/>
      <c r="V72" s="69"/>
      <c r="W72" s="69"/>
      <c r="X72" s="69"/>
      <c r="Y72" s="69"/>
      <c r="Z72" s="69"/>
      <c r="AA72" s="69"/>
      <c r="AB72" s="69"/>
      <c r="AC72" s="69"/>
      <c r="AD72" s="69"/>
      <c r="AE72" s="69"/>
      <c r="AF72" s="69"/>
      <c r="AG72" s="69"/>
      <c r="AH72" s="69"/>
      <c r="AI72" s="69"/>
    </row>
    <row r="73" spans="3:36" x14ac:dyDescent="0.25">
      <c r="E73" s="165"/>
      <c r="N73" s="165"/>
      <c r="P73" s="270">
        <v>43899</v>
      </c>
      <c r="Q73" s="165" t="s">
        <v>221</v>
      </c>
      <c r="R73" s="69"/>
      <c r="S73" s="165"/>
    </row>
    <row r="74" spans="3:36" x14ac:dyDescent="0.25">
      <c r="E74" s="165"/>
      <c r="N74" s="165"/>
      <c r="P74" s="270">
        <v>43899</v>
      </c>
      <c r="Q74" s="165" t="s">
        <v>300</v>
      </c>
      <c r="R74" s="69"/>
      <c r="S74" s="165"/>
    </row>
    <row r="75" spans="3:36" x14ac:dyDescent="0.25">
      <c r="E75" s="165"/>
      <c r="N75" s="165"/>
      <c r="P75" s="270">
        <v>43899</v>
      </c>
      <c r="Q75" s="165" t="s">
        <v>222</v>
      </c>
      <c r="R75" s="69"/>
      <c r="S75" s="165"/>
    </row>
    <row r="76" spans="3:36" x14ac:dyDescent="0.25">
      <c r="E76" s="165"/>
      <c r="N76" s="165"/>
      <c r="P76" s="270">
        <v>43900</v>
      </c>
      <c r="Q76" s="165" t="s">
        <v>301</v>
      </c>
      <c r="R76" s="69"/>
      <c r="S76" s="165"/>
    </row>
    <row r="77" spans="3:36" x14ac:dyDescent="0.25">
      <c r="E77" s="165"/>
      <c r="N77" s="165"/>
      <c r="P77" s="270">
        <v>43900</v>
      </c>
      <c r="Q77" s="165" t="s">
        <v>223</v>
      </c>
      <c r="R77" s="69"/>
      <c r="S77" s="165"/>
      <c r="AF77" s="69"/>
      <c r="AG77" s="69"/>
      <c r="AH77" s="69"/>
      <c r="AI77" s="69"/>
    </row>
    <row r="78" spans="3:36" s="69" customFormat="1" x14ac:dyDescent="0.25">
      <c r="C78"/>
      <c r="D78"/>
      <c r="E78" s="165"/>
      <c r="F78"/>
      <c r="G78"/>
      <c r="H78"/>
      <c r="I78"/>
      <c r="J78"/>
      <c r="K78"/>
      <c r="L78"/>
      <c r="M78"/>
      <c r="N78" s="165"/>
      <c r="O78" s="165"/>
      <c r="Q78" s="271">
        <v>43901</v>
      </c>
      <c r="R78" s="69" t="s">
        <v>206</v>
      </c>
      <c r="S78" s="165"/>
      <c r="U78"/>
      <c r="V78"/>
      <c r="W78"/>
      <c r="X78"/>
      <c r="Y78"/>
      <c r="Z78"/>
      <c r="AA78"/>
      <c r="AB78"/>
      <c r="AC78"/>
      <c r="AD78"/>
      <c r="AE78"/>
      <c r="AF78"/>
      <c r="AG78"/>
      <c r="AH78"/>
      <c r="AI78"/>
      <c r="AJ78"/>
    </row>
    <row r="79" spans="3:36" x14ac:dyDescent="0.25">
      <c r="E79" s="165"/>
      <c r="N79" s="165"/>
      <c r="O79" s="165"/>
      <c r="P79" s="69"/>
      <c r="Q79" s="270">
        <v>43901</v>
      </c>
      <c r="R79" s="69" t="s">
        <v>254</v>
      </c>
      <c r="S79" s="165"/>
      <c r="T79" s="69"/>
    </row>
    <row r="80" spans="3:36" x14ac:dyDescent="0.25">
      <c r="E80" s="165"/>
      <c r="Q80" s="270">
        <v>43901</v>
      </c>
      <c r="R80" t="s">
        <v>228</v>
      </c>
    </row>
    <row r="81" spans="3:36" x14ac:dyDescent="0.25">
      <c r="C81" s="69"/>
      <c r="D81" s="69"/>
      <c r="E81" s="165"/>
      <c r="F81" s="69"/>
      <c r="G81" s="69"/>
      <c r="H81" s="69"/>
      <c r="I81" s="69"/>
      <c r="J81" s="69"/>
      <c r="K81" s="69"/>
      <c r="L81" s="69"/>
      <c r="M81" s="69"/>
      <c r="N81" s="165"/>
      <c r="O81" s="165"/>
      <c r="P81" s="69"/>
      <c r="Q81" s="165">
        <v>43902</v>
      </c>
      <c r="R81" s="69" t="s">
        <v>247</v>
      </c>
      <c r="S81" s="165"/>
      <c r="T81" s="69"/>
      <c r="U81" s="69"/>
      <c r="V81" s="69"/>
      <c r="W81" s="69"/>
      <c r="X81" s="69"/>
      <c r="Y81" s="69"/>
      <c r="Z81" s="69"/>
      <c r="AA81" s="69"/>
      <c r="AB81" s="69"/>
      <c r="AC81" s="69"/>
      <c r="AD81" s="69"/>
      <c r="AE81" s="69"/>
      <c r="AF81" s="69"/>
      <c r="AG81" s="69"/>
      <c r="AH81" s="69"/>
      <c r="AI81" s="69"/>
    </row>
    <row r="82" spans="3:36" x14ac:dyDescent="0.25">
      <c r="E82" s="165"/>
      <c r="Q82" s="270">
        <v>43902</v>
      </c>
      <c r="R82" t="s">
        <v>224</v>
      </c>
    </row>
    <row r="83" spans="3:36" x14ac:dyDescent="0.25">
      <c r="E83" s="165"/>
      <c r="Q83" s="158">
        <v>43903</v>
      </c>
      <c r="R83" s="159" t="s">
        <v>180</v>
      </c>
      <c r="S83" s="159"/>
      <c r="T83" s="159"/>
      <c r="U83" s="159"/>
      <c r="V83" s="159"/>
      <c r="W83" s="159"/>
      <c r="X83" s="159"/>
      <c r="Y83" s="159"/>
      <c r="Z83" s="159"/>
      <c r="AA83" s="159"/>
      <c r="AB83" s="159"/>
      <c r="AC83" s="159"/>
    </row>
    <row r="84" spans="3:36" x14ac:dyDescent="0.25">
      <c r="E84" s="165"/>
      <c r="Q84" s="270">
        <v>43903</v>
      </c>
      <c r="R84" t="s">
        <v>225</v>
      </c>
      <c r="AJ84" s="69"/>
    </row>
    <row r="85" spans="3:36" x14ac:dyDescent="0.25">
      <c r="E85" s="165"/>
      <c r="Q85" s="270">
        <v>43903</v>
      </c>
      <c r="R85" t="s">
        <v>226</v>
      </c>
    </row>
    <row r="86" spans="3:36" x14ac:dyDescent="0.25">
      <c r="C86" s="69"/>
      <c r="D86" s="69"/>
      <c r="E86" s="165"/>
      <c r="F86" s="69"/>
      <c r="G86" s="69"/>
      <c r="H86" s="69"/>
      <c r="I86" s="69"/>
      <c r="J86" s="69"/>
      <c r="K86" s="69"/>
      <c r="L86" s="69"/>
      <c r="M86" s="69"/>
      <c r="N86" s="69"/>
      <c r="O86" s="69"/>
      <c r="P86" s="69"/>
      <c r="Q86" s="165">
        <v>43903</v>
      </c>
      <c r="R86" s="69" t="s">
        <v>265</v>
      </c>
      <c r="S86" s="69"/>
      <c r="T86" s="69"/>
      <c r="U86" s="69"/>
      <c r="V86" s="69"/>
      <c r="W86" s="69"/>
      <c r="X86" s="69"/>
      <c r="Y86" s="69"/>
      <c r="Z86" s="69"/>
      <c r="AA86" s="69"/>
      <c r="AB86" s="69"/>
      <c r="AC86" s="69"/>
      <c r="AD86" s="69"/>
      <c r="AE86" s="69"/>
      <c r="AF86" s="69"/>
      <c r="AG86" s="69"/>
      <c r="AH86" s="69"/>
      <c r="AI86" s="69"/>
    </row>
    <row r="87" spans="3:36" x14ac:dyDescent="0.25">
      <c r="D87" s="165"/>
      <c r="M87" s="69"/>
      <c r="N87" s="165"/>
      <c r="O87" s="69"/>
      <c r="P87" s="69"/>
      <c r="Q87" s="69"/>
      <c r="R87" s="158">
        <v>43904</v>
      </c>
      <c r="S87" s="159" t="s">
        <v>175</v>
      </c>
      <c r="T87" s="159"/>
      <c r="U87" s="158"/>
      <c r="V87" s="158"/>
      <c r="W87" s="159"/>
      <c r="X87" s="158">
        <v>43918</v>
      </c>
      <c r="AJ87" s="69"/>
    </row>
    <row r="88" spans="3:36" x14ac:dyDescent="0.25">
      <c r="D88" s="69"/>
      <c r="E88" s="69"/>
      <c r="F88" s="165"/>
      <c r="G88" s="165"/>
      <c r="H88" s="165"/>
      <c r="I88" s="165"/>
      <c r="J88" s="165"/>
      <c r="K88" s="165"/>
      <c r="L88" s="69"/>
      <c r="M88" s="69"/>
      <c r="R88" s="69"/>
      <c r="S88" s="159" t="s">
        <v>181</v>
      </c>
      <c r="T88" s="159"/>
      <c r="U88" s="159"/>
      <c r="V88" s="159"/>
      <c r="W88" s="159"/>
      <c r="X88" s="159"/>
      <c r="Y88" s="159"/>
      <c r="Z88" s="159"/>
      <c r="AA88" s="159"/>
      <c r="AB88" s="159"/>
      <c r="AC88" s="159"/>
    </row>
    <row r="89" spans="3:36" x14ac:dyDescent="0.25">
      <c r="D89" s="69"/>
      <c r="E89" s="69"/>
      <c r="F89" s="69"/>
      <c r="G89" s="69"/>
      <c r="H89" s="69"/>
      <c r="I89" s="69"/>
      <c r="J89" s="69"/>
      <c r="K89" s="69"/>
      <c r="L89" s="165"/>
      <c r="M89" s="69"/>
      <c r="N89" s="69"/>
      <c r="O89" s="69"/>
      <c r="P89" s="165"/>
      <c r="S89" s="270">
        <v>43907</v>
      </c>
      <c r="T89" t="s">
        <v>205</v>
      </c>
    </row>
    <row r="90" spans="3:36" s="69" customFormat="1" x14ac:dyDescent="0.25">
      <c r="C90"/>
      <c r="D90"/>
      <c r="E90"/>
      <c r="F90"/>
      <c r="G90"/>
      <c r="H90"/>
      <c r="I90"/>
      <c r="J90"/>
      <c r="K90"/>
      <c r="L90"/>
      <c r="M90"/>
      <c r="N90"/>
      <c r="O90"/>
      <c r="P90"/>
      <c r="Q90"/>
      <c r="R90"/>
      <c r="S90"/>
      <c r="T90" s="158">
        <v>43908</v>
      </c>
      <c r="U90" s="159" t="s">
        <v>176</v>
      </c>
      <c r="V90" s="159"/>
      <c r="W90" s="158"/>
      <c r="X90" s="158">
        <v>43922</v>
      </c>
      <c r="Y90"/>
      <c r="Z90"/>
      <c r="AA90"/>
      <c r="AB90"/>
      <c r="AC90"/>
      <c r="AD90"/>
      <c r="AE90"/>
      <c r="AF90"/>
      <c r="AG90"/>
      <c r="AH90"/>
      <c r="AI90"/>
      <c r="AJ90"/>
    </row>
    <row r="91" spans="3:36" x14ac:dyDescent="0.25">
      <c r="T91" s="270">
        <v>43908</v>
      </c>
      <c r="U91" s="69" t="s">
        <v>248</v>
      </c>
      <c r="V91" s="69"/>
      <c r="W91" s="165"/>
      <c r="X91" s="165"/>
      <c r="AJ91" s="69"/>
    </row>
    <row r="92" spans="3:36" x14ac:dyDescent="0.25">
      <c r="T92" s="270">
        <v>43909</v>
      </c>
      <c r="U92" s="69" t="s">
        <v>302</v>
      </c>
      <c r="V92" s="69"/>
      <c r="W92" s="165"/>
      <c r="X92" s="165"/>
      <c r="Y92" s="69"/>
      <c r="Z92" s="69"/>
      <c r="AA92" s="69"/>
      <c r="AB92" s="69"/>
    </row>
    <row r="93" spans="3:36" s="69" customFormat="1" x14ac:dyDescent="0.25">
      <c r="C93"/>
      <c r="D93"/>
      <c r="E93"/>
      <c r="F93"/>
      <c r="G93"/>
      <c r="H93"/>
      <c r="I93"/>
      <c r="J93"/>
      <c r="K93"/>
      <c r="L93"/>
      <c r="M93"/>
      <c r="N93"/>
      <c r="O93"/>
      <c r="P93"/>
      <c r="Q93"/>
      <c r="R93"/>
      <c r="S93"/>
      <c r="T93"/>
      <c r="U93" s="158">
        <v>43910</v>
      </c>
      <c r="V93" s="159" t="s">
        <v>177</v>
      </c>
      <c r="W93" s="159"/>
      <c r="X93" s="159"/>
      <c r="Y93" s="158">
        <v>43924</v>
      </c>
      <c r="Z93"/>
      <c r="AA93"/>
      <c r="AB93"/>
      <c r="AC93"/>
      <c r="AD93"/>
      <c r="AE93"/>
      <c r="AF93"/>
      <c r="AG93"/>
      <c r="AH93"/>
      <c r="AI93"/>
      <c r="AJ93"/>
    </row>
    <row r="94" spans="3:36" x14ac:dyDescent="0.25">
      <c r="V94" s="158">
        <v>43914</v>
      </c>
      <c r="W94" s="159" t="s">
        <v>178</v>
      </c>
      <c r="X94" s="159"/>
      <c r="Y94" s="158">
        <v>43928</v>
      </c>
    </row>
    <row r="95" spans="3:36" x14ac:dyDescent="0.25">
      <c r="V95" s="270">
        <v>43914</v>
      </c>
      <c r="W95" t="s">
        <v>245</v>
      </c>
    </row>
    <row r="96" spans="3:36" s="69" customFormat="1" x14ac:dyDescent="0.25">
      <c r="V96" s="165">
        <v>43914</v>
      </c>
      <c r="W96" s="69" t="s">
        <v>312</v>
      </c>
    </row>
    <row r="97" spans="3:36" x14ac:dyDescent="0.25">
      <c r="C97" s="69"/>
      <c r="D97" s="69"/>
      <c r="E97" s="69"/>
      <c r="F97" s="69"/>
      <c r="G97" s="69"/>
      <c r="H97" s="69"/>
      <c r="I97" s="69"/>
      <c r="J97" s="69"/>
      <c r="K97" s="69"/>
      <c r="L97" s="69"/>
      <c r="M97" s="69"/>
      <c r="N97" s="69"/>
      <c r="O97" s="69"/>
      <c r="P97" s="69"/>
      <c r="Q97" s="69"/>
      <c r="R97" s="69"/>
      <c r="S97" s="69"/>
      <c r="T97" s="69"/>
      <c r="U97" s="69"/>
      <c r="V97" s="165"/>
      <c r="W97" s="217">
        <v>43917</v>
      </c>
      <c r="X97" s="217" t="s">
        <v>229</v>
      </c>
      <c r="Z97" s="69"/>
      <c r="AA97" s="69"/>
      <c r="AB97" s="69"/>
      <c r="AC97" s="69"/>
      <c r="AD97" s="69"/>
      <c r="AE97" s="69"/>
      <c r="AF97" s="69"/>
      <c r="AG97" s="69"/>
      <c r="AH97" s="69"/>
      <c r="AI97" s="69"/>
      <c r="AJ97" s="69"/>
    </row>
    <row r="98" spans="3:36" s="69" customFormat="1" x14ac:dyDescent="0.25">
      <c r="V98" s="165"/>
      <c r="W98" s="270">
        <v>43917</v>
      </c>
      <c r="X98" t="s">
        <v>256</v>
      </c>
      <c r="AJ98"/>
    </row>
    <row r="99" spans="3:36" s="69" customFormat="1" x14ac:dyDescent="0.25">
      <c r="V99" s="165"/>
      <c r="W99" s="270">
        <v>43917</v>
      </c>
      <c r="X99" t="s">
        <v>289</v>
      </c>
      <c r="AJ99"/>
    </row>
    <row r="100" spans="3:36" x14ac:dyDescent="0.25">
      <c r="T100" s="236"/>
      <c r="U100" s="165"/>
      <c r="X100" s="271">
        <v>43918</v>
      </c>
      <c r="Y100" t="s">
        <v>253</v>
      </c>
      <c r="AF100" s="217"/>
    </row>
    <row r="101" spans="3:36" x14ac:dyDescent="0.25">
      <c r="X101" s="270">
        <v>43920</v>
      </c>
      <c r="Y101" t="s">
        <v>261</v>
      </c>
    </row>
    <row r="102" spans="3:36" x14ac:dyDescent="0.25">
      <c r="Y102" s="270">
        <v>43923</v>
      </c>
      <c r="Z102" s="69" t="s">
        <v>257</v>
      </c>
      <c r="AA102" s="69"/>
      <c r="AC102" s="69"/>
    </row>
    <row r="103" spans="3:36" x14ac:dyDescent="0.25">
      <c r="X103" s="217"/>
      <c r="Y103" s="158">
        <v>43924</v>
      </c>
      <c r="Z103" s="159" t="s">
        <v>230</v>
      </c>
      <c r="AA103" s="158">
        <v>43938</v>
      </c>
    </row>
    <row r="104" spans="3:36" s="69" customFormat="1" x14ac:dyDescent="0.25">
      <c r="X104" s="217"/>
      <c r="Y104" s="270">
        <v>43925</v>
      </c>
      <c r="Z104" t="s">
        <v>232</v>
      </c>
      <c r="AA104"/>
      <c r="AB104"/>
      <c r="AC104"/>
      <c r="AJ104"/>
    </row>
    <row r="105" spans="3:36" x14ac:dyDescent="0.25">
      <c r="C105" s="69"/>
      <c r="D105" s="69"/>
      <c r="E105" s="69"/>
      <c r="F105" s="69"/>
      <c r="G105" s="69"/>
      <c r="H105" s="69"/>
      <c r="I105" s="69"/>
      <c r="J105" s="69"/>
      <c r="K105" s="69"/>
      <c r="L105" s="69"/>
      <c r="M105" s="69"/>
      <c r="N105" s="69"/>
      <c r="O105" s="69"/>
      <c r="P105" s="69"/>
      <c r="Q105" s="69"/>
      <c r="R105" s="69"/>
      <c r="S105" s="69"/>
      <c r="T105" s="69"/>
      <c r="U105" s="69"/>
      <c r="V105" s="69"/>
      <c r="W105" s="69"/>
      <c r="X105" s="217"/>
      <c r="Z105" s="270">
        <v>43932</v>
      </c>
      <c r="AA105" t="s">
        <v>241</v>
      </c>
      <c r="AD105" s="69"/>
      <c r="AE105" s="69"/>
      <c r="AF105" s="69"/>
      <c r="AG105" s="69"/>
      <c r="AH105" s="69"/>
      <c r="AI105" s="69"/>
    </row>
    <row r="106" spans="3:36" x14ac:dyDescent="0.25">
      <c r="Z106" s="270">
        <v>43934</v>
      </c>
      <c r="AA106" t="s">
        <v>233</v>
      </c>
    </row>
    <row r="107" spans="3:36" x14ac:dyDescent="0.25">
      <c r="Z107" s="217">
        <v>43935</v>
      </c>
      <c r="AA107" t="s">
        <v>258</v>
      </c>
    </row>
    <row r="108" spans="3:36" x14ac:dyDescent="0.25">
      <c r="Z108" s="270">
        <v>43936</v>
      </c>
      <c r="AA108" s="69" t="s">
        <v>259</v>
      </c>
      <c r="AJ108" s="69"/>
    </row>
    <row r="109" spans="3:36" x14ac:dyDescent="0.25">
      <c r="Z109" s="270">
        <v>43936</v>
      </c>
      <c r="AA109" t="s">
        <v>266</v>
      </c>
      <c r="AJ109" s="69"/>
    </row>
    <row r="110" spans="3:36" x14ac:dyDescent="0.25">
      <c r="Z110" s="270">
        <v>43936</v>
      </c>
      <c r="AA110" t="s">
        <v>264</v>
      </c>
      <c r="AJ110" s="69"/>
    </row>
    <row r="111" spans="3:36" x14ac:dyDescent="0.25">
      <c r="Z111" s="217">
        <v>43936</v>
      </c>
      <c r="AA111" t="s">
        <v>260</v>
      </c>
    </row>
    <row r="112" spans="3:36" x14ac:dyDescent="0.25">
      <c r="Z112" s="270">
        <v>43937</v>
      </c>
      <c r="AA112" t="s">
        <v>311</v>
      </c>
    </row>
    <row r="113" spans="1:39" x14ac:dyDescent="0.25">
      <c r="Z113" s="270">
        <v>43938</v>
      </c>
      <c r="AA113" t="s">
        <v>263</v>
      </c>
    </row>
    <row r="114" spans="1:39" x14ac:dyDescent="0.25">
      <c r="Z114" s="270">
        <v>43938</v>
      </c>
      <c r="AA114" t="s">
        <v>262</v>
      </c>
    </row>
    <row r="115" spans="1:39" s="69" customFormat="1" x14ac:dyDescent="0.25">
      <c r="Z115" s="270">
        <v>43939</v>
      </c>
      <c r="AA115" s="69" t="s">
        <v>269</v>
      </c>
    </row>
    <row r="116" spans="1:39" s="69" customFormat="1" x14ac:dyDescent="0.25">
      <c r="AA116" s="270">
        <v>43941</v>
      </c>
      <c r="AB116" s="69" t="s">
        <v>303</v>
      </c>
    </row>
    <row r="117" spans="1:39" x14ac:dyDescent="0.25">
      <c r="AA117" s="217">
        <v>43942</v>
      </c>
      <c r="AB117" t="s">
        <v>310</v>
      </c>
    </row>
    <row r="118" spans="1:39" x14ac:dyDescent="0.25">
      <c r="A118" s="4" t="s">
        <v>193</v>
      </c>
      <c r="B118" s="221">
        <v>330565500</v>
      </c>
      <c r="C118" t="s">
        <v>174</v>
      </c>
      <c r="D118" s="69"/>
      <c r="E118" s="69"/>
      <c r="F118" s="69"/>
      <c r="G118" s="69"/>
      <c r="H118" s="69"/>
      <c r="I118" s="69"/>
      <c r="J118" s="69"/>
      <c r="K118" s="69"/>
      <c r="L118" s="69"/>
      <c r="M118" s="69"/>
      <c r="N118" s="165"/>
      <c r="O118" s="69"/>
      <c r="P118" s="69"/>
      <c r="Q118" s="69"/>
      <c r="AA118" s="217">
        <v>43943</v>
      </c>
      <c r="AB118" t="s">
        <v>307</v>
      </c>
    </row>
    <row r="119" spans="1:39" s="69" customFormat="1" x14ac:dyDescent="0.25">
      <c r="A119" s="62"/>
      <c r="B119" s="169"/>
      <c r="N119" s="165"/>
      <c r="T119"/>
      <c r="U119"/>
      <c r="V119"/>
      <c r="W119"/>
      <c r="AA119" s="270">
        <v>43943</v>
      </c>
      <c r="AB119" s="69" t="s">
        <v>306</v>
      </c>
    </row>
    <row r="120" spans="1:39" x14ac:dyDescent="0.25">
      <c r="A120" s="4" t="s">
        <v>114</v>
      </c>
      <c r="B120" s="155">
        <v>0.12</v>
      </c>
      <c r="C120" t="s">
        <v>113</v>
      </c>
      <c r="D120" s="69"/>
      <c r="E120" s="69"/>
      <c r="F120" s="69" t="s">
        <v>317</v>
      </c>
      <c r="G120" s="69"/>
      <c r="H120" s="69"/>
      <c r="I120" s="69"/>
      <c r="J120" s="69"/>
      <c r="K120" s="69"/>
      <c r="L120" s="69"/>
      <c r="M120" s="69"/>
      <c r="N120" s="69"/>
      <c r="O120" s="165"/>
      <c r="P120" s="69"/>
      <c r="Q120" s="165"/>
      <c r="T120" s="198"/>
      <c r="U120" s="16"/>
      <c r="AA120" s="270">
        <v>43943</v>
      </c>
      <c r="AB120" t="s">
        <v>304</v>
      </c>
    </row>
    <row r="121" spans="1:39" x14ac:dyDescent="0.25">
      <c r="A121" s="37" t="s">
        <v>116</v>
      </c>
      <c r="B121" s="114">
        <v>7.0000000000000007E-2</v>
      </c>
      <c r="C121" s="248"/>
      <c r="D121" s="69"/>
      <c r="E121" s="69"/>
      <c r="F121" s="69"/>
      <c r="G121" s="69"/>
      <c r="H121" s="69"/>
      <c r="I121" s="69"/>
      <c r="J121" s="69"/>
      <c r="K121" s="69"/>
      <c r="L121" s="69"/>
      <c r="M121" s="69"/>
      <c r="N121" s="69"/>
      <c r="O121" s="69"/>
      <c r="P121" s="165"/>
      <c r="Q121" s="165"/>
      <c r="R121" s="69"/>
      <c r="S121" s="69"/>
      <c r="T121" s="16"/>
      <c r="U121" s="16"/>
      <c r="AB121" s="270">
        <v>43944</v>
      </c>
      <c r="AC121" t="s">
        <v>308</v>
      </c>
    </row>
    <row r="122" spans="1:39" x14ac:dyDescent="0.25">
      <c r="A122" s="4" t="s">
        <v>182</v>
      </c>
      <c r="B122" s="249">
        <v>2.4</v>
      </c>
      <c r="C122" s="64">
        <f>(B118/1000)*B122</f>
        <v>793357.2</v>
      </c>
      <c r="D122" s="69"/>
      <c r="E122" s="69"/>
      <c r="F122" s="69"/>
      <c r="G122" s="69"/>
      <c r="H122" s="69"/>
      <c r="I122" s="69"/>
      <c r="J122" s="69"/>
      <c r="K122" s="69"/>
      <c r="L122" s="69"/>
      <c r="M122" s="69"/>
      <c r="N122" s="69"/>
      <c r="O122" s="69"/>
      <c r="P122" s="69"/>
      <c r="Q122" s="69"/>
      <c r="R122" s="69"/>
      <c r="S122" s="69"/>
      <c r="T122" s="16"/>
      <c r="U122" s="16"/>
      <c r="W122" s="217"/>
      <c r="AB122" s="270">
        <v>43944</v>
      </c>
      <c r="AC122" t="s">
        <v>309</v>
      </c>
    </row>
    <row r="123" spans="1:39" x14ac:dyDescent="0.25">
      <c r="A123" s="37" t="s">
        <v>183</v>
      </c>
      <c r="B123" s="250">
        <v>34.700000000000003</v>
      </c>
      <c r="C123" s="61">
        <f>(B118/100000)*B123</f>
        <v>114706.22850000001</v>
      </c>
      <c r="D123" s="69"/>
      <c r="E123" s="69"/>
      <c r="F123" s="69"/>
      <c r="G123" s="69"/>
      <c r="H123" s="69"/>
      <c r="I123" s="69"/>
      <c r="J123" s="69"/>
      <c r="K123" s="69"/>
      <c r="L123" s="69"/>
      <c r="M123" s="69"/>
      <c r="N123" s="69"/>
      <c r="O123" s="69"/>
      <c r="P123" s="69"/>
      <c r="Q123" s="69"/>
      <c r="R123" s="150"/>
      <c r="S123" s="69"/>
      <c r="AB123" s="217">
        <v>43944</v>
      </c>
      <c r="AC123" t="s">
        <v>319</v>
      </c>
    </row>
    <row r="124" spans="1:39" x14ac:dyDescent="0.25">
      <c r="A124" s="4" t="s">
        <v>74</v>
      </c>
      <c r="B124" s="112">
        <v>0.81</v>
      </c>
      <c r="C124" s="2"/>
      <c r="D124" s="69"/>
      <c r="E124" s="69"/>
      <c r="F124" s="69"/>
      <c r="G124" s="69"/>
      <c r="H124" s="69"/>
      <c r="I124" s="69"/>
      <c r="J124" s="69"/>
      <c r="K124" s="69"/>
      <c r="L124" s="69"/>
      <c r="M124" s="69"/>
      <c r="N124" s="69"/>
      <c r="O124" s="69"/>
      <c r="P124" s="69"/>
      <c r="Q124" s="69"/>
      <c r="Y124" s="255"/>
      <c r="AB124" s="270">
        <v>43945</v>
      </c>
      <c r="AC124" t="s">
        <v>318</v>
      </c>
    </row>
    <row r="125" spans="1:39" x14ac:dyDescent="0.25">
      <c r="A125" s="41" t="s">
        <v>75</v>
      </c>
      <c r="B125" s="113">
        <v>0.14000000000000001</v>
      </c>
      <c r="C125" s="2"/>
      <c r="D125" s="69"/>
      <c r="E125" s="69"/>
      <c r="F125" s="69"/>
      <c r="G125" s="69"/>
      <c r="H125" s="69"/>
      <c r="I125" s="69"/>
      <c r="J125" s="69"/>
      <c r="K125" s="69"/>
      <c r="L125" s="69"/>
      <c r="M125" s="69"/>
      <c r="N125" s="69"/>
      <c r="O125" s="69"/>
      <c r="P125" s="69"/>
      <c r="Q125" s="47"/>
      <c r="R125" s="69"/>
      <c r="S125" s="165"/>
      <c r="Y125" s="217"/>
      <c r="AG125" s="255"/>
    </row>
    <row r="126" spans="1:39" x14ac:dyDescent="0.25">
      <c r="A126" s="37" t="s">
        <v>109</v>
      </c>
      <c r="B126" s="114">
        <v>0.05</v>
      </c>
      <c r="C126" s="2"/>
      <c r="D126" s="212" t="s">
        <v>170</v>
      </c>
      <c r="P126" s="16"/>
      <c r="Q126" s="16"/>
      <c r="R126" s="259"/>
      <c r="S126" s="16"/>
      <c r="AA126" s="2"/>
      <c r="AD126" s="217"/>
      <c r="AH126" s="175"/>
      <c r="AI126" s="175"/>
      <c r="AJ126" s="175"/>
      <c r="AK126" s="175"/>
      <c r="AL126" s="175"/>
      <c r="AM126" s="175"/>
    </row>
    <row r="127" spans="1:39" x14ac:dyDescent="0.25">
      <c r="A127" s="37" t="s">
        <v>115</v>
      </c>
      <c r="B127" s="65">
        <v>5.6000000000000001E-2</v>
      </c>
      <c r="C127" s="2"/>
      <c r="D127" s="179" t="s">
        <v>162</v>
      </c>
      <c r="Q127" s="16"/>
      <c r="R127" s="16"/>
      <c r="S127" s="16"/>
      <c r="AG127" s="176"/>
    </row>
    <row r="128" spans="1:39" x14ac:dyDescent="0.25">
      <c r="A128" s="153" t="s">
        <v>315</v>
      </c>
      <c r="B128" s="154">
        <v>43851</v>
      </c>
      <c r="C128" s="2"/>
      <c r="D128" s="256">
        <f>(AH131-L131)/(LOG(AH132/L132)/LOG(2))</f>
        <v>11.052631578947368</v>
      </c>
      <c r="E128" s="175"/>
      <c r="O128" s="16"/>
      <c r="P128" s="16"/>
      <c r="Q128" s="16"/>
      <c r="R128" s="16"/>
      <c r="S128" s="16"/>
    </row>
    <row r="129" spans="1:44" x14ac:dyDescent="0.25">
      <c r="A129" s="16"/>
      <c r="B129" s="50" t="s">
        <v>54</v>
      </c>
      <c r="C129" s="10"/>
      <c r="D129" s="16"/>
      <c r="E129" s="16"/>
      <c r="F129" s="16"/>
      <c r="G129" s="16"/>
      <c r="H129" s="16"/>
      <c r="I129" s="16"/>
      <c r="J129" s="16"/>
      <c r="K129" s="16"/>
      <c r="L129" s="16" t="s">
        <v>314</v>
      </c>
      <c r="M129" s="16"/>
      <c r="N129" s="16"/>
      <c r="O129" s="16"/>
      <c r="P129" s="16"/>
      <c r="Q129" s="16"/>
      <c r="R129" s="16"/>
      <c r="S129" s="16"/>
      <c r="T129" s="16"/>
      <c r="U129" s="16"/>
      <c r="V129" s="16"/>
      <c r="W129" s="16"/>
      <c r="X129" s="16"/>
      <c r="Y129" s="16"/>
      <c r="Z129" s="16"/>
      <c r="AA129" s="16"/>
      <c r="AB129" s="16" t="s">
        <v>320</v>
      </c>
      <c r="AC129" s="16"/>
      <c r="AD129" s="16"/>
      <c r="AE129" s="16"/>
      <c r="AF129" s="16"/>
      <c r="AO129" s="152"/>
    </row>
    <row r="130" spans="1:44" x14ac:dyDescent="0.25">
      <c r="A130" s="53" t="s">
        <v>41</v>
      </c>
      <c r="B130" s="192">
        <v>43882</v>
      </c>
      <c r="C130" s="192">
        <v>43890</v>
      </c>
      <c r="D130" s="192">
        <v>43893</v>
      </c>
      <c r="E130" s="192">
        <v>43895</v>
      </c>
      <c r="F130" s="192">
        <v>43904</v>
      </c>
      <c r="G130" s="192">
        <v>43912</v>
      </c>
      <c r="H130" s="192">
        <v>43918</v>
      </c>
      <c r="I130" s="192">
        <v>43923</v>
      </c>
      <c r="J130" s="192">
        <v>43932</v>
      </c>
      <c r="K130" s="192"/>
      <c r="M130" s="133" t="s">
        <v>316</v>
      </c>
      <c r="N130" s="16"/>
      <c r="O130" s="16"/>
      <c r="P130" s="16"/>
      <c r="Q130" s="16"/>
      <c r="R130" s="16"/>
      <c r="S130" s="16"/>
      <c r="T130" s="16"/>
      <c r="U130" s="182"/>
      <c r="V130" s="16"/>
      <c r="W130" s="16"/>
      <c r="X130" s="16"/>
      <c r="Y130" s="16" t="s">
        <v>277</v>
      </c>
      <c r="AA130" t="s">
        <v>305</v>
      </c>
      <c r="AE130" s="16"/>
      <c r="AF130" s="16"/>
      <c r="AI130" s="212" t="s">
        <v>171</v>
      </c>
      <c r="AO130" s="252" t="s">
        <v>192</v>
      </c>
    </row>
    <row r="131" spans="1:44" x14ac:dyDescent="0.25">
      <c r="A131" s="4" t="s">
        <v>11</v>
      </c>
      <c r="B131" s="84">
        <v>8</v>
      </c>
      <c r="C131" s="157">
        <v>3</v>
      </c>
      <c r="D131" s="258">
        <v>2</v>
      </c>
      <c r="E131" s="157">
        <v>3</v>
      </c>
      <c r="F131" s="258">
        <v>2</v>
      </c>
      <c r="G131" s="157">
        <v>3</v>
      </c>
      <c r="H131" s="156">
        <v>5</v>
      </c>
      <c r="I131" s="257">
        <v>9</v>
      </c>
      <c r="J131">
        <v>32</v>
      </c>
      <c r="K131" s="220"/>
      <c r="L131" s="288">
        <v>43882</v>
      </c>
      <c r="M131" s="289">
        <f t="shared" ref="M131:AN131" si="0">L131+HLOOKUP(L131+1, $B$130:$K$131,2,TRUE)</f>
        <v>43890</v>
      </c>
      <c r="N131" s="290">
        <f t="shared" si="0"/>
        <v>43893</v>
      </c>
      <c r="O131" s="289">
        <f t="shared" si="0"/>
        <v>43895</v>
      </c>
      <c r="P131" s="289">
        <f t="shared" si="0"/>
        <v>43898</v>
      </c>
      <c r="Q131" s="289">
        <f t="shared" si="0"/>
        <v>43901</v>
      </c>
      <c r="R131" s="290">
        <f t="shared" si="0"/>
        <v>43904</v>
      </c>
      <c r="S131" s="290">
        <f t="shared" si="0"/>
        <v>43906</v>
      </c>
      <c r="T131" s="290">
        <f t="shared" si="0"/>
        <v>43908</v>
      </c>
      <c r="U131" s="290">
        <f t="shared" si="0"/>
        <v>43910</v>
      </c>
      <c r="V131" s="289">
        <f t="shared" si="0"/>
        <v>43912</v>
      </c>
      <c r="W131" s="291">
        <f t="shared" si="0"/>
        <v>43915</v>
      </c>
      <c r="X131" s="291">
        <f t="shared" si="0"/>
        <v>43918</v>
      </c>
      <c r="Y131" s="292">
        <f t="shared" si="0"/>
        <v>43923</v>
      </c>
      <c r="Z131" s="293">
        <f t="shared" si="0"/>
        <v>43932</v>
      </c>
      <c r="AA131" s="294">
        <f>$Z$131+(($AD$131-$Z$131)*0.25)</f>
        <v>43940</v>
      </c>
      <c r="AB131" s="295">
        <f>$Z$131+(($AD$131-$Z$131)*0.4)</f>
        <v>43944.800000000003</v>
      </c>
      <c r="AC131" s="276">
        <f>$Z$131+(($AD$131-$Z$131)*0.75)</f>
        <v>43956</v>
      </c>
      <c r="AD131" s="228">
        <f>Z131+HLOOKUP(Z131+1, $B$130:$K$131,2,TRUE)</f>
        <v>43964</v>
      </c>
      <c r="AE131" s="228">
        <f t="shared" si="0"/>
        <v>43996</v>
      </c>
      <c r="AF131" s="228">
        <f t="shared" si="0"/>
        <v>44028</v>
      </c>
      <c r="AG131" s="228">
        <f t="shared" si="0"/>
        <v>44060</v>
      </c>
      <c r="AH131" s="237">
        <f t="shared" si="0"/>
        <v>44092</v>
      </c>
      <c r="AI131" s="228">
        <f t="shared" si="0"/>
        <v>44124</v>
      </c>
      <c r="AJ131" s="228">
        <f t="shared" si="0"/>
        <v>44156</v>
      </c>
      <c r="AK131" s="228">
        <f t="shared" si="0"/>
        <v>44188</v>
      </c>
      <c r="AL131" s="228">
        <f t="shared" si="0"/>
        <v>44220</v>
      </c>
      <c r="AM131" s="237">
        <f t="shared" si="0"/>
        <v>44252</v>
      </c>
      <c r="AN131" s="237">
        <f t="shared" si="0"/>
        <v>44284</v>
      </c>
      <c r="AO131" s="251">
        <f>AN131+(7*8)</f>
        <v>44340</v>
      </c>
      <c r="AP131" s="70"/>
      <c r="AQ131" s="70"/>
      <c r="AR131" s="69"/>
    </row>
    <row r="132" spans="1:44" x14ac:dyDescent="0.25">
      <c r="A132" s="41" t="s">
        <v>107</v>
      </c>
      <c r="B132" s="16"/>
      <c r="C132" s="16"/>
      <c r="D132" s="16"/>
      <c r="E132" s="16"/>
      <c r="F132" s="16"/>
      <c r="G132" s="16"/>
      <c r="H132" s="16"/>
      <c r="I132" s="16"/>
      <c r="J132" s="16"/>
      <c r="K132" s="16"/>
      <c r="L132" s="273">
        <v>31.25</v>
      </c>
      <c r="M132" s="274">
        <f>L132*2</f>
        <v>62.5</v>
      </c>
      <c r="N132" s="274">
        <f t="shared" ref="N132:AE132" si="1">M132*2</f>
        <v>125</v>
      </c>
      <c r="O132" s="274">
        <f t="shared" si="1"/>
        <v>250</v>
      </c>
      <c r="P132" s="274">
        <f t="shared" si="1"/>
        <v>500</v>
      </c>
      <c r="Q132" s="274">
        <f t="shared" si="1"/>
        <v>1000</v>
      </c>
      <c r="R132" s="274">
        <f t="shared" si="1"/>
        <v>2000</v>
      </c>
      <c r="S132" s="274">
        <f t="shared" si="1"/>
        <v>4000</v>
      </c>
      <c r="T132" s="274">
        <f t="shared" si="1"/>
        <v>8000</v>
      </c>
      <c r="U132" s="274">
        <f>T132*2</f>
        <v>16000</v>
      </c>
      <c r="V132" s="274">
        <f>U132*2</f>
        <v>32000</v>
      </c>
      <c r="W132" s="274">
        <f>V132*2</f>
        <v>64000</v>
      </c>
      <c r="X132" s="274">
        <f>W132*2</f>
        <v>128000</v>
      </c>
      <c r="Y132" s="274">
        <f t="shared" si="1"/>
        <v>256000</v>
      </c>
      <c r="Z132" s="274">
        <f t="shared" si="1"/>
        <v>512000</v>
      </c>
      <c r="AA132" s="274">
        <f>$Z$132+(($AD$132-$Z$132)*0.5)</f>
        <v>768000</v>
      </c>
      <c r="AB132" s="274">
        <f>$Z$132+(($AD$132-$Z$132)*0.75)</f>
        <v>896000</v>
      </c>
      <c r="AC132" s="274">
        <f>$Z$132+(($AD$132-$Z$132)*0.88)</f>
        <v>962560</v>
      </c>
      <c r="AD132" s="274">
        <f>Z132*2</f>
        <v>1024000</v>
      </c>
      <c r="AE132" s="274">
        <f t="shared" si="1"/>
        <v>2048000</v>
      </c>
      <c r="AF132" s="274">
        <f>AE132*2</f>
        <v>4096000</v>
      </c>
      <c r="AG132" s="274">
        <f>AF132*2</f>
        <v>8192000</v>
      </c>
      <c r="AH132" s="275">
        <f>AG132*2</f>
        <v>16384000</v>
      </c>
      <c r="AI132" s="238">
        <f t="shared" ref="AI132:AL132" si="2">AH132*2</f>
        <v>32768000</v>
      </c>
      <c r="AJ132" s="208">
        <f t="shared" si="2"/>
        <v>65536000</v>
      </c>
      <c r="AK132" s="208">
        <f t="shared" si="2"/>
        <v>131072000</v>
      </c>
      <c r="AL132" s="208">
        <f t="shared" si="2"/>
        <v>262144000</v>
      </c>
      <c r="AM132" s="209">
        <f>B118</f>
        <v>330565500</v>
      </c>
      <c r="AN132" s="199">
        <f>B118</f>
        <v>330565500</v>
      </c>
      <c r="AO132" s="242">
        <f>B118*AO133</f>
        <v>23139585.000000004</v>
      </c>
      <c r="AP132" s="45"/>
      <c r="AQ132" s="45"/>
      <c r="AR132" s="69"/>
    </row>
    <row r="133" spans="1:44" x14ac:dyDescent="0.25">
      <c r="A133" s="41" t="s">
        <v>108</v>
      </c>
      <c r="B133" s="16"/>
      <c r="C133" s="16"/>
      <c r="D133" s="16"/>
      <c r="E133" s="16"/>
      <c r="F133" s="16"/>
      <c r="G133" s="16"/>
      <c r="H133" s="16"/>
      <c r="I133" s="16"/>
      <c r="J133" s="16"/>
      <c r="K133" s="16"/>
      <c r="L133" s="218">
        <f t="shared" ref="L133:AE133" si="3">L132/$B$118</f>
        <v>9.453497113280122E-8</v>
      </c>
      <c r="M133" s="219">
        <f t="shared" si="3"/>
        <v>1.8906994226560244E-7</v>
      </c>
      <c r="N133" s="219">
        <f t="shared" si="3"/>
        <v>3.7813988453120488E-7</v>
      </c>
      <c r="O133" s="196">
        <f t="shared" si="3"/>
        <v>7.5627976906240976E-7</v>
      </c>
      <c r="P133" s="196">
        <f t="shared" si="3"/>
        <v>1.5125595381248195E-6</v>
      </c>
      <c r="Q133" s="196">
        <f t="shared" si="3"/>
        <v>3.025119076249639E-6</v>
      </c>
      <c r="R133" s="196">
        <f t="shared" si="3"/>
        <v>6.0502381524992781E-6</v>
      </c>
      <c r="S133" s="66">
        <f t="shared" si="3"/>
        <v>1.2100476304998556E-5</v>
      </c>
      <c r="T133" s="36">
        <f t="shared" si="3"/>
        <v>2.4200952609997112E-5</v>
      </c>
      <c r="U133" s="36">
        <f>U132/$B$118</f>
        <v>4.8401905219994225E-5</v>
      </c>
      <c r="V133" s="36">
        <f>V132/$B$118</f>
        <v>9.6803810439988449E-5</v>
      </c>
      <c r="W133" s="36">
        <f>W132/$B$118</f>
        <v>1.936076208799769E-4</v>
      </c>
      <c r="X133" s="36">
        <f>X132/$B$118</f>
        <v>3.872152417599538E-4</v>
      </c>
      <c r="Y133" s="14">
        <f t="shared" si="3"/>
        <v>7.7443048351990759E-4</v>
      </c>
      <c r="Z133" s="14">
        <f t="shared" si="3"/>
        <v>1.5488609670398152E-3</v>
      </c>
      <c r="AA133" s="14">
        <f t="shared" ref="AA133:AC133" si="4">AA132/$B$118</f>
        <v>2.3232914505597227E-3</v>
      </c>
      <c r="AB133" s="14">
        <f t="shared" si="4"/>
        <v>2.7105066923196765E-3</v>
      </c>
      <c r="AC133" s="14">
        <f t="shared" si="4"/>
        <v>2.9118586180348523E-3</v>
      </c>
      <c r="AD133" s="14">
        <f t="shared" si="3"/>
        <v>3.0977219340796304E-3</v>
      </c>
      <c r="AE133" s="14">
        <f t="shared" si="3"/>
        <v>6.1954438681592608E-3</v>
      </c>
      <c r="AF133" s="15">
        <f>AF132/$B$118</f>
        <v>1.2390887736318522E-2</v>
      </c>
      <c r="AG133" s="15">
        <f>AG132/$B$118</f>
        <v>2.4781775472637043E-2</v>
      </c>
      <c r="AH133" s="224">
        <f>AH132/$B$118</f>
        <v>4.9563550945274086E-2</v>
      </c>
      <c r="AI133" s="260">
        <f t="shared" ref="AI133:AM133" si="5">AI132/$B$118</f>
        <v>9.9127101890548172E-2</v>
      </c>
      <c r="AJ133" s="223">
        <f t="shared" si="5"/>
        <v>0.19825420378109634</v>
      </c>
      <c r="AK133" s="223">
        <f t="shared" si="5"/>
        <v>0.39650840756219269</v>
      </c>
      <c r="AL133" s="223">
        <f t="shared" si="5"/>
        <v>0.79301681512438538</v>
      </c>
      <c r="AM133" s="178">
        <f t="shared" si="5"/>
        <v>1</v>
      </c>
      <c r="AN133" s="177">
        <f>AN132/$B$118</f>
        <v>1</v>
      </c>
      <c r="AO133" s="243">
        <f>B121</f>
        <v>7.0000000000000007E-2</v>
      </c>
      <c r="AP133" s="25"/>
      <c r="AQ133" s="25"/>
      <c r="AR133" s="69"/>
    </row>
    <row r="134" spans="1:44" x14ac:dyDescent="0.25">
      <c r="A134" s="41" t="s">
        <v>158</v>
      </c>
      <c r="B134" s="16"/>
      <c r="C134" s="16"/>
      <c r="D134" s="16"/>
      <c r="E134" s="16"/>
      <c r="F134" s="16"/>
      <c r="G134" s="16"/>
      <c r="H134" s="16"/>
      <c r="I134" s="16"/>
      <c r="J134" s="16"/>
      <c r="K134" s="16"/>
      <c r="L134" s="264">
        <f t="shared" ref="L134:U134" si="6">MAX(L132-(L140-L141)-(L142-L143)-(L144-L145),0)</f>
        <v>25.558430925469978</v>
      </c>
      <c r="M134" s="265">
        <f t="shared" si="6"/>
        <v>48.253729583441825</v>
      </c>
      <c r="N134" s="265">
        <f t="shared" si="6"/>
        <v>104.90319014596037</v>
      </c>
      <c r="O134" s="265">
        <f t="shared" si="6"/>
        <v>224.72190063694103</v>
      </c>
      <c r="P134" s="265">
        <f>MAX(P132-(P140-P141)-(P142-P143)-(P144-P145),0)</f>
        <v>468.16151942648673</v>
      </c>
      <c r="Q134" s="265">
        <f t="shared" si="6"/>
        <v>955.08635794363818</v>
      </c>
      <c r="R134" s="265">
        <f>MAX(R132-(R140-R141)-(R142-R143)-(R144-R145),0)</f>
        <v>1950.8214285714287</v>
      </c>
      <c r="S134" s="265">
        <f t="shared" si="6"/>
        <v>3941.9387841598559</v>
      </c>
      <c r="T134" s="265">
        <f t="shared" si="6"/>
        <v>7899.3926009765419</v>
      </c>
      <c r="U134" s="265">
        <f t="shared" si="6"/>
        <v>15815.828395301851</v>
      </c>
      <c r="V134" s="265">
        <f>MAX(V132-(V140-V141)-(V142-V143)-(V144-V145),0)</f>
        <v>31608.741071428572</v>
      </c>
      <c r="W134" s="265">
        <f t="shared" ref="W134:AH134" si="7">MAX(W132-(W140-W141)-(W142-W143)-(W144-W145),0)</f>
        <v>63059.098214285717</v>
      </c>
      <c r="X134" s="265">
        <f t="shared" si="7"/>
        <v>125994.94404701918</v>
      </c>
      <c r="Y134" s="265">
        <f t="shared" si="7"/>
        <v>247663.86625378428</v>
      </c>
      <c r="Z134" s="265">
        <f t="shared" si="7"/>
        <v>416580.64285714296</v>
      </c>
      <c r="AA134" s="265">
        <f t="shared" ref="AA134:AC134" si="8">MAX(AA132-(AA140-AA141)-(AA142-AA143)-(AA144-AA145),0)</f>
        <v>405628.70278440282</v>
      </c>
      <c r="AB134" s="265">
        <f t="shared" si="8"/>
        <v>110573.56200209178</v>
      </c>
      <c r="AC134" s="265">
        <f t="shared" si="8"/>
        <v>128037.98560292265</v>
      </c>
      <c r="AD134" s="265">
        <f t="shared" si="7"/>
        <v>64429.220521035044</v>
      </c>
      <c r="AE134" s="265">
        <f t="shared" si="7"/>
        <v>0</v>
      </c>
      <c r="AF134" s="265">
        <f t="shared" si="7"/>
        <v>0</v>
      </c>
      <c r="AG134" s="265">
        <f t="shared" si="7"/>
        <v>0</v>
      </c>
      <c r="AH134" s="268">
        <f t="shared" si="7"/>
        <v>0</v>
      </c>
      <c r="AI134" s="240">
        <f t="shared" ref="AI134:AM134" si="9">MAX(AI132-(AI140-AI141)-(AI142-AI143)-(AI144-AI145),0)</f>
        <v>0</v>
      </c>
      <c r="AJ134" s="199">
        <f t="shared" si="9"/>
        <v>0</v>
      </c>
      <c r="AK134" s="199">
        <f t="shared" si="9"/>
        <v>1934475.5200371109</v>
      </c>
      <c r="AL134" s="199">
        <f t="shared" si="9"/>
        <v>7384960.7201850545</v>
      </c>
      <c r="AM134" s="200">
        <f t="shared" si="9"/>
        <v>0</v>
      </c>
      <c r="AN134" s="199">
        <f>MAX(AN132-(AN140-AN141)-(AN142-AN143)-(AN144-AN145),0)</f>
        <v>0</v>
      </c>
      <c r="AO134" s="244"/>
      <c r="AP134" s="45"/>
      <c r="AQ134" s="45"/>
      <c r="AR134" s="69"/>
    </row>
    <row r="135" spans="1:44" x14ac:dyDescent="0.25">
      <c r="A135" s="41" t="s">
        <v>172</v>
      </c>
      <c r="B135" s="16"/>
      <c r="C135" s="16"/>
      <c r="D135" s="16"/>
      <c r="E135" s="16"/>
      <c r="F135" s="16"/>
      <c r="G135" s="16"/>
      <c r="H135" s="16"/>
      <c r="I135" s="16"/>
      <c r="J135" s="16"/>
      <c r="K135" s="16"/>
      <c r="L135" s="86">
        <f>MAX(L132-L134-L147,0)</f>
        <v>5.6915690745300225</v>
      </c>
      <c r="M135" s="87">
        <f>MAX(M132-M134-M147,0)</f>
        <v>14.246270416558175</v>
      </c>
      <c r="N135" s="87">
        <f t="shared" ref="N135:O135" si="10">MAX(N132-N134-N147,0)</f>
        <v>20.096809854039634</v>
      </c>
      <c r="O135" s="87">
        <f t="shared" si="10"/>
        <v>25.278099363058971</v>
      </c>
      <c r="P135" s="121">
        <f>MAX(P132-P134-P147,0)</f>
        <v>31.838480573513266</v>
      </c>
      <c r="Q135" s="121">
        <f t="shared" ref="Q135:AH135" si="11">MAX(Q132-Q134-Q147,0)</f>
        <v>44.913642056361823</v>
      </c>
      <c r="R135" s="121">
        <f t="shared" si="11"/>
        <v>49.178571428571331</v>
      </c>
      <c r="S135" s="121">
        <f t="shared" si="11"/>
        <v>58.061215840144087</v>
      </c>
      <c r="T135" s="121">
        <f t="shared" si="11"/>
        <v>100.60739902345813</v>
      </c>
      <c r="U135" s="121">
        <f t="shared" si="11"/>
        <v>184.17160469814917</v>
      </c>
      <c r="V135" s="121">
        <f t="shared" si="11"/>
        <v>391.25892857142753</v>
      </c>
      <c r="W135" s="121">
        <f t="shared" si="11"/>
        <v>940.9017857142826</v>
      </c>
      <c r="X135" s="121">
        <f t="shared" si="11"/>
        <v>2003.093285642293</v>
      </c>
      <c r="Y135" s="121">
        <f t="shared" si="11"/>
        <v>8332.6512558130198</v>
      </c>
      <c r="Z135" s="121">
        <f t="shared" si="11"/>
        <v>95404.685150822916</v>
      </c>
      <c r="AA135" s="121">
        <f t="shared" ref="AA135:AC135" si="12">MAX(AA132-AA134-AA147,0)</f>
        <v>362202.35382132116</v>
      </c>
      <c r="AB135" s="121">
        <f t="shared" si="12"/>
        <v>784742.3731190759</v>
      </c>
      <c r="AC135" s="121">
        <f t="shared" si="12"/>
        <v>822243.62270736252</v>
      </c>
      <c r="AD135" s="121">
        <f t="shared" si="11"/>
        <v>914454.38133634906</v>
      </c>
      <c r="AE135" s="121">
        <f t="shared" si="11"/>
        <v>1951981.5799526465</v>
      </c>
      <c r="AF135" s="121">
        <f t="shared" si="11"/>
        <v>2026426.6525013524</v>
      </c>
      <c r="AG135" s="121">
        <f t="shared" si="11"/>
        <v>6421370.7905882355</v>
      </c>
      <c r="AH135" s="122">
        <f t="shared" si="11"/>
        <v>14185974.065544197</v>
      </c>
      <c r="AI135" s="261">
        <f>MAX(AI132-AI134-AI147,0)</f>
        <v>29529008.253820509</v>
      </c>
      <c r="AJ135" s="213">
        <f>MAX(AJ132-AJ134-AJ147,0)</f>
        <v>60297409.619965948</v>
      </c>
      <c r="AK135" s="213">
        <f t="shared" ref="AK135:AN135" si="13">MAX(AK132-AK134-AK147,0)</f>
        <v>120175435.98063248</v>
      </c>
      <c r="AL135" s="213">
        <f t="shared" si="13"/>
        <v>238857149.62343252</v>
      </c>
      <c r="AM135" s="214">
        <f t="shared" si="13"/>
        <v>301634591.58142829</v>
      </c>
      <c r="AN135" s="213">
        <f t="shared" si="13"/>
        <v>276978331.64660621</v>
      </c>
      <c r="AO135" s="245"/>
      <c r="AP135" s="25"/>
      <c r="AQ135" s="25"/>
      <c r="AR135" s="69"/>
    </row>
    <row r="136" spans="1:44" x14ac:dyDescent="0.25">
      <c r="A136" s="4" t="s">
        <v>165</v>
      </c>
      <c r="B136" s="9"/>
      <c r="C136" s="9"/>
      <c r="D136" s="9"/>
      <c r="E136" s="9"/>
      <c r="F136" s="9"/>
      <c r="G136" s="9"/>
      <c r="H136" s="9"/>
      <c r="I136" s="9"/>
      <c r="J136" s="9"/>
      <c r="K136" s="5"/>
      <c r="L136" s="197">
        <f t="shared" ref="L136:AJ136" si="14">L132/$B$120</f>
        <v>260.41666666666669</v>
      </c>
      <c r="M136" s="198">
        <f t="shared" si="14"/>
        <v>520.83333333333337</v>
      </c>
      <c r="N136" s="198">
        <f t="shared" si="14"/>
        <v>1041.6666666666667</v>
      </c>
      <c r="O136" s="198">
        <f t="shared" si="14"/>
        <v>2083.3333333333335</v>
      </c>
      <c r="P136" s="198">
        <f t="shared" si="14"/>
        <v>4166.666666666667</v>
      </c>
      <c r="Q136" s="198">
        <f t="shared" si="14"/>
        <v>8333.3333333333339</v>
      </c>
      <c r="R136" s="198">
        <f t="shared" si="14"/>
        <v>16666.666666666668</v>
      </c>
      <c r="S136" s="198">
        <f t="shared" si="14"/>
        <v>33333.333333333336</v>
      </c>
      <c r="T136" s="198">
        <f t="shared" si="14"/>
        <v>66666.666666666672</v>
      </c>
      <c r="U136" s="198">
        <f t="shared" si="14"/>
        <v>133333.33333333334</v>
      </c>
      <c r="V136" s="198">
        <f t="shared" si="14"/>
        <v>266666.66666666669</v>
      </c>
      <c r="W136" s="198">
        <f t="shared" si="14"/>
        <v>533333.33333333337</v>
      </c>
      <c r="X136" s="198">
        <f t="shared" si="14"/>
        <v>1066666.6666666667</v>
      </c>
      <c r="Y136" s="198">
        <f t="shared" si="14"/>
        <v>2133333.3333333335</v>
      </c>
      <c r="Z136" s="198">
        <f t="shared" si="14"/>
        <v>4266666.666666667</v>
      </c>
      <c r="AA136" s="198">
        <f t="shared" ref="AA136:AC136" si="15">AA132/$B$120</f>
        <v>6400000</v>
      </c>
      <c r="AB136" s="198">
        <f t="shared" si="15"/>
        <v>7466666.666666667</v>
      </c>
      <c r="AC136" s="198">
        <f t="shared" si="15"/>
        <v>8021333.333333334</v>
      </c>
      <c r="AD136" s="198">
        <f t="shared" si="14"/>
        <v>8533333.333333334</v>
      </c>
      <c r="AE136" s="198">
        <f t="shared" si="14"/>
        <v>17066666.666666668</v>
      </c>
      <c r="AF136" s="198">
        <f t="shared" si="14"/>
        <v>34133333.333333336</v>
      </c>
      <c r="AG136" s="198">
        <f t="shared" si="14"/>
        <v>68266666.666666672</v>
      </c>
      <c r="AH136" s="198">
        <f t="shared" si="14"/>
        <v>136533333.33333334</v>
      </c>
      <c r="AI136" s="238">
        <f t="shared" si="14"/>
        <v>273066666.66666669</v>
      </c>
      <c r="AJ136" s="208">
        <f t="shared" si="14"/>
        <v>546133333.33333337</v>
      </c>
      <c r="AK136" s="208">
        <f>$B$118</f>
        <v>330565500</v>
      </c>
      <c r="AL136" s="208">
        <f t="shared" ref="AL136:AM136" si="16">$B$118</f>
        <v>330565500</v>
      </c>
      <c r="AM136" s="209">
        <f t="shared" si="16"/>
        <v>330565500</v>
      </c>
      <c r="AN136" s="199">
        <f>AN132</f>
        <v>330565500</v>
      </c>
      <c r="AO136" s="244">
        <f>($B$118*$B$121)/$B$120</f>
        <v>192829875.00000003</v>
      </c>
      <c r="AP136" s="25"/>
      <c r="AQ136" s="25"/>
      <c r="AR136" s="69"/>
    </row>
    <row r="137" spans="1:44" x14ac:dyDescent="0.25">
      <c r="A137" s="41" t="s">
        <v>112</v>
      </c>
      <c r="B137" s="16"/>
      <c r="C137" s="16"/>
      <c r="D137" s="16"/>
      <c r="E137" s="16"/>
      <c r="F137" s="16"/>
      <c r="G137" s="16"/>
      <c r="H137" s="16"/>
      <c r="I137" s="16"/>
      <c r="J137" s="16"/>
      <c r="K137" s="17"/>
      <c r="L137" s="195">
        <f>L136/$B$118</f>
        <v>7.8779142610667684E-7</v>
      </c>
      <c r="M137" s="196">
        <f t="shared" ref="M137:AG137" si="17">M136/$B$118</f>
        <v>1.5755828522133537E-6</v>
      </c>
      <c r="N137" s="196">
        <f t="shared" si="17"/>
        <v>3.1511657044267074E-6</v>
      </c>
      <c r="O137" s="66">
        <f t="shared" si="17"/>
        <v>6.3023314088534147E-6</v>
      </c>
      <c r="P137" s="66">
        <f t="shared" si="17"/>
        <v>1.2604662817706829E-5</v>
      </c>
      <c r="Q137" s="66">
        <f t="shared" si="17"/>
        <v>2.5209325635413659E-5</v>
      </c>
      <c r="R137" s="66">
        <f t="shared" si="17"/>
        <v>5.0418651270827318E-5</v>
      </c>
      <c r="S137" s="66">
        <f t="shared" si="17"/>
        <v>1.0083730254165464E-4</v>
      </c>
      <c r="T137" s="36">
        <f t="shared" si="17"/>
        <v>2.0167460508330927E-4</v>
      </c>
      <c r="U137" s="36">
        <f t="shared" si="17"/>
        <v>4.0334921016661854E-4</v>
      </c>
      <c r="V137" s="36">
        <f t="shared" si="17"/>
        <v>8.0669842033323708E-4</v>
      </c>
      <c r="W137" s="36">
        <f t="shared" si="17"/>
        <v>1.6133968406664742E-3</v>
      </c>
      <c r="X137" s="14">
        <f t="shared" si="17"/>
        <v>3.2267936813329483E-3</v>
      </c>
      <c r="Y137" s="15">
        <f t="shared" si="17"/>
        <v>6.4535873626658967E-3</v>
      </c>
      <c r="Z137" s="15">
        <f t="shared" si="17"/>
        <v>1.2907174725331793E-2</v>
      </c>
      <c r="AA137" s="15">
        <f t="shared" ref="AA137:AC137" si="18">AA136/$B$118</f>
        <v>1.9360762087997689E-2</v>
      </c>
      <c r="AB137" s="15">
        <f t="shared" si="18"/>
        <v>2.258755576933064E-2</v>
      </c>
      <c r="AC137" s="15">
        <f t="shared" si="18"/>
        <v>2.4265488483623771E-2</v>
      </c>
      <c r="AD137" s="15">
        <f t="shared" si="17"/>
        <v>2.5814349450663587E-2</v>
      </c>
      <c r="AE137" s="15">
        <f t="shared" si="17"/>
        <v>5.1628698901327173E-2</v>
      </c>
      <c r="AF137" s="15">
        <f t="shared" si="17"/>
        <v>0.10325739780265435</v>
      </c>
      <c r="AG137" s="75">
        <f t="shared" si="17"/>
        <v>0.20651479560530869</v>
      </c>
      <c r="AH137" s="75">
        <f>AH136/$B$118</f>
        <v>0.41302959121061739</v>
      </c>
      <c r="AI137" s="239">
        <f t="shared" ref="AI137:AM137" si="19">AI136/$B$118</f>
        <v>0.82605918242123477</v>
      </c>
      <c r="AJ137" s="177">
        <f t="shared" si="19"/>
        <v>1.6521183648424695</v>
      </c>
      <c r="AK137" s="177">
        <f t="shared" si="19"/>
        <v>1</v>
      </c>
      <c r="AL137" s="177">
        <f t="shared" si="19"/>
        <v>1</v>
      </c>
      <c r="AM137" s="178">
        <f t="shared" si="19"/>
        <v>1</v>
      </c>
      <c r="AN137" s="177">
        <v>1</v>
      </c>
      <c r="AO137" s="243">
        <f>AO136/B118</f>
        <v>0.58333333333333337</v>
      </c>
      <c r="AP137" s="25"/>
      <c r="AQ137" s="25"/>
      <c r="AR137" s="69"/>
    </row>
    <row r="138" spans="1:44" x14ac:dyDescent="0.25">
      <c r="A138" s="41" t="s">
        <v>163</v>
      </c>
      <c r="B138" s="16"/>
      <c r="C138" s="16"/>
      <c r="D138" s="16"/>
      <c r="E138" s="16"/>
      <c r="F138" s="16"/>
      <c r="G138" s="16"/>
      <c r="H138" s="16"/>
      <c r="I138" s="16"/>
      <c r="J138" s="16"/>
      <c r="K138" s="17"/>
      <c r="L138" s="197">
        <f>L136-L132</f>
        <v>229.16666666666669</v>
      </c>
      <c r="M138" s="198">
        <f t="shared" ref="M138:AF138" si="20">M136-M132</f>
        <v>458.33333333333337</v>
      </c>
      <c r="N138" s="198">
        <f t="shared" si="20"/>
        <v>916.66666666666674</v>
      </c>
      <c r="O138" s="198">
        <f t="shared" si="20"/>
        <v>1833.3333333333335</v>
      </c>
      <c r="P138" s="198">
        <f>P136-P132</f>
        <v>3666.666666666667</v>
      </c>
      <c r="Q138" s="198">
        <f t="shared" si="20"/>
        <v>7333.3333333333339</v>
      </c>
      <c r="R138" s="198">
        <f t="shared" si="20"/>
        <v>14666.666666666668</v>
      </c>
      <c r="S138" s="198">
        <f t="shared" si="20"/>
        <v>29333.333333333336</v>
      </c>
      <c r="T138" s="198">
        <f t="shared" si="20"/>
        <v>58666.666666666672</v>
      </c>
      <c r="U138" s="198">
        <f t="shared" si="20"/>
        <v>117333.33333333334</v>
      </c>
      <c r="V138" s="198">
        <f t="shared" si="20"/>
        <v>234666.66666666669</v>
      </c>
      <c r="W138" s="198">
        <f t="shared" si="20"/>
        <v>469333.33333333337</v>
      </c>
      <c r="X138" s="198">
        <f t="shared" si="20"/>
        <v>938666.66666666674</v>
      </c>
      <c r="Y138" s="198">
        <f t="shared" si="20"/>
        <v>1877333.3333333335</v>
      </c>
      <c r="Z138" s="198">
        <f t="shared" si="20"/>
        <v>3754666.666666667</v>
      </c>
      <c r="AA138" s="198">
        <f t="shared" ref="AA138:AC138" si="21">AA136-AA132</f>
        <v>5632000</v>
      </c>
      <c r="AB138" s="198">
        <f t="shared" si="21"/>
        <v>6570666.666666667</v>
      </c>
      <c r="AC138" s="198">
        <f t="shared" si="21"/>
        <v>7058773.333333334</v>
      </c>
      <c r="AD138" s="198">
        <f t="shared" si="20"/>
        <v>7509333.333333334</v>
      </c>
      <c r="AE138" s="198">
        <f t="shared" si="20"/>
        <v>15018666.666666668</v>
      </c>
      <c r="AF138" s="198">
        <f t="shared" si="20"/>
        <v>30037333.333333336</v>
      </c>
      <c r="AG138" s="198">
        <f>AG136-AG132</f>
        <v>60074666.666666672</v>
      </c>
      <c r="AH138" s="198">
        <f>AH136-AH132</f>
        <v>120149333.33333334</v>
      </c>
      <c r="AI138" s="240">
        <f>AI136-AI132</f>
        <v>240298666.66666669</v>
      </c>
      <c r="AJ138" s="199">
        <f t="shared" ref="AJ138:AM138" si="22">AJ136</f>
        <v>546133333.33333337</v>
      </c>
      <c r="AK138" s="199">
        <f t="shared" si="22"/>
        <v>330565500</v>
      </c>
      <c r="AL138" s="199">
        <f t="shared" si="22"/>
        <v>330565500</v>
      </c>
      <c r="AM138" s="200">
        <f t="shared" si="22"/>
        <v>330565500</v>
      </c>
      <c r="AN138" s="199">
        <f>AN136</f>
        <v>330565500</v>
      </c>
      <c r="AO138" s="246">
        <f>AO136-AO132</f>
        <v>169690290.00000003</v>
      </c>
      <c r="AP138" s="25"/>
      <c r="AQ138" s="25"/>
      <c r="AR138" s="69"/>
    </row>
    <row r="139" spans="1:44" x14ac:dyDescent="0.25">
      <c r="A139" s="37" t="s">
        <v>164</v>
      </c>
      <c r="B139" s="39"/>
      <c r="C139" s="39"/>
      <c r="D139" s="39"/>
      <c r="E139" s="39"/>
      <c r="F139" s="39"/>
      <c r="G139" s="39"/>
      <c r="H139" s="39"/>
      <c r="I139" s="39"/>
      <c r="J139" s="39"/>
      <c r="K139" s="63"/>
      <c r="L139" s="206">
        <f>MIN((1/$B$120)*(2^(((L131 - 14) - $B$128)/$L$157)),L138)</f>
        <v>58.555237392284177</v>
      </c>
      <c r="M139" s="207">
        <f>MIN((1/$B$120)*(2^(((M131 - 14) - $B$128)/$L$157)),M138)</f>
        <v>146.56656807158615</v>
      </c>
      <c r="N139" s="207">
        <f>MIN((1/$B$120)*(2^(((N131 - 14) - $B$128)/$L$157)),N138)</f>
        <v>206.75730302509908</v>
      </c>
      <c r="O139" s="207">
        <f>MIN((1/$B$120)*(2^(((O131 - 14) - $B$128)/$L$157)),O138)</f>
        <v>260.06275064875484</v>
      </c>
      <c r="P139" s="198">
        <f t="shared" ref="P139:Z139" si="23">MIN(($L$132/$B$120)*(2^(((P131 - 14) - $L$131)/HLOOKUP((P131-14)-$B$128,$L$155:$AO$157,3,TRUE))),P138)</f>
        <v>327.55638450116504</v>
      </c>
      <c r="Q139" s="198">
        <f t="shared" si="23"/>
        <v>462.07450675269331</v>
      </c>
      <c r="R139" s="198">
        <f t="shared" si="23"/>
        <v>505.95238095238091</v>
      </c>
      <c r="S139" s="198">
        <f t="shared" si="23"/>
        <v>597.33761152411716</v>
      </c>
      <c r="T139" s="198">
        <f t="shared" si="23"/>
        <v>1035.0555455088277</v>
      </c>
      <c r="U139" s="198">
        <f t="shared" si="23"/>
        <v>1894.7695956599703</v>
      </c>
      <c r="V139" s="198">
        <f t="shared" si="23"/>
        <v>4025.2976190476184</v>
      </c>
      <c r="W139" s="198">
        <f t="shared" si="23"/>
        <v>9680.0595238095229</v>
      </c>
      <c r="X139" s="198">
        <f t="shared" si="23"/>
        <v>20610.11904761905</v>
      </c>
      <c r="Y139" s="198">
        <f t="shared" si="23"/>
        <v>85730.703495727808</v>
      </c>
      <c r="Z139" s="198">
        <f t="shared" si="23"/>
        <v>924523.80952380877</v>
      </c>
      <c r="AA139" s="198">
        <f t="shared" ref="AA139:AC139" si="24">MIN(($L$132/$B$120)*(2^(((AA131 - 14) - $L$131)/HLOOKUP((AA131-14)-$B$128,$L$155:$AO$157,3,TRUE))),AA138)</f>
        <v>3510694.4982131515</v>
      </c>
      <c r="AB139" s="198">
        <f t="shared" si="24"/>
        <v>6570666.666666667</v>
      </c>
      <c r="AC139" s="198">
        <f t="shared" si="24"/>
        <v>7058773.333333334</v>
      </c>
      <c r="AD139" s="198">
        <f t="shared" ref="AD139:AN139" si="25">MIN(($L$132/$B$120)*(2^(((AD131 - 14) - $L$131)/HLOOKUP((AD131-14)-$B$128,$L$155:$AO$157,3,TRUE))),AD138)</f>
        <v>7509333.333333334</v>
      </c>
      <c r="AE139" s="198">
        <f t="shared" si="25"/>
        <v>15018666.666666668</v>
      </c>
      <c r="AF139" s="198">
        <f t="shared" si="25"/>
        <v>30037333.333333336</v>
      </c>
      <c r="AG139" s="198">
        <f t="shared" si="25"/>
        <v>60074666.666666672</v>
      </c>
      <c r="AH139" s="198">
        <f t="shared" si="25"/>
        <v>120149333.33333334</v>
      </c>
      <c r="AI139" s="241">
        <f t="shared" si="25"/>
        <v>240298666.66666669</v>
      </c>
      <c r="AJ139" s="203">
        <f t="shared" si="25"/>
        <v>546133333.33333337</v>
      </c>
      <c r="AK139" s="203">
        <f t="shared" si="25"/>
        <v>330565500</v>
      </c>
      <c r="AL139" s="203">
        <f t="shared" si="25"/>
        <v>330565500</v>
      </c>
      <c r="AM139" s="204">
        <f t="shared" si="25"/>
        <v>330565500</v>
      </c>
      <c r="AN139" s="203">
        <f t="shared" si="25"/>
        <v>330565500</v>
      </c>
      <c r="AO139" s="246"/>
      <c r="AP139" s="25"/>
      <c r="AQ139" s="25"/>
      <c r="AR139" s="69"/>
    </row>
    <row r="140" spans="1:44" x14ac:dyDescent="0.25">
      <c r="A140" s="41" t="s">
        <v>161</v>
      </c>
      <c r="B140" s="16"/>
      <c r="C140" s="16"/>
      <c r="D140" s="16"/>
      <c r="E140" s="16"/>
      <c r="F140" s="16"/>
      <c r="G140" s="16"/>
      <c r="H140" s="16"/>
      <c r="I140" s="16"/>
      <c r="J140" s="16"/>
      <c r="K140" s="16"/>
      <c r="L140" s="215">
        <f t="shared" ref="L140:AN140" si="26">L132*$B$124</f>
        <v>25.3125</v>
      </c>
      <c r="M140" s="216">
        <f t="shared" si="26"/>
        <v>50.625</v>
      </c>
      <c r="N140" s="216">
        <f t="shared" si="26"/>
        <v>101.25</v>
      </c>
      <c r="O140" s="216">
        <f t="shared" si="26"/>
        <v>202.5</v>
      </c>
      <c r="P140" s="216">
        <f t="shared" si="26"/>
        <v>405</v>
      </c>
      <c r="Q140" s="216">
        <f t="shared" si="26"/>
        <v>810</v>
      </c>
      <c r="R140" s="216">
        <f t="shared" si="26"/>
        <v>1620</v>
      </c>
      <c r="S140" s="216">
        <f t="shared" si="26"/>
        <v>3240</v>
      </c>
      <c r="T140" s="216">
        <f t="shared" si="26"/>
        <v>6480</v>
      </c>
      <c r="U140" s="216">
        <f t="shared" si="26"/>
        <v>12960</v>
      </c>
      <c r="V140" s="216">
        <f t="shared" si="26"/>
        <v>25920</v>
      </c>
      <c r="W140" s="216">
        <f t="shared" si="26"/>
        <v>51840</v>
      </c>
      <c r="X140" s="216">
        <f t="shared" si="26"/>
        <v>103680</v>
      </c>
      <c r="Y140" s="216">
        <f t="shared" si="26"/>
        <v>207360</v>
      </c>
      <c r="Z140" s="216">
        <f t="shared" si="26"/>
        <v>414720</v>
      </c>
      <c r="AA140" s="216">
        <f t="shared" ref="AA140:AC140" si="27">AA132*$B$124</f>
        <v>622080</v>
      </c>
      <c r="AB140" s="216">
        <f t="shared" si="27"/>
        <v>725760</v>
      </c>
      <c r="AC140" s="216">
        <f t="shared" si="27"/>
        <v>779673.60000000009</v>
      </c>
      <c r="AD140" s="216">
        <f t="shared" si="26"/>
        <v>829440</v>
      </c>
      <c r="AE140" s="216">
        <f t="shared" si="26"/>
        <v>1658880</v>
      </c>
      <c r="AF140" s="216">
        <f t="shared" si="26"/>
        <v>3317760</v>
      </c>
      <c r="AG140" s="216">
        <f t="shared" si="26"/>
        <v>6635520</v>
      </c>
      <c r="AH140" s="216">
        <f t="shared" si="26"/>
        <v>13271040</v>
      </c>
      <c r="AI140" s="238">
        <f t="shared" ref="AI140:AM140" si="28">AI132*$B$124</f>
        <v>26542080</v>
      </c>
      <c r="AJ140" s="208">
        <f t="shared" si="28"/>
        <v>53084160</v>
      </c>
      <c r="AK140" s="208">
        <f t="shared" si="28"/>
        <v>106168320</v>
      </c>
      <c r="AL140" s="208">
        <f t="shared" si="28"/>
        <v>212336640</v>
      </c>
      <c r="AM140" s="209">
        <f t="shared" si="28"/>
        <v>267758055.00000003</v>
      </c>
      <c r="AN140" s="199">
        <f t="shared" si="26"/>
        <v>267758055.00000003</v>
      </c>
      <c r="AO140" s="246">
        <f>AO132*B124</f>
        <v>18743063.850000005</v>
      </c>
      <c r="AP140" s="25"/>
      <c r="AQ140" s="25"/>
      <c r="AR140" s="69"/>
    </row>
    <row r="141" spans="1:44" x14ac:dyDescent="0.25">
      <c r="A141" s="41" t="s">
        <v>173</v>
      </c>
      <c r="B141" s="16"/>
      <c r="C141" s="16"/>
      <c r="D141" s="16"/>
      <c r="E141" s="16"/>
      <c r="F141" s="16"/>
      <c r="G141" s="16"/>
      <c r="H141" s="16"/>
      <c r="I141" s="16"/>
      <c r="J141" s="16"/>
      <c r="K141" s="16"/>
      <c r="L141" s="206">
        <f>L140-(1*$B$124)*(2^(((L131 - 14) - $B$128)/$L$157))</f>
        <v>19.620930925469978</v>
      </c>
      <c r="M141" s="207">
        <f>M140-(1*$B$124)*(2^(((M131 - 14) - $B$128)/$L$157))</f>
        <v>36.378729583441825</v>
      </c>
      <c r="N141" s="207">
        <f>N140-(1*$B$124)*(2^(((N131 - 14) - $B$128)/$L$157))</f>
        <v>81.153190145960366</v>
      </c>
      <c r="O141" s="207">
        <f>O140-(1*$B$124)*(2^(((O131 - 14) - $B$128)/$L$157))</f>
        <v>177.22190063694103</v>
      </c>
      <c r="P141" s="205">
        <f t="shared" ref="P141:Z141" si="29">MAX(P140-(($L$132*$B$124)*(2^(((P131 -14) - $L$131)/HLOOKUP((P131-14)-$B$128,$L$155:$AO$157,3,TRUE)))),0)</f>
        <v>373.16151942648673</v>
      </c>
      <c r="Q141" s="205">
        <f t="shared" si="29"/>
        <v>765.08635794363818</v>
      </c>
      <c r="R141" s="205">
        <f t="shared" si="29"/>
        <v>1570.8214285714287</v>
      </c>
      <c r="S141" s="205">
        <f t="shared" si="29"/>
        <v>3181.9387841598559</v>
      </c>
      <c r="T141" s="205">
        <f t="shared" si="29"/>
        <v>6379.3926009765419</v>
      </c>
      <c r="U141" s="205">
        <f t="shared" si="29"/>
        <v>12775.828395301851</v>
      </c>
      <c r="V141" s="205">
        <f t="shared" si="29"/>
        <v>25528.741071428572</v>
      </c>
      <c r="W141" s="205">
        <f t="shared" si="29"/>
        <v>50899.098214285717</v>
      </c>
      <c r="X141" s="205">
        <f t="shared" si="29"/>
        <v>101676.69642857143</v>
      </c>
      <c r="Y141" s="205">
        <f t="shared" si="29"/>
        <v>199026.97562021526</v>
      </c>
      <c r="Z141" s="205">
        <f t="shared" si="29"/>
        <v>324856.2857142858</v>
      </c>
      <c r="AA141" s="205">
        <f t="shared" ref="AA141:AC141" si="30">MAX(AA140-(($L$132*$B$124)*(2^(((AA131 -14) - $L$131)/HLOOKUP((AA131-14)-$B$128,$L$155:$AO$157,3,TRUE)))),0)</f>
        <v>280840.49477368168</v>
      </c>
      <c r="AB141" s="205">
        <f t="shared" si="30"/>
        <v>0</v>
      </c>
      <c r="AC141" s="205">
        <f t="shared" si="30"/>
        <v>0</v>
      </c>
      <c r="AD141" s="205">
        <f t="shared" ref="AD141:AN141" si="31">MAX(AD140-(($L$132*$B$124)*(2^(((AD131 -14) - $L$131)/HLOOKUP((AD131-14)-$B$128,$L$155:$AO$157,3,TRUE)))),0)</f>
        <v>0</v>
      </c>
      <c r="AE141" s="205">
        <f t="shared" si="31"/>
        <v>0</v>
      </c>
      <c r="AF141" s="205">
        <f t="shared" si="31"/>
        <v>0</v>
      </c>
      <c r="AG141" s="205">
        <f t="shared" si="31"/>
        <v>0</v>
      </c>
      <c r="AH141" s="205">
        <f t="shared" si="31"/>
        <v>0</v>
      </c>
      <c r="AI141" s="241">
        <f t="shared" si="31"/>
        <v>0</v>
      </c>
      <c r="AJ141" s="203">
        <f t="shared" si="31"/>
        <v>0</v>
      </c>
      <c r="AK141" s="203">
        <f t="shared" si="31"/>
        <v>0</v>
      </c>
      <c r="AL141" s="203">
        <f t="shared" si="31"/>
        <v>0</v>
      </c>
      <c r="AM141" s="204">
        <f t="shared" si="31"/>
        <v>0</v>
      </c>
      <c r="AN141" s="199">
        <f t="shared" si="31"/>
        <v>0</v>
      </c>
      <c r="AO141" s="244"/>
      <c r="AP141" s="25"/>
      <c r="AQ141" s="25"/>
      <c r="AR141" s="69"/>
    </row>
    <row r="142" spans="1:44" x14ac:dyDescent="0.25">
      <c r="A142" s="62" t="s">
        <v>110</v>
      </c>
      <c r="B142" s="9"/>
      <c r="C142" s="9"/>
      <c r="D142" s="9"/>
      <c r="E142" s="9"/>
      <c r="F142" s="9"/>
      <c r="G142" s="9"/>
      <c r="H142" s="9"/>
      <c r="I142" s="9"/>
      <c r="J142" s="9"/>
      <c r="K142" s="5"/>
      <c r="L142" s="225">
        <f>(1*($B$125+$B$126))*(2^(((L131 - 7) - $B$128)/$L$157))</f>
        <v>2.9796216359494587</v>
      </c>
      <c r="M142" s="211">
        <f t="shared" ref="M142:Z142" si="32">($L$132*($B$125+$B$126))*(2^(((M131-7)-$L$131)/HLOOKUP((M131-7)-$B$128,$L$155:$AO$157,3,TRUE)))</f>
        <v>6.6590498985850246</v>
      </c>
      <c r="N142" s="211">
        <f t="shared" si="32"/>
        <v>9.3937329355254953</v>
      </c>
      <c r="O142" s="211">
        <f t="shared" si="32"/>
        <v>11.815592437748149</v>
      </c>
      <c r="P142" s="211">
        <f t="shared" si="32"/>
        <v>12.534285987853202</v>
      </c>
      <c r="Q142" s="211">
        <f t="shared" si="32"/>
        <v>23.599266437601273</v>
      </c>
      <c r="R142" s="211">
        <f t="shared" si="32"/>
        <v>49.779972972921911</v>
      </c>
      <c r="S142" s="211">
        <f t="shared" si="32"/>
        <v>108.90640436467176</v>
      </c>
      <c r="T142" s="211">
        <f t="shared" si="32"/>
        <v>220.70535714285711</v>
      </c>
      <c r="U142" s="211">
        <f t="shared" si="32"/>
        <v>322.92231652302479</v>
      </c>
      <c r="V142" s="211">
        <f t="shared" si="32"/>
        <v>573.20080200802715</v>
      </c>
      <c r="W142" s="211">
        <f t="shared" si="32"/>
        <v>1576.9999999999995</v>
      </c>
      <c r="X142" s="211">
        <f t="shared" si="32"/>
        <v>4145.4455784766114</v>
      </c>
      <c r="Y142" s="211">
        <f t="shared" si="32"/>
        <v>14658.884770024193</v>
      </c>
      <c r="Z142" s="211">
        <f t="shared" si="32"/>
        <v>64486.753877005009</v>
      </c>
      <c r="AA142" s="211">
        <f t="shared" ref="AA142:AC142" si="33">($L$132*($B$125+$B$126))*(2^(((AA131-7)-$L$131)/HLOOKUP((AA131-7)-$B$128,$L$155:$AO$157,3,TRUE)))</f>
        <v>110286.44118825588</v>
      </c>
      <c r="AB142" s="211">
        <f t="shared" si="33"/>
        <v>278165.1302392949</v>
      </c>
      <c r="AC142" s="211">
        <f t="shared" si="33"/>
        <v>296213.7247081736</v>
      </c>
      <c r="AD142" s="211">
        <f t="shared" ref="AD142:AM142" si="34">($L$132*($B$125+$B$126))*(2^(((AD131-7)-$L$131)/HLOOKUP((AD131-7)-$B$128,$L$155:$AO$157,3,TRUE)))</f>
        <v>187479.91014906965</v>
      </c>
      <c r="AE142" s="211">
        <f t="shared" si="34"/>
        <v>4242337.4975304874</v>
      </c>
      <c r="AF142" s="211">
        <f t="shared" si="34"/>
        <v>4080549.633147941</v>
      </c>
      <c r="AG142" s="211">
        <f t="shared" si="34"/>
        <v>5409944.2750848886</v>
      </c>
      <c r="AH142" s="211">
        <f t="shared" si="34"/>
        <v>8315086.6940882383</v>
      </c>
      <c r="AI142" s="238">
        <f t="shared" si="34"/>
        <v>13848161.687812872</v>
      </c>
      <c r="AJ142" s="208">
        <f t="shared" si="34"/>
        <v>24207140.630837712</v>
      </c>
      <c r="AK142" s="208">
        <f t="shared" si="34"/>
        <v>43667075.03450688</v>
      </c>
      <c r="AL142" s="208">
        <f t="shared" si="34"/>
        <v>80489402.026021287</v>
      </c>
      <c r="AM142" s="209">
        <f t="shared" si="34"/>
        <v>150672798.2530489</v>
      </c>
      <c r="AN142" s="208">
        <f>($L$132*($B$125+$B$126))*(2^(((AN131 - 7) - $L$131)/AN157))</f>
        <v>42396946.660026424</v>
      </c>
      <c r="AO142" s="244">
        <f>AO132*(B125+B126)</f>
        <v>4396521.1500000004</v>
      </c>
      <c r="AP142" s="45"/>
      <c r="AQ142" s="45"/>
      <c r="AR142" s="69"/>
    </row>
    <row r="143" spans="1:44" x14ac:dyDescent="0.25">
      <c r="A143" s="37" t="s">
        <v>159</v>
      </c>
      <c r="B143" s="38"/>
      <c r="C143" s="39"/>
      <c r="D143" s="39"/>
      <c r="E143" s="39"/>
      <c r="F143" s="39"/>
      <c r="G143" s="39"/>
      <c r="H143" s="39"/>
      <c r="I143" s="39"/>
      <c r="J143" s="39"/>
      <c r="K143" s="63"/>
      <c r="L143" s="206">
        <f t="shared" ref="L143:Y143" si="35">L142</f>
        <v>2.9796216359494587</v>
      </c>
      <c r="M143" s="207">
        <f t="shared" si="35"/>
        <v>6.6590498985850246</v>
      </c>
      <c r="N143" s="207">
        <f t="shared" si="35"/>
        <v>9.3937329355254953</v>
      </c>
      <c r="O143" s="207">
        <f t="shared" si="35"/>
        <v>11.815592437748149</v>
      </c>
      <c r="P143" s="207">
        <f t="shared" si="35"/>
        <v>12.534285987853202</v>
      </c>
      <c r="Q143" s="207">
        <f t="shared" si="35"/>
        <v>23.599266437601273</v>
      </c>
      <c r="R143" s="207">
        <f t="shared" si="35"/>
        <v>49.779972972921911</v>
      </c>
      <c r="S143" s="207">
        <f t="shared" si="35"/>
        <v>108.90640436467176</v>
      </c>
      <c r="T143" s="207">
        <f t="shared" si="35"/>
        <v>220.70535714285711</v>
      </c>
      <c r="U143" s="207">
        <f t="shared" si="35"/>
        <v>322.92231652302479</v>
      </c>
      <c r="V143" s="207">
        <f t="shared" si="35"/>
        <v>573.20080200802715</v>
      </c>
      <c r="W143" s="207">
        <f t="shared" si="35"/>
        <v>1576.9999999999995</v>
      </c>
      <c r="X143" s="207">
        <f t="shared" si="35"/>
        <v>4145.4455784766114</v>
      </c>
      <c r="Y143" s="207">
        <f t="shared" si="35"/>
        <v>14658.884770024193</v>
      </c>
      <c r="Z143" s="198">
        <f>MAX(Z142-($L$132*$B$125)*(2^(((Z131 - 42) - $L$131)/HLOOKUP((Z131-42)-$B$128,$L$155:$AO$157,3,TRUE)))-Z145,0)</f>
        <v>58944.211012749765</v>
      </c>
      <c r="AA143" s="198">
        <f t="shared" ref="AA143:AC143" si="36">MAX(AA142-($L$132*$B$125)*(2^(((AA131 - 42) - $L$131)/HLOOKUP((AA131-42)-$B$128,$L$155:$AO$157,3,TRUE)))-AA145,0)</f>
        <v>89305.491515294882</v>
      </c>
      <c r="AB143" s="198">
        <f t="shared" si="36"/>
        <v>219109.46445462987</v>
      </c>
      <c r="AC143" s="198">
        <f t="shared" si="36"/>
        <v>252328.16003405603</v>
      </c>
      <c r="AD143" s="198">
        <f t="shared" ref="AD143:AN143" si="37">MAX(AD142-($L$132*$B$125)*(2^(((AD131 - 42) - $L$131)/HLOOKUP((AD131-42)-$B$128,$L$155:$AO$157,3,TRUE)))-AD145,0)</f>
        <v>97631.629011726094</v>
      </c>
      <c r="AE143" s="198">
        <f t="shared" si="37"/>
        <v>3376545.6375662182</v>
      </c>
      <c r="AF143" s="198">
        <f t="shared" si="37"/>
        <v>1938405.1258811578</v>
      </c>
      <c r="AG143" s="198">
        <f t="shared" si="37"/>
        <v>3160308.5547786686</v>
      </c>
      <c r="AH143" s="198">
        <f t="shared" si="37"/>
        <v>5181706.957965076</v>
      </c>
      <c r="AI143" s="241">
        <f t="shared" si="37"/>
        <v>8877551.0944500975</v>
      </c>
      <c r="AJ143" s="203">
        <f t="shared" si="37"/>
        <v>15745089.536819562</v>
      </c>
      <c r="AK143" s="203">
        <f t="shared" si="37"/>
        <v>28634116.960233908</v>
      </c>
      <c r="AL143" s="203">
        <f t="shared" si="37"/>
        <v>52265118.510833532</v>
      </c>
      <c r="AM143" s="204">
        <f t="shared" si="37"/>
        <v>96857224.878426567</v>
      </c>
      <c r="AN143" s="199">
        <f t="shared" si="37"/>
        <v>0</v>
      </c>
      <c r="AO143" s="246"/>
      <c r="AP143" s="45"/>
      <c r="AQ143" s="45"/>
      <c r="AR143" s="69"/>
    </row>
    <row r="144" spans="1:44" x14ac:dyDescent="0.25">
      <c r="A144" s="62" t="s">
        <v>111</v>
      </c>
      <c r="B144" s="9"/>
      <c r="C144" s="9"/>
      <c r="D144" s="9"/>
      <c r="E144" s="9"/>
      <c r="F144" s="9"/>
      <c r="G144" s="9"/>
      <c r="H144" s="9"/>
      <c r="I144" s="9"/>
      <c r="J144" s="9"/>
      <c r="K144" s="5"/>
      <c r="L144" s="225">
        <f>(1*$B$126)*(2^(((L131 - 14) -$B$128)/$L$157))</f>
        <v>0.35133142435370507</v>
      </c>
      <c r="M144" s="222">
        <f>(1*$B$126)*(2^(((M131 - 14) -$B$128)/$L$157))</f>
        <v>0.8793994084295168</v>
      </c>
      <c r="N144" s="222">
        <f>(1*$B$126)*(2^(((N131 - 14) -$B$128)/$L$157))</f>
        <v>1.2405438181505943</v>
      </c>
      <c r="O144" s="222">
        <f>(1*$B$126)*(2^(((O131 - 14) -$B$128)/$L$157))</f>
        <v>1.5603765038925292</v>
      </c>
      <c r="P144" s="211">
        <f t="shared" ref="P144:Z144" si="38">($L$132*$B$126)*(2^(((P131 - 14) - $L$131)/HLOOKUP((P131-14)-$B$128,$L$155:$AO$157,3,TRUE)))</f>
        <v>1.9653383070069901</v>
      </c>
      <c r="Q144" s="211">
        <f t="shared" si="38"/>
        <v>2.7724470405161594</v>
      </c>
      <c r="R144" s="211">
        <f t="shared" si="38"/>
        <v>3.0357142857142851</v>
      </c>
      <c r="S144" s="211">
        <f t="shared" si="38"/>
        <v>3.5840256691447028</v>
      </c>
      <c r="T144" s="211">
        <f t="shared" si="38"/>
        <v>6.2103332730529663</v>
      </c>
      <c r="U144" s="211">
        <f t="shared" si="38"/>
        <v>11.368617573959821</v>
      </c>
      <c r="V144" s="211">
        <f t="shared" si="38"/>
        <v>24.151785714285708</v>
      </c>
      <c r="W144" s="211">
        <f t="shared" si="38"/>
        <v>58.080357142857132</v>
      </c>
      <c r="X144" s="211">
        <f t="shared" si="38"/>
        <v>123.66071428571428</v>
      </c>
      <c r="Y144" s="211">
        <f t="shared" si="38"/>
        <v>514.38422097436683</v>
      </c>
      <c r="Z144" s="211">
        <f t="shared" si="38"/>
        <v>5547.1428571428523</v>
      </c>
      <c r="AA144" s="211">
        <f t="shared" ref="AA144:AC144" si="39">($L$132*$B$126)*(2^(((AA131 - 14) - $L$131)/HLOOKUP((AA131-14)-$B$128,$L$155:$AO$157,3,TRUE)))</f>
        <v>21064.166989278907</v>
      </c>
      <c r="AB144" s="211">
        <f t="shared" si="39"/>
        <v>59437.380783151777</v>
      </c>
      <c r="AC144" s="211">
        <f t="shared" si="39"/>
        <v>48179.391558528085</v>
      </c>
      <c r="AD144" s="211">
        <f t="shared" ref="AD144:AN144" si="40">($L$132*$B$126)*(2^(((AD131 - 14) - $L$131)/HLOOKUP((AD131-14)-$B$128,$L$155:$AO$157,3,TRUE)))</f>
        <v>91609.604192306695</v>
      </c>
      <c r="AE144" s="211">
        <f t="shared" si="40"/>
        <v>462220.87166905875</v>
      </c>
      <c r="AF144" s="211">
        <f t="shared" si="40"/>
        <v>545732.26906643226</v>
      </c>
      <c r="AG144" s="211">
        <f t="shared" si="40"/>
        <v>811800.66835042427</v>
      </c>
      <c r="AH144" s="211">
        <f t="shared" si="40"/>
        <v>1343207.400887094</v>
      </c>
      <c r="AI144" s="238">
        <f t="shared" si="40"/>
        <v>2354668.2209763597</v>
      </c>
      <c r="AJ144" s="208">
        <f t="shared" si="40"/>
        <v>4274202.6179864854</v>
      </c>
      <c r="AK144" s="208">
        <f t="shared" si="40"/>
        <v>7936246.4056899175</v>
      </c>
      <c r="AL144" s="208">
        <f t="shared" si="40"/>
        <v>14966644.846309945</v>
      </c>
      <c r="AM144" s="209">
        <f t="shared" si="40"/>
        <v>28540796.045128848</v>
      </c>
      <c r="AN144" s="208">
        <f t="shared" si="40"/>
        <v>54876479.132021673</v>
      </c>
      <c r="AO144" s="244">
        <f>AO132*B126</f>
        <v>1156979.2500000002</v>
      </c>
      <c r="AP144" s="45"/>
      <c r="AQ144" s="45"/>
      <c r="AR144" s="69"/>
    </row>
    <row r="145" spans="1:44" x14ac:dyDescent="0.25">
      <c r="A145" s="37" t="s">
        <v>160</v>
      </c>
      <c r="B145" s="38"/>
      <c r="C145" s="39"/>
      <c r="D145" s="39"/>
      <c r="E145" s="39"/>
      <c r="F145" s="39"/>
      <c r="G145" s="39"/>
      <c r="H145" s="39"/>
      <c r="I145" s="39"/>
      <c r="J145" s="39"/>
      <c r="K145" s="63"/>
      <c r="L145" s="206">
        <f t="shared" ref="L145:W145" si="41">L144</f>
        <v>0.35133142435370507</v>
      </c>
      <c r="M145" s="207">
        <f t="shared" si="41"/>
        <v>0.8793994084295168</v>
      </c>
      <c r="N145" s="207">
        <f t="shared" si="41"/>
        <v>1.2405438181505943</v>
      </c>
      <c r="O145" s="207">
        <f t="shared" si="41"/>
        <v>1.5603765038925292</v>
      </c>
      <c r="P145" s="207">
        <f t="shared" si="41"/>
        <v>1.9653383070069901</v>
      </c>
      <c r="Q145" s="207">
        <f t="shared" si="41"/>
        <v>2.7724470405161594</v>
      </c>
      <c r="R145" s="207">
        <f t="shared" si="41"/>
        <v>3.0357142857142851</v>
      </c>
      <c r="S145" s="207">
        <f t="shared" si="41"/>
        <v>3.5840256691447028</v>
      </c>
      <c r="T145" s="207">
        <f t="shared" si="41"/>
        <v>6.2103332730529663</v>
      </c>
      <c r="U145" s="207">
        <f t="shared" si="41"/>
        <v>11.368617573959821</v>
      </c>
      <c r="V145" s="207">
        <f t="shared" si="41"/>
        <v>24.151785714285708</v>
      </c>
      <c r="W145" s="207">
        <f t="shared" si="41"/>
        <v>58.080357142857132</v>
      </c>
      <c r="X145" s="205">
        <f>MAX(X144-($L$132*$B$126)*(2^(((X131 - 35) - $L$131)/HLOOKUP((X131-35)-$B$128,$L$155:$AO$157,3,TRUE))),0)</f>
        <v>121.90833273345505</v>
      </c>
      <c r="Y145" s="205">
        <f>MAX(Y144-($L$132*$B$126)*(2^(((Y131 - 35) - $L$131)/HLOOKUP((Y131-35)-$B$128,$L$155:$AO$157,3,TRUE))),0)</f>
        <v>511.27485454338046</v>
      </c>
      <c r="Z145" s="205">
        <f>MAX(Z144-($L$132*$B$126)*(2^(((Z131 - 35) - $L$131)/HLOOKUP((Z131-35)-$B$128,$L$155:$AO$157,3,TRUE))),0)</f>
        <v>5534.0428642552415</v>
      </c>
      <c r="AA145" s="205">
        <f t="shared" ref="AA145:AC145" si="42">MAX(AA144-($L$132*$B$126)*(2^(((AA131 - 35) - $L$131)/HLOOKUP((AA131-35)-$B$128,$L$155:$AO$157,3,TRUE))),0)</f>
        <v>20913.324672961004</v>
      </c>
      <c r="AB145" s="205">
        <f t="shared" si="42"/>
        <v>58826.608569908589</v>
      </c>
      <c r="AC145" s="205">
        <f t="shared" si="42"/>
        <v>37216.541835568409</v>
      </c>
      <c r="AD145" s="205">
        <f t="shared" ref="AD145:AN145" si="43">MAX(AD144-($L$132*$B$126)*(2^(((AD131 - 35) - $L$131)/HLOOKUP((AD131-35)-$B$128,$L$155:$AO$157,3,TRUE))),0)</f>
        <v>51327.105850685293</v>
      </c>
      <c r="AE145" s="205">
        <f t="shared" si="43"/>
        <v>376490.13948392164</v>
      </c>
      <c r="AF145" s="205">
        <f t="shared" si="43"/>
        <v>0</v>
      </c>
      <c r="AG145" s="205">
        <f t="shared" si="43"/>
        <v>0</v>
      </c>
      <c r="AH145" s="205">
        <f t="shared" si="43"/>
        <v>0</v>
      </c>
      <c r="AI145" s="241">
        <f t="shared" si="43"/>
        <v>0</v>
      </c>
      <c r="AJ145" s="203">
        <f t="shared" si="43"/>
        <v>0</v>
      </c>
      <c r="AK145" s="203">
        <f t="shared" si="43"/>
        <v>0</v>
      </c>
      <c r="AL145" s="203">
        <f t="shared" si="43"/>
        <v>768529.08168275468</v>
      </c>
      <c r="AM145" s="204">
        <f t="shared" si="43"/>
        <v>2709627.8142612241</v>
      </c>
      <c r="AN145" s="199">
        <f t="shared" si="43"/>
        <v>7030793.1022058055</v>
      </c>
      <c r="AO145" s="244"/>
      <c r="AP145" s="45"/>
      <c r="AQ145" s="45"/>
      <c r="AR145" s="69"/>
    </row>
    <row r="146" spans="1:44" x14ac:dyDescent="0.25">
      <c r="A146" s="41" t="s">
        <v>56</v>
      </c>
      <c r="B146" s="15"/>
      <c r="C146" s="16"/>
      <c r="D146" s="16"/>
      <c r="E146" s="16"/>
      <c r="F146" s="16"/>
      <c r="G146" s="16"/>
      <c r="H146" s="16"/>
      <c r="I146" s="16"/>
      <c r="J146" s="16"/>
      <c r="K146" s="16"/>
      <c r="L146" s="226">
        <f t="shared" ref="L146:AN146" si="44">L132*$B$127</f>
        <v>1.75</v>
      </c>
      <c r="M146" s="227">
        <f t="shared" si="44"/>
        <v>3.5</v>
      </c>
      <c r="N146" s="227">
        <f t="shared" si="44"/>
        <v>7</v>
      </c>
      <c r="O146" s="227">
        <f t="shared" si="44"/>
        <v>14</v>
      </c>
      <c r="P146" s="227">
        <f t="shared" si="44"/>
        <v>28</v>
      </c>
      <c r="Q146" s="227">
        <f t="shared" si="44"/>
        <v>56</v>
      </c>
      <c r="R146" s="227">
        <f t="shared" si="44"/>
        <v>112</v>
      </c>
      <c r="S146" s="227">
        <f t="shared" si="44"/>
        <v>224</v>
      </c>
      <c r="T146" s="227">
        <f t="shared" si="44"/>
        <v>448</v>
      </c>
      <c r="U146" s="227">
        <f t="shared" si="44"/>
        <v>896</v>
      </c>
      <c r="V146" s="227">
        <f t="shared" si="44"/>
        <v>1792</v>
      </c>
      <c r="W146" s="227">
        <f t="shared" si="44"/>
        <v>3584</v>
      </c>
      <c r="X146" s="227">
        <f t="shared" si="44"/>
        <v>7168</v>
      </c>
      <c r="Y146" s="227">
        <f t="shared" si="44"/>
        <v>14336</v>
      </c>
      <c r="Z146" s="227">
        <f t="shared" si="44"/>
        <v>28672</v>
      </c>
      <c r="AA146" s="227">
        <f t="shared" ref="AA146:AC146" si="45">AA132*$B$127</f>
        <v>43008</v>
      </c>
      <c r="AB146" s="227">
        <f t="shared" si="45"/>
        <v>50176</v>
      </c>
      <c r="AC146" s="227">
        <f t="shared" si="45"/>
        <v>53903.360000000001</v>
      </c>
      <c r="AD146" s="227">
        <f t="shared" si="44"/>
        <v>57344</v>
      </c>
      <c r="AE146" s="227">
        <f t="shared" si="44"/>
        <v>114688</v>
      </c>
      <c r="AF146" s="227">
        <f t="shared" si="44"/>
        <v>229376</v>
      </c>
      <c r="AG146" s="227">
        <f t="shared" si="44"/>
        <v>458752</v>
      </c>
      <c r="AH146" s="227">
        <f t="shared" si="44"/>
        <v>917504</v>
      </c>
      <c r="AI146" s="240">
        <f t="shared" ref="AI146:AM146" si="46">AI132*$B$127</f>
        <v>1835008</v>
      </c>
      <c r="AJ146" s="199">
        <f t="shared" si="46"/>
        <v>3670016</v>
      </c>
      <c r="AK146" s="199">
        <f t="shared" si="46"/>
        <v>7340032</v>
      </c>
      <c r="AL146" s="199">
        <f t="shared" si="46"/>
        <v>14680064</v>
      </c>
      <c r="AM146" s="200">
        <f t="shared" si="46"/>
        <v>18511668</v>
      </c>
      <c r="AN146" s="208">
        <f t="shared" si="44"/>
        <v>18511668</v>
      </c>
      <c r="AO146" s="244">
        <f>AO132*B127</f>
        <v>1295816.7600000002</v>
      </c>
      <c r="AP146" s="45"/>
      <c r="AQ146" s="45"/>
      <c r="AR146" s="69"/>
    </row>
    <row r="147" spans="1:44" x14ac:dyDescent="0.25">
      <c r="A147" s="37" t="s">
        <v>55</v>
      </c>
      <c r="B147" s="38"/>
      <c r="C147" s="39"/>
      <c r="D147" s="39"/>
      <c r="E147" s="39"/>
      <c r="F147" s="39"/>
      <c r="G147" s="39"/>
      <c r="H147" s="39"/>
      <c r="I147" s="39"/>
      <c r="J147" s="39"/>
      <c r="K147" s="39"/>
      <c r="L147" s="201"/>
      <c r="M147" s="202"/>
      <c r="N147" s="202"/>
      <c r="O147" s="202"/>
      <c r="P147" s="202"/>
      <c r="Q147" s="202"/>
      <c r="R147" s="202"/>
      <c r="S147" s="202"/>
      <c r="T147" s="202"/>
      <c r="U147" s="202"/>
      <c r="V147" s="202"/>
      <c r="W147" s="202"/>
      <c r="X147" s="210">
        <f>($L$132*$B$127)*(2^(((X131-35)-$L$131)/HLOOKUP((X131-35)-$B$128,$L$155:$AO$157,3,TRUE)))</f>
        <v>1.962667338530323</v>
      </c>
      <c r="Y147" s="210">
        <f>($L$132*$B$127)*(2^(((Y131-35)-$L$131)/HLOOKUP((Y131-35)-$B$128,$L$155:$AO$157,3,TRUE)))</f>
        <v>3.4824904027047179</v>
      </c>
      <c r="Z147" s="210">
        <f>($L$132*$B$127)*(2^(((Z131-35)-$L$131)/HLOOKUP((Z131-35)-$B$128,$L$155:$AO$157,3,TRUE)))</f>
        <v>14.671992034124351</v>
      </c>
      <c r="AA147" s="210">
        <f t="shared" ref="AA147:AC147" si="47">($L$132*$B$127)*(2^(((AA131-35)-$L$131)/HLOOKUP((AA131-35)-$B$128,$L$155:$AO$157,3,TRUE)))</f>
        <v>168.9433942760501</v>
      </c>
      <c r="AB147" s="210">
        <f t="shared" si="47"/>
        <v>684.06487883236991</v>
      </c>
      <c r="AC147" s="210">
        <f t="shared" si="47"/>
        <v>12278.391689714836</v>
      </c>
      <c r="AD147" s="210">
        <f t="shared" ref="AD147:AN147" si="48">($L$132*$B$127)*(2^(((AD131-35)-$L$131)/HLOOKUP((AD131-35)-$B$128,$L$155:$AO$157,3,TRUE)))</f>
        <v>45116.398142615973</v>
      </c>
      <c r="AE147" s="210">
        <f t="shared" si="48"/>
        <v>96018.420047353546</v>
      </c>
      <c r="AF147" s="210">
        <f t="shared" si="48"/>
        <v>2069573.3474986476</v>
      </c>
      <c r="AG147" s="210">
        <f t="shared" si="48"/>
        <v>1770629.209411765</v>
      </c>
      <c r="AH147" s="210">
        <f t="shared" si="48"/>
        <v>2198025.9344558031</v>
      </c>
      <c r="AI147" s="241">
        <f t="shared" si="48"/>
        <v>3238991.7461794913</v>
      </c>
      <c r="AJ147" s="203">
        <f t="shared" si="48"/>
        <v>5238590.3800340509</v>
      </c>
      <c r="AK147" s="203">
        <f t="shared" si="48"/>
        <v>8962088.4993304089</v>
      </c>
      <c r="AL147" s="203">
        <f t="shared" si="48"/>
        <v>15901889.656382453</v>
      </c>
      <c r="AM147" s="204">
        <f t="shared" si="48"/>
        <v>28930908.41857174</v>
      </c>
      <c r="AN147" s="203">
        <f t="shared" si="48"/>
        <v>53587168.353393771</v>
      </c>
      <c r="AO147" s="247">
        <f>($L$132*$B$127)*(2^(((AO131 - 35) - $L$131)/AO157))</f>
        <v>4843831.5609328263</v>
      </c>
      <c r="AP147" s="45"/>
      <c r="AQ147" s="45"/>
      <c r="AR147" s="69"/>
    </row>
    <row r="148" spans="1:44" s="69" customFormat="1" hidden="1" x14ac:dyDescent="0.25">
      <c r="A148" s="48" t="s">
        <v>105</v>
      </c>
      <c r="B148" s="25"/>
      <c r="C148" s="47"/>
      <c r="D148" s="47"/>
      <c r="E148" s="47"/>
      <c r="F148" s="47"/>
      <c r="G148" s="47"/>
      <c r="H148" s="47"/>
      <c r="I148" s="47"/>
      <c r="J148" s="47"/>
      <c r="K148" s="47"/>
      <c r="L148" s="150">
        <f t="shared" ref="L148:AN148" si="49">L131-7</f>
        <v>43875</v>
      </c>
      <c r="M148" s="150">
        <f t="shared" si="49"/>
        <v>43883</v>
      </c>
      <c r="N148" s="150">
        <f t="shared" si="49"/>
        <v>43886</v>
      </c>
      <c r="O148" s="150">
        <f t="shared" si="49"/>
        <v>43888</v>
      </c>
      <c r="P148" s="150">
        <f t="shared" si="49"/>
        <v>43891</v>
      </c>
      <c r="Q148" s="150">
        <f t="shared" si="49"/>
        <v>43894</v>
      </c>
      <c r="R148" s="150">
        <f t="shared" si="49"/>
        <v>43897</v>
      </c>
      <c r="S148" s="150">
        <f t="shared" si="49"/>
        <v>43899</v>
      </c>
      <c r="T148" s="150">
        <f t="shared" si="49"/>
        <v>43901</v>
      </c>
      <c r="U148" s="150">
        <f t="shared" si="49"/>
        <v>43903</v>
      </c>
      <c r="V148" s="150">
        <f t="shared" si="49"/>
        <v>43905</v>
      </c>
      <c r="W148" s="150">
        <f t="shared" si="49"/>
        <v>43908</v>
      </c>
      <c r="X148" s="150">
        <f t="shared" si="49"/>
        <v>43911</v>
      </c>
      <c r="Y148" s="150">
        <f t="shared" si="49"/>
        <v>43916</v>
      </c>
      <c r="Z148" s="150">
        <f t="shared" si="49"/>
        <v>43925</v>
      </c>
      <c r="AA148" s="150"/>
      <c r="AB148" s="150"/>
      <c r="AC148" s="150"/>
      <c r="AD148" s="150">
        <f t="shared" si="49"/>
        <v>43957</v>
      </c>
      <c r="AE148" s="150">
        <f t="shared" si="49"/>
        <v>43989</v>
      </c>
      <c r="AF148" s="150">
        <f t="shared" si="49"/>
        <v>44021</v>
      </c>
      <c r="AG148" s="150">
        <f t="shared" si="49"/>
        <v>44053</v>
      </c>
      <c r="AH148" s="150">
        <f t="shared" si="49"/>
        <v>44085</v>
      </c>
      <c r="AI148" s="150"/>
      <c r="AJ148" s="150"/>
      <c r="AK148" s="150"/>
      <c r="AL148" s="150"/>
      <c r="AM148" s="150"/>
      <c r="AN148" s="150">
        <f t="shared" si="49"/>
        <v>44277</v>
      </c>
      <c r="AO148" s="150"/>
      <c r="AP148" s="45"/>
      <c r="AQ148" s="45"/>
    </row>
    <row r="149" spans="1:44" s="69" customFormat="1" hidden="1" x14ac:dyDescent="0.25">
      <c r="A149" s="48" t="s">
        <v>103</v>
      </c>
      <c r="B149" s="25"/>
      <c r="C149" s="47"/>
      <c r="D149" s="47"/>
      <c r="E149" s="47"/>
      <c r="F149" s="47"/>
      <c r="G149" s="47"/>
      <c r="H149" s="47"/>
      <c r="I149" s="47"/>
      <c r="J149" s="47"/>
      <c r="K149" s="47"/>
      <c r="L149" s="150">
        <f t="shared" ref="L149:AN149" si="50">L131-14</f>
        <v>43868</v>
      </c>
      <c r="M149" s="150">
        <f t="shared" si="50"/>
        <v>43876</v>
      </c>
      <c r="N149" s="150">
        <f t="shared" si="50"/>
        <v>43879</v>
      </c>
      <c r="O149" s="150">
        <f t="shared" si="50"/>
        <v>43881</v>
      </c>
      <c r="P149" s="150">
        <f t="shared" si="50"/>
        <v>43884</v>
      </c>
      <c r="Q149" s="150">
        <f t="shared" si="50"/>
        <v>43887</v>
      </c>
      <c r="R149" s="150">
        <f t="shared" si="50"/>
        <v>43890</v>
      </c>
      <c r="S149" s="150">
        <f t="shared" si="50"/>
        <v>43892</v>
      </c>
      <c r="T149" s="150">
        <f t="shared" si="50"/>
        <v>43894</v>
      </c>
      <c r="U149" s="150">
        <f t="shared" si="50"/>
        <v>43896</v>
      </c>
      <c r="V149" s="150">
        <f t="shared" si="50"/>
        <v>43898</v>
      </c>
      <c r="W149" s="150">
        <f t="shared" si="50"/>
        <v>43901</v>
      </c>
      <c r="X149" s="150">
        <f t="shared" si="50"/>
        <v>43904</v>
      </c>
      <c r="Y149" s="150">
        <f t="shared" si="50"/>
        <v>43909</v>
      </c>
      <c r="Z149" s="150">
        <f t="shared" si="50"/>
        <v>43918</v>
      </c>
      <c r="AA149" s="150"/>
      <c r="AB149" s="150"/>
      <c r="AC149" s="150"/>
      <c r="AD149" s="150">
        <f t="shared" si="50"/>
        <v>43950</v>
      </c>
      <c r="AE149" s="150">
        <f t="shared" si="50"/>
        <v>43982</v>
      </c>
      <c r="AF149" s="150">
        <f t="shared" si="50"/>
        <v>44014</v>
      </c>
      <c r="AG149" s="150">
        <f t="shared" si="50"/>
        <v>44046</v>
      </c>
      <c r="AH149" s="150">
        <f t="shared" si="50"/>
        <v>44078</v>
      </c>
      <c r="AI149" s="150"/>
      <c r="AJ149" s="150"/>
      <c r="AK149" s="150"/>
      <c r="AL149" s="150"/>
      <c r="AM149" s="150"/>
      <c r="AN149" s="150">
        <f t="shared" si="50"/>
        <v>44270</v>
      </c>
      <c r="AO149" s="150"/>
      <c r="AP149" s="45"/>
      <c r="AQ149" s="45"/>
    </row>
    <row r="150" spans="1:44" s="69" customFormat="1" hidden="1" x14ac:dyDescent="0.25">
      <c r="A150" s="48" t="s">
        <v>106</v>
      </c>
      <c r="B150" s="25"/>
      <c r="C150" s="47"/>
      <c r="D150" s="47"/>
      <c r="E150" s="47"/>
      <c r="F150" s="47"/>
      <c r="G150" s="47"/>
      <c r="H150" s="47"/>
      <c r="I150" s="47"/>
      <c r="J150" s="47"/>
      <c r="K150" s="47"/>
      <c r="L150" s="150">
        <f t="shared" ref="L150:AN150" si="51">L131-(7*5)</f>
        <v>43847</v>
      </c>
      <c r="M150" s="150">
        <f t="shared" si="51"/>
        <v>43855</v>
      </c>
      <c r="N150" s="150">
        <f t="shared" si="51"/>
        <v>43858</v>
      </c>
      <c r="O150" s="150">
        <f t="shared" si="51"/>
        <v>43860</v>
      </c>
      <c r="P150" s="150">
        <f t="shared" si="51"/>
        <v>43863</v>
      </c>
      <c r="Q150" s="150">
        <f t="shared" si="51"/>
        <v>43866</v>
      </c>
      <c r="R150" s="150">
        <f t="shared" si="51"/>
        <v>43869</v>
      </c>
      <c r="S150" s="150">
        <f t="shared" si="51"/>
        <v>43871</v>
      </c>
      <c r="T150" s="150">
        <f t="shared" si="51"/>
        <v>43873</v>
      </c>
      <c r="U150" s="150">
        <f t="shared" si="51"/>
        <v>43875</v>
      </c>
      <c r="V150" s="150">
        <f t="shared" si="51"/>
        <v>43877</v>
      </c>
      <c r="W150" s="150">
        <f t="shared" si="51"/>
        <v>43880</v>
      </c>
      <c r="X150" s="150">
        <f t="shared" si="51"/>
        <v>43883</v>
      </c>
      <c r="Y150" s="150">
        <f t="shared" si="51"/>
        <v>43888</v>
      </c>
      <c r="Z150" s="150">
        <f t="shared" si="51"/>
        <v>43897</v>
      </c>
      <c r="AA150" s="150"/>
      <c r="AB150" s="150"/>
      <c r="AC150" s="150"/>
      <c r="AD150" s="150">
        <f t="shared" si="51"/>
        <v>43929</v>
      </c>
      <c r="AE150" s="150">
        <f t="shared" si="51"/>
        <v>43961</v>
      </c>
      <c r="AF150" s="150">
        <f t="shared" si="51"/>
        <v>43993</v>
      </c>
      <c r="AG150" s="150">
        <f t="shared" si="51"/>
        <v>44025</v>
      </c>
      <c r="AH150" s="150">
        <f t="shared" si="51"/>
        <v>44057</v>
      </c>
      <c r="AI150" s="150"/>
      <c r="AJ150" s="150"/>
      <c r="AK150" s="150"/>
      <c r="AL150" s="150"/>
      <c r="AM150" s="150"/>
      <c r="AN150" s="150">
        <f t="shared" si="51"/>
        <v>44249</v>
      </c>
      <c r="AO150" s="150"/>
      <c r="AP150" s="45"/>
      <c r="AQ150" s="45"/>
    </row>
    <row r="151" spans="1:44" s="69" customFormat="1" hidden="1" x14ac:dyDescent="0.25">
      <c r="A151" s="48" t="s">
        <v>104</v>
      </c>
      <c r="B151" s="25"/>
      <c r="C151" s="47"/>
      <c r="D151" s="47"/>
      <c r="E151" s="47"/>
      <c r="F151" s="47"/>
      <c r="G151" s="47"/>
      <c r="H151" s="47"/>
      <c r="I151" s="47"/>
      <c r="J151" s="47"/>
      <c r="K151" s="47"/>
      <c r="L151" s="150">
        <f t="shared" ref="L151:AN151" si="52">L131-(6*7)</f>
        <v>43840</v>
      </c>
      <c r="M151" s="150">
        <f t="shared" si="52"/>
        <v>43848</v>
      </c>
      <c r="N151" s="150">
        <f t="shared" si="52"/>
        <v>43851</v>
      </c>
      <c r="O151" s="150">
        <f t="shared" si="52"/>
        <v>43853</v>
      </c>
      <c r="P151" s="150">
        <f t="shared" si="52"/>
        <v>43856</v>
      </c>
      <c r="Q151" s="150">
        <f t="shared" si="52"/>
        <v>43859</v>
      </c>
      <c r="R151" s="150">
        <f t="shared" si="52"/>
        <v>43862</v>
      </c>
      <c r="S151" s="150">
        <f t="shared" si="52"/>
        <v>43864</v>
      </c>
      <c r="T151" s="150">
        <f t="shared" si="52"/>
        <v>43866</v>
      </c>
      <c r="U151" s="150">
        <f t="shared" si="52"/>
        <v>43868</v>
      </c>
      <c r="V151" s="150">
        <f t="shared" si="52"/>
        <v>43870</v>
      </c>
      <c r="W151" s="150">
        <f t="shared" si="52"/>
        <v>43873</v>
      </c>
      <c r="X151" s="150">
        <f t="shared" si="52"/>
        <v>43876</v>
      </c>
      <c r="Y151" s="150">
        <f t="shared" si="52"/>
        <v>43881</v>
      </c>
      <c r="Z151" s="150">
        <f t="shared" si="52"/>
        <v>43890</v>
      </c>
      <c r="AA151" s="150"/>
      <c r="AB151" s="150"/>
      <c r="AC151" s="150"/>
      <c r="AD151" s="150">
        <f t="shared" si="52"/>
        <v>43922</v>
      </c>
      <c r="AE151" s="150">
        <f t="shared" si="52"/>
        <v>43954</v>
      </c>
      <c r="AF151" s="150">
        <f t="shared" si="52"/>
        <v>43986</v>
      </c>
      <c r="AG151" s="150">
        <f t="shared" si="52"/>
        <v>44018</v>
      </c>
      <c r="AH151" s="150">
        <f t="shared" si="52"/>
        <v>44050</v>
      </c>
      <c r="AI151" s="150"/>
      <c r="AJ151" s="150"/>
      <c r="AK151" s="150"/>
      <c r="AL151" s="150"/>
      <c r="AM151" s="150"/>
      <c r="AN151" s="150">
        <f t="shared" si="52"/>
        <v>44242</v>
      </c>
      <c r="AO151" s="150"/>
      <c r="AP151" s="45"/>
      <c r="AQ151" s="45"/>
    </row>
    <row r="153" spans="1:44" x14ac:dyDescent="0.25">
      <c r="A153" s="53" t="s">
        <v>48</v>
      </c>
      <c r="B153" s="15"/>
      <c r="C153" s="16"/>
      <c r="D153" s="16"/>
      <c r="E153" s="16"/>
      <c r="F153" s="16"/>
      <c r="G153" s="16"/>
      <c r="H153" s="16"/>
      <c r="I153" s="16"/>
      <c r="J153" s="16"/>
      <c r="K153" s="16"/>
    </row>
    <row r="154" spans="1:44" s="69" customFormat="1" x14ac:dyDescent="0.25">
      <c r="A154" s="143" t="s">
        <v>102</v>
      </c>
      <c r="B154" s="25"/>
      <c r="C154" s="47"/>
      <c r="D154" s="47"/>
      <c r="E154" s="47"/>
      <c r="F154" s="47"/>
      <c r="G154" s="47"/>
      <c r="H154" s="47"/>
      <c r="I154" s="47"/>
      <c r="J154" s="47"/>
      <c r="K154" s="47"/>
      <c r="L154" s="141">
        <f t="shared" ref="L154:AO154" si="53">(L131-$B$128)/7</f>
        <v>4.4285714285714288</v>
      </c>
      <c r="M154" s="141">
        <f t="shared" si="53"/>
        <v>5.5714285714285712</v>
      </c>
      <c r="N154" s="145">
        <f t="shared" si="53"/>
        <v>6</v>
      </c>
      <c r="O154" s="145">
        <f t="shared" si="53"/>
        <v>6.2857142857142856</v>
      </c>
      <c r="P154" s="141">
        <f t="shared" si="53"/>
        <v>6.7142857142857144</v>
      </c>
      <c r="Q154" s="145">
        <f t="shared" si="53"/>
        <v>7.1428571428571432</v>
      </c>
      <c r="R154" s="141">
        <f t="shared" si="53"/>
        <v>7.5714285714285712</v>
      </c>
      <c r="S154" s="145">
        <f t="shared" si="53"/>
        <v>7.8571428571428568</v>
      </c>
      <c r="T154" s="145">
        <f t="shared" si="53"/>
        <v>8.1428571428571423</v>
      </c>
      <c r="U154" s="142">
        <f t="shared" si="53"/>
        <v>8.4285714285714288</v>
      </c>
      <c r="V154" s="145">
        <f t="shared" si="53"/>
        <v>8.7142857142857135</v>
      </c>
      <c r="W154" s="145">
        <f t="shared" si="53"/>
        <v>9.1428571428571423</v>
      </c>
      <c r="X154" s="141">
        <f t="shared" si="53"/>
        <v>9.5714285714285712</v>
      </c>
      <c r="Y154" s="142">
        <f t="shared" si="53"/>
        <v>10.285714285714286</v>
      </c>
      <c r="Z154" s="142">
        <f t="shared" si="53"/>
        <v>11.571428571428571</v>
      </c>
      <c r="AA154" s="144">
        <f t="shared" ref="AA154:AC154" si="54">(AA131-$B$128)/7</f>
        <v>12.714285714285714</v>
      </c>
      <c r="AB154" s="144">
        <f t="shared" si="54"/>
        <v>13.400000000000416</v>
      </c>
      <c r="AC154" s="144">
        <f t="shared" si="54"/>
        <v>15</v>
      </c>
      <c r="AD154" s="144">
        <f t="shared" si="53"/>
        <v>16.142857142857142</v>
      </c>
      <c r="AE154" s="144">
        <f t="shared" si="53"/>
        <v>20.714285714285715</v>
      </c>
      <c r="AF154" s="142">
        <f t="shared" si="53"/>
        <v>25.285714285714285</v>
      </c>
      <c r="AG154" s="144">
        <f t="shared" si="53"/>
        <v>29.857142857142858</v>
      </c>
      <c r="AH154" s="141">
        <f t="shared" si="53"/>
        <v>34.428571428571431</v>
      </c>
      <c r="AI154" s="141">
        <f t="shared" ref="AI154:AM154" si="55">(AI131-$B$128)/7</f>
        <v>39</v>
      </c>
      <c r="AJ154" s="141">
        <f t="shared" si="55"/>
        <v>43.571428571428569</v>
      </c>
      <c r="AK154" s="141">
        <f t="shared" si="55"/>
        <v>48.142857142857146</v>
      </c>
      <c r="AL154" s="141">
        <f t="shared" si="55"/>
        <v>52.714285714285715</v>
      </c>
      <c r="AM154" s="141">
        <f t="shared" si="55"/>
        <v>57.285714285714285</v>
      </c>
      <c r="AN154" s="144">
        <f t="shared" si="53"/>
        <v>61.857142857142854</v>
      </c>
      <c r="AO154" s="144">
        <f t="shared" si="53"/>
        <v>69.857142857142861</v>
      </c>
    </row>
    <row r="155" spans="1:44" s="69" customFormat="1" x14ac:dyDescent="0.25">
      <c r="A155" s="143" t="s">
        <v>101</v>
      </c>
      <c r="B155" s="25"/>
      <c r="C155" s="47"/>
      <c r="D155" s="47"/>
      <c r="E155" s="47"/>
      <c r="F155" s="47"/>
      <c r="G155" s="47"/>
      <c r="H155" s="47"/>
      <c r="I155" s="47"/>
      <c r="J155" s="47"/>
      <c r="K155" s="47"/>
      <c r="L155" s="269">
        <f>L131-$B$128</f>
        <v>31</v>
      </c>
      <c r="M155" s="234">
        <f t="shared" ref="M155:Q155" si="56">M131-$B$128</f>
        <v>39</v>
      </c>
      <c r="N155" s="234">
        <f t="shared" si="56"/>
        <v>42</v>
      </c>
      <c r="O155" s="234">
        <f t="shared" si="56"/>
        <v>44</v>
      </c>
      <c r="P155" s="234">
        <f t="shared" si="56"/>
        <v>47</v>
      </c>
      <c r="Q155" s="234">
        <f t="shared" si="56"/>
        <v>50</v>
      </c>
      <c r="R155" s="234">
        <f>R131-$B$128</f>
        <v>53</v>
      </c>
      <c r="S155" s="234">
        <f t="shared" ref="S155:AO155" si="57">S131-$B$128</f>
        <v>55</v>
      </c>
      <c r="T155" s="234">
        <f t="shared" si="57"/>
        <v>57</v>
      </c>
      <c r="U155" s="234">
        <f t="shared" si="57"/>
        <v>59</v>
      </c>
      <c r="V155" s="234">
        <f t="shared" si="57"/>
        <v>61</v>
      </c>
      <c r="W155" s="234">
        <f t="shared" si="57"/>
        <v>64</v>
      </c>
      <c r="X155" s="234">
        <f t="shared" si="57"/>
        <v>67</v>
      </c>
      <c r="Y155" s="234">
        <f t="shared" si="57"/>
        <v>72</v>
      </c>
      <c r="Z155" s="234">
        <f t="shared" si="57"/>
        <v>81</v>
      </c>
      <c r="AA155" s="234">
        <f t="shared" ref="AA155:AC155" si="58">AA131-$B$128</f>
        <v>89</v>
      </c>
      <c r="AB155" s="234">
        <f t="shared" si="58"/>
        <v>93.80000000000291</v>
      </c>
      <c r="AC155" s="234">
        <f t="shared" si="58"/>
        <v>105</v>
      </c>
      <c r="AD155" s="234">
        <f t="shared" si="57"/>
        <v>113</v>
      </c>
      <c r="AE155" s="234">
        <f t="shared" si="57"/>
        <v>145</v>
      </c>
      <c r="AF155" s="234">
        <f t="shared" si="57"/>
        <v>177</v>
      </c>
      <c r="AG155" s="234">
        <f t="shared" si="57"/>
        <v>209</v>
      </c>
      <c r="AH155" s="235">
        <f t="shared" si="57"/>
        <v>241</v>
      </c>
      <c r="AI155" s="262">
        <f t="shared" ref="AI155:AM155" si="59">AI131-$B$128</f>
        <v>273</v>
      </c>
      <c r="AJ155" s="191">
        <f t="shared" si="59"/>
        <v>305</v>
      </c>
      <c r="AK155" s="191">
        <f t="shared" si="59"/>
        <v>337</v>
      </c>
      <c r="AL155" s="191">
        <f t="shared" si="59"/>
        <v>369</v>
      </c>
      <c r="AM155" s="191">
        <f t="shared" si="59"/>
        <v>401</v>
      </c>
      <c r="AN155" s="191">
        <f t="shared" si="57"/>
        <v>433</v>
      </c>
      <c r="AO155" s="191">
        <f t="shared" si="57"/>
        <v>489</v>
      </c>
    </row>
    <row r="156" spans="1:44" x14ac:dyDescent="0.25">
      <c r="A156" s="41" t="s">
        <v>42</v>
      </c>
      <c r="B156" s="16"/>
      <c r="C156" s="16"/>
      <c r="D156" s="16"/>
      <c r="E156" s="16"/>
      <c r="F156" s="16"/>
      <c r="G156" s="16"/>
      <c r="H156" s="16"/>
      <c r="I156" s="16"/>
      <c r="J156" s="16"/>
      <c r="K156" s="16"/>
      <c r="L156" s="146">
        <v>35</v>
      </c>
      <c r="M156" s="147">
        <v>68</v>
      </c>
      <c r="N156" s="148">
        <v>124</v>
      </c>
      <c r="O156" s="148">
        <v>221</v>
      </c>
      <c r="P156" s="148">
        <v>541</v>
      </c>
      <c r="Q156" s="148">
        <v>1301</v>
      </c>
      <c r="R156" s="148">
        <v>2770</v>
      </c>
      <c r="S156" s="148">
        <v>4596</v>
      </c>
      <c r="T156" s="148">
        <v>9296</v>
      </c>
      <c r="U156" s="148">
        <v>19497</v>
      </c>
      <c r="V156" s="148">
        <v>33745</v>
      </c>
      <c r="W156" s="148">
        <v>68673</v>
      </c>
      <c r="X156" s="148">
        <v>124256</v>
      </c>
      <c r="Y156" s="148">
        <v>246729</v>
      </c>
      <c r="Z156" s="148">
        <v>536145</v>
      </c>
      <c r="AA156" s="148">
        <v>764671</v>
      </c>
      <c r="AB156" s="148">
        <v>886274</v>
      </c>
      <c r="AC156" s="183">
        <v>962560</v>
      </c>
      <c r="AD156" s="183">
        <f>Z156*2</f>
        <v>1072290</v>
      </c>
      <c r="AE156" s="183">
        <f t="shared" ref="AE156:AH156" si="60">AD156*2</f>
        <v>2144580</v>
      </c>
      <c r="AF156" s="183">
        <f t="shared" si="60"/>
        <v>4289160</v>
      </c>
      <c r="AG156" s="183">
        <f t="shared" si="60"/>
        <v>8578320</v>
      </c>
      <c r="AH156" s="183">
        <f t="shared" si="60"/>
        <v>17156640</v>
      </c>
      <c r="AI156" s="187">
        <f t="shared" ref="AI156" si="61">AH156*2</f>
        <v>34313280</v>
      </c>
      <c r="AJ156" s="187">
        <f t="shared" ref="AJ156" si="62">AI156*2</f>
        <v>68626560</v>
      </c>
      <c r="AK156" s="187">
        <f t="shared" ref="AK156" si="63">AJ156*2</f>
        <v>137253120</v>
      </c>
      <c r="AL156" s="187">
        <f t="shared" ref="AL156" si="64">AK156*2</f>
        <v>274506240</v>
      </c>
      <c r="AM156" s="187">
        <f t="shared" ref="AM156" si="65">AL156*2</f>
        <v>549012480</v>
      </c>
      <c r="AN156" s="187">
        <f>AN132</f>
        <v>330565500</v>
      </c>
      <c r="AO156" s="188">
        <f>AN132</f>
        <v>330565500</v>
      </c>
    </row>
    <row r="157" spans="1:44" x14ac:dyDescent="0.25">
      <c r="A157" s="41" t="s">
        <v>157</v>
      </c>
      <c r="B157" s="16"/>
      <c r="C157" s="16"/>
      <c r="D157" s="16"/>
      <c r="E157" s="16"/>
      <c r="F157" s="16"/>
      <c r="G157" s="16"/>
      <c r="H157" s="16"/>
      <c r="I157" s="16"/>
      <c r="J157" s="16"/>
      <c r="K157" s="16"/>
      <c r="L157" s="194">
        <f>(L131-B128)/(LOG(L156/1)/LOG(2))</f>
        <v>6.0437296787073755</v>
      </c>
      <c r="M157" s="174">
        <f>(M131-$L$131)/(LOG(M156/$L$156)/LOG(2))</f>
        <v>8.3491634837954933</v>
      </c>
      <c r="N157" s="174">
        <f t="shared" ref="N157:AO157" si="66">(N131-$L$131)/(LOG(N156/$L$156)/LOG(2))</f>
        <v>6.0276836381926202</v>
      </c>
      <c r="O157" s="174">
        <f t="shared" si="66"/>
        <v>4.8897556767514709</v>
      </c>
      <c r="P157" s="174">
        <f t="shared" si="66"/>
        <v>4.0504260147273037</v>
      </c>
      <c r="Q157" s="174">
        <f t="shared" si="66"/>
        <v>3.6425526786068976</v>
      </c>
      <c r="R157" s="174">
        <f t="shared" si="66"/>
        <v>3.4885266554096432</v>
      </c>
      <c r="S157" s="174">
        <f t="shared" si="66"/>
        <v>3.4106023942314652</v>
      </c>
      <c r="T157" s="174">
        <f t="shared" si="66"/>
        <v>3.2285658193110911</v>
      </c>
      <c r="U157" s="174">
        <f t="shared" si="66"/>
        <v>3.0696094738227448</v>
      </c>
      <c r="V157" s="174">
        <f t="shared" si="66"/>
        <v>3.0262975828994785</v>
      </c>
      <c r="W157" s="174">
        <f t="shared" si="66"/>
        <v>3.0169573981449558</v>
      </c>
      <c r="X157" s="174">
        <f t="shared" si="66"/>
        <v>3.0524841647231944</v>
      </c>
      <c r="Y157" s="174">
        <f t="shared" si="66"/>
        <v>3.2073133617644127</v>
      </c>
      <c r="Z157" s="174">
        <f t="shared" si="66"/>
        <v>3.5963511082068584</v>
      </c>
      <c r="AA157" s="174">
        <f t="shared" si="66"/>
        <v>4.0235316613608498</v>
      </c>
      <c r="AB157" s="174">
        <f t="shared" si="66"/>
        <v>4.2931040944474539</v>
      </c>
      <c r="AC157" s="184">
        <f t="shared" si="66"/>
        <v>5.0178901584635422</v>
      </c>
      <c r="AD157" s="184">
        <f t="shared" ref="AD157" si="67">(AD131-$L$131)/(LOG(AD156/$L$156)/LOG(2))</f>
        <v>5.5022550001133599</v>
      </c>
      <c r="AE157" s="184">
        <f t="shared" si="66"/>
        <v>7.1684674870620233</v>
      </c>
      <c r="AF157" s="184">
        <f t="shared" si="66"/>
        <v>8.6375298360756059</v>
      </c>
      <c r="AG157" s="184">
        <f t="shared" si="66"/>
        <v>9.942478468527483</v>
      </c>
      <c r="AH157" s="184">
        <f t="shared" si="66"/>
        <v>11.109359073076238</v>
      </c>
      <c r="AI157" s="189">
        <f t="shared" ref="AI157" si="68">(AI131-$L$131)/(LOG(AI156/$L$156)/LOG(2))</f>
        <v>12.158982808122188</v>
      </c>
      <c r="AJ157" s="189">
        <f t="shared" ref="AJ157" si="69">(AJ131-$L$131)/(LOG(AJ156/$L$156)/LOG(2))</f>
        <v>13.108178403203038</v>
      </c>
      <c r="AK157" s="189">
        <f t="shared" ref="AK157" si="70">(AK131-$L$131)/(LOG(AK156/$L$156)/LOG(2))</f>
        <v>13.970701265594395</v>
      </c>
      <c r="AL157" s="189">
        <f t="shared" ref="AL157" si="71">(AL131-$L$131)/(LOG(AL156/$L$156)/LOG(2))</f>
        <v>14.757904424040653</v>
      </c>
      <c r="AM157" s="189">
        <f t="shared" ref="AM157" si="72">(AM131-$L$131)/(LOG(AM156/$L$156)/LOG(2))</f>
        <v>15.479241055733267</v>
      </c>
      <c r="AN157" s="189">
        <f t="shared" si="66"/>
        <v>17.349214466427465</v>
      </c>
      <c r="AO157" s="190">
        <f t="shared" si="66"/>
        <v>19.766020461750696</v>
      </c>
    </row>
    <row r="158" spans="1:44" x14ac:dyDescent="0.25">
      <c r="A158" s="41" t="s">
        <v>195</v>
      </c>
      <c r="B158" s="16"/>
      <c r="C158" s="16"/>
      <c r="D158" s="16"/>
      <c r="E158" s="16"/>
      <c r="F158" s="16"/>
      <c r="G158" s="16"/>
      <c r="H158" s="16"/>
      <c r="I158" s="16"/>
      <c r="J158" s="16"/>
      <c r="K158" s="16"/>
      <c r="L158" s="266">
        <v>29</v>
      </c>
      <c r="M158" s="263">
        <v>60</v>
      </c>
      <c r="N158" s="263">
        <v>106</v>
      </c>
      <c r="O158" s="263">
        <v>200</v>
      </c>
      <c r="P158" s="263">
        <v>504</v>
      </c>
      <c r="Q158" s="263">
        <v>1248</v>
      </c>
      <c r="R158" s="263">
        <v>2664</v>
      </c>
      <c r="S158" s="263">
        <v>4434</v>
      </c>
      <c r="T158" s="263">
        <v>9032</v>
      </c>
      <c r="U158" s="263">
        <v>19092</v>
      </c>
      <c r="V158" s="263">
        <v>33150</v>
      </c>
      <c r="W158" s="263">
        <v>67231</v>
      </c>
      <c r="X158" s="263">
        <v>118766</v>
      </c>
      <c r="Y158" s="263">
        <v>230155</v>
      </c>
      <c r="Z158" s="263">
        <v>481849</v>
      </c>
      <c r="AA158" s="263">
        <v>652909</v>
      </c>
      <c r="AB158" s="263">
        <v>750118</v>
      </c>
      <c r="AC158" s="267"/>
      <c r="AD158" s="267"/>
      <c r="AE158" s="267"/>
      <c r="AF158" s="267"/>
      <c r="AG158" s="267"/>
      <c r="AH158" s="267"/>
      <c r="AI158" s="189"/>
      <c r="AJ158" s="189"/>
      <c r="AK158" s="189"/>
      <c r="AL158" s="189"/>
      <c r="AM158" s="189"/>
      <c r="AN158" s="189"/>
      <c r="AO158" s="190"/>
    </row>
    <row r="159" spans="1:44" x14ac:dyDescent="0.25">
      <c r="A159" s="41" t="s">
        <v>63</v>
      </c>
      <c r="B159" s="16"/>
      <c r="C159" s="16"/>
      <c r="D159" s="16"/>
      <c r="E159" s="16"/>
      <c r="F159" s="16"/>
      <c r="G159" s="16"/>
      <c r="H159" s="16"/>
      <c r="I159" s="16"/>
      <c r="J159" s="16"/>
      <c r="K159" s="16"/>
      <c r="L159" s="233">
        <f>L156-L160-L158</f>
        <v>6</v>
      </c>
      <c r="M159" s="149">
        <f t="shared" ref="M159:AA159" si="73">M156-M160-M158</f>
        <v>7</v>
      </c>
      <c r="N159" s="149">
        <f t="shared" si="73"/>
        <v>9</v>
      </c>
      <c r="O159" s="149">
        <f t="shared" si="73"/>
        <v>9</v>
      </c>
      <c r="P159" s="149">
        <f t="shared" si="73"/>
        <v>15</v>
      </c>
      <c r="Q159" s="149">
        <f t="shared" si="73"/>
        <v>15</v>
      </c>
      <c r="R159" s="149">
        <f t="shared" si="73"/>
        <v>49</v>
      </c>
      <c r="S159" s="149">
        <f t="shared" si="73"/>
        <v>75</v>
      </c>
      <c r="T159" s="149">
        <f t="shared" si="73"/>
        <v>114</v>
      </c>
      <c r="U159" s="149">
        <f t="shared" si="73"/>
        <v>150</v>
      </c>
      <c r="V159" s="149">
        <f t="shared" si="73"/>
        <v>181</v>
      </c>
      <c r="W159" s="149">
        <f t="shared" si="73"/>
        <v>414</v>
      </c>
      <c r="X159" s="149">
        <f t="shared" si="73"/>
        <v>3268</v>
      </c>
      <c r="Y159" s="149">
        <f t="shared" si="73"/>
        <v>10486</v>
      </c>
      <c r="Z159" s="149">
        <f t="shared" si="73"/>
        <v>30453</v>
      </c>
      <c r="AA159" s="149">
        <f t="shared" si="73"/>
        <v>71187</v>
      </c>
      <c r="AB159" s="149">
        <f t="shared" ref="AB159" si="74">AB156-AB160-AB158</f>
        <v>85262</v>
      </c>
      <c r="AC159" s="253"/>
      <c r="AD159" s="253"/>
      <c r="AE159" s="253"/>
      <c r="AF159" s="185"/>
      <c r="AG159" s="185"/>
      <c r="AH159" s="185"/>
      <c r="AI159" s="187"/>
      <c r="AJ159" s="107"/>
      <c r="AK159" s="107"/>
      <c r="AL159" s="107"/>
      <c r="AM159" s="107"/>
      <c r="AN159" s="107"/>
      <c r="AO159" s="108"/>
    </row>
    <row r="160" spans="1:44" x14ac:dyDescent="0.25">
      <c r="A160" s="49" t="s">
        <v>43</v>
      </c>
      <c r="B160" s="38"/>
      <c r="C160" s="39"/>
      <c r="D160" s="39"/>
      <c r="E160" s="39"/>
      <c r="F160" s="39"/>
      <c r="G160" s="39"/>
      <c r="H160" s="39"/>
      <c r="I160" s="39"/>
      <c r="J160" s="39"/>
      <c r="K160" s="39"/>
      <c r="L160" s="67">
        <v>0</v>
      </c>
      <c r="M160" s="68">
        <v>1</v>
      </c>
      <c r="N160" s="52">
        <v>9</v>
      </c>
      <c r="O160" s="52">
        <v>12</v>
      </c>
      <c r="P160" s="52">
        <v>22</v>
      </c>
      <c r="Q160" s="52">
        <v>38</v>
      </c>
      <c r="R160" s="52">
        <v>57</v>
      </c>
      <c r="S160" s="52">
        <v>87</v>
      </c>
      <c r="T160" s="52">
        <v>150</v>
      </c>
      <c r="U160" s="52">
        <v>255</v>
      </c>
      <c r="V160" s="52">
        <v>414</v>
      </c>
      <c r="W160" s="52">
        <v>1028</v>
      </c>
      <c r="X160" s="52">
        <v>2222</v>
      </c>
      <c r="Y160" s="52">
        <v>6088</v>
      </c>
      <c r="Z160" s="52">
        <v>23843</v>
      </c>
      <c r="AA160" s="52">
        <v>40575</v>
      </c>
      <c r="AB160" s="52">
        <v>50894</v>
      </c>
      <c r="AC160" s="254"/>
      <c r="AD160" s="254"/>
      <c r="AE160" s="254"/>
      <c r="AF160" s="186"/>
      <c r="AG160" s="186"/>
      <c r="AH160" s="186"/>
      <c r="AI160" s="187"/>
      <c r="AJ160" s="107"/>
      <c r="AK160" s="107"/>
      <c r="AL160" s="107"/>
      <c r="AM160" s="107"/>
      <c r="AN160" s="107"/>
      <c r="AO160" s="108"/>
    </row>
    <row r="161" spans="1:41" x14ac:dyDescent="0.25">
      <c r="B161" s="3"/>
      <c r="L161" s="35"/>
      <c r="M161" s="35"/>
      <c r="N161" s="35"/>
      <c r="O161" s="35"/>
      <c r="P161" s="35"/>
      <c r="Q161" s="35"/>
      <c r="R161" s="35"/>
      <c r="S161" s="35"/>
      <c r="T161" s="35"/>
      <c r="U161" s="35"/>
      <c r="V161" s="35"/>
      <c r="W161" s="35"/>
      <c r="X161" s="35"/>
      <c r="Y161" s="35"/>
      <c r="Z161" s="35"/>
      <c r="AA161" s="35"/>
      <c r="AB161" s="35"/>
      <c r="AC161" s="35"/>
      <c r="AD161" s="35"/>
      <c r="AE161" s="35"/>
      <c r="AF161" s="35"/>
    </row>
    <row r="162" spans="1:41" x14ac:dyDescent="0.25">
      <c r="A162" s="74" t="s">
        <v>49</v>
      </c>
      <c r="AF162" s="16"/>
    </row>
    <row r="163" spans="1:41" x14ac:dyDescent="0.25">
      <c r="A163" s="4" t="s">
        <v>0</v>
      </c>
      <c r="B163" s="193" t="s">
        <v>118</v>
      </c>
      <c r="C163" s="5" t="s">
        <v>3</v>
      </c>
      <c r="D163" s="193" t="s">
        <v>51</v>
      </c>
      <c r="E163" s="58" t="s">
        <v>2</v>
      </c>
      <c r="F163" s="9" t="s">
        <v>3</v>
      </c>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5"/>
      <c r="AO163" s="47"/>
    </row>
    <row r="164" spans="1:41" x14ac:dyDescent="0.25">
      <c r="A164" s="41" t="s">
        <v>12</v>
      </c>
      <c r="B164" s="13">
        <f>'Population by Age - Wikipedia'!D41</f>
        <v>3.6394890344941602E-2</v>
      </c>
      <c r="C164" s="12">
        <f>$B$118*B164</f>
        <v>12030895.124320794</v>
      </c>
      <c r="D164" s="22">
        <f>'AU Infection Rate by Age'!C4</f>
        <v>2.8847876724601325E-2</v>
      </c>
      <c r="E164" s="5"/>
      <c r="F164" s="16"/>
      <c r="G164" s="16"/>
      <c r="H164" s="16"/>
      <c r="I164" s="16"/>
      <c r="J164" s="16"/>
      <c r="K164" s="16"/>
      <c r="L164" s="18">
        <f t="shared" ref="L164:AN164" si="75">L$132*$D$164</f>
        <v>0.90149614764379138</v>
      </c>
      <c r="M164" s="19">
        <f t="shared" si="75"/>
        <v>1.8029922952875828</v>
      </c>
      <c r="N164" s="19">
        <f t="shared" si="75"/>
        <v>3.6059845905751655</v>
      </c>
      <c r="O164" s="19">
        <f t="shared" si="75"/>
        <v>7.211969181150331</v>
      </c>
      <c r="P164" s="19">
        <f t="shared" si="75"/>
        <v>14.423938362300662</v>
      </c>
      <c r="Q164" s="19">
        <f t="shared" si="75"/>
        <v>28.847876724601324</v>
      </c>
      <c r="R164" s="19">
        <f t="shared" si="75"/>
        <v>57.695753449202648</v>
      </c>
      <c r="S164" s="19">
        <f t="shared" si="75"/>
        <v>115.3915068984053</v>
      </c>
      <c r="T164" s="19">
        <f t="shared" si="75"/>
        <v>230.78301379681059</v>
      </c>
      <c r="U164" s="19">
        <f t="shared" si="75"/>
        <v>461.56602759362119</v>
      </c>
      <c r="V164" s="19">
        <f t="shared" si="75"/>
        <v>923.13205518724237</v>
      </c>
      <c r="W164" s="19">
        <f t="shared" si="75"/>
        <v>1846.2641103744847</v>
      </c>
      <c r="X164" s="19">
        <f t="shared" si="75"/>
        <v>3692.5282207489695</v>
      </c>
      <c r="Y164" s="19">
        <f t="shared" si="75"/>
        <v>7385.056441497939</v>
      </c>
      <c r="Z164" s="19">
        <f t="shared" si="75"/>
        <v>14770.112882995878</v>
      </c>
      <c r="AA164" s="19">
        <f t="shared" si="75"/>
        <v>22155.169324493818</v>
      </c>
      <c r="AB164" s="19">
        <f t="shared" si="75"/>
        <v>25847.697545242787</v>
      </c>
      <c r="AC164" s="19">
        <f t="shared" si="75"/>
        <v>27767.81222003225</v>
      </c>
      <c r="AD164" s="19">
        <f t="shared" si="75"/>
        <v>29540.225765991756</v>
      </c>
      <c r="AE164" s="19">
        <f t="shared" si="75"/>
        <v>59080.451531983512</v>
      </c>
      <c r="AF164" s="19">
        <f t="shared" si="75"/>
        <v>118160.90306396702</v>
      </c>
      <c r="AG164" s="19">
        <f t="shared" si="75"/>
        <v>236321.80612793405</v>
      </c>
      <c r="AH164" s="19">
        <f t="shared" si="75"/>
        <v>472643.61225586809</v>
      </c>
      <c r="AI164" s="18">
        <f t="shared" si="75"/>
        <v>945287.22451173619</v>
      </c>
      <c r="AJ164" s="19">
        <f t="shared" si="75"/>
        <v>1890574.4490234724</v>
      </c>
      <c r="AK164" s="19">
        <f t="shared" si="75"/>
        <v>3781148.8980469448</v>
      </c>
      <c r="AL164" s="19">
        <f t="shared" si="75"/>
        <v>7562297.7960938895</v>
      </c>
      <c r="AM164" s="19">
        <f t="shared" si="75"/>
        <v>9536112.7934061997</v>
      </c>
      <c r="AN164" s="60">
        <f t="shared" si="75"/>
        <v>9536112.7934061997</v>
      </c>
      <c r="AO164" s="45"/>
    </row>
    <row r="165" spans="1:41" x14ac:dyDescent="0.25">
      <c r="A165" s="41"/>
      <c r="B165" s="6"/>
      <c r="C165" s="10"/>
      <c r="D165" s="8"/>
      <c r="E165" s="27">
        <v>0.14799999999999999</v>
      </c>
      <c r="F165" s="10"/>
      <c r="G165" s="10"/>
      <c r="H165" s="10"/>
      <c r="I165" s="10"/>
      <c r="J165" s="10"/>
      <c r="K165" s="10"/>
      <c r="L165" s="29">
        <f t="shared" ref="L165:AN165" si="76">L$132*$D$164*$E$165</f>
        <v>0.13342142985128111</v>
      </c>
      <c r="M165" s="30">
        <f t="shared" si="76"/>
        <v>0.26684285970256222</v>
      </c>
      <c r="N165" s="30">
        <f t="shared" si="76"/>
        <v>0.53368571940512444</v>
      </c>
      <c r="O165" s="30">
        <f t="shared" si="76"/>
        <v>1.0673714388102489</v>
      </c>
      <c r="P165" s="30">
        <f t="shared" si="76"/>
        <v>2.1347428776204977</v>
      </c>
      <c r="Q165" s="30">
        <f t="shared" si="76"/>
        <v>4.2694857552409955</v>
      </c>
      <c r="R165" s="30">
        <f t="shared" si="76"/>
        <v>8.538971510481991</v>
      </c>
      <c r="S165" s="30">
        <f t="shared" si="76"/>
        <v>17.077943020963982</v>
      </c>
      <c r="T165" s="30">
        <f t="shared" si="76"/>
        <v>34.155886041927964</v>
      </c>
      <c r="U165" s="30">
        <f t="shared" si="76"/>
        <v>68.311772083855928</v>
      </c>
      <c r="V165" s="30">
        <f t="shared" si="76"/>
        <v>136.62354416771186</v>
      </c>
      <c r="W165" s="30">
        <f t="shared" si="76"/>
        <v>273.24708833542371</v>
      </c>
      <c r="X165" s="30">
        <f t="shared" si="76"/>
        <v>546.49417667084742</v>
      </c>
      <c r="Y165" s="30">
        <f t="shared" si="76"/>
        <v>1092.9883533416948</v>
      </c>
      <c r="Z165" s="30">
        <f t="shared" si="76"/>
        <v>2185.9767066833897</v>
      </c>
      <c r="AA165" s="30">
        <f t="shared" si="76"/>
        <v>3278.9650600250848</v>
      </c>
      <c r="AB165" s="30">
        <f t="shared" si="76"/>
        <v>3825.4592366959323</v>
      </c>
      <c r="AC165" s="30">
        <f t="shared" si="76"/>
        <v>4109.6362085647725</v>
      </c>
      <c r="AD165" s="30">
        <f t="shared" si="76"/>
        <v>4371.9534133667794</v>
      </c>
      <c r="AE165" s="30">
        <f t="shared" si="76"/>
        <v>8743.9068267335588</v>
      </c>
      <c r="AF165" s="30">
        <f t="shared" si="76"/>
        <v>17487.813653467118</v>
      </c>
      <c r="AG165" s="30">
        <f t="shared" si="76"/>
        <v>34975.627306934235</v>
      </c>
      <c r="AH165" s="30">
        <f t="shared" si="76"/>
        <v>69951.25461386847</v>
      </c>
      <c r="AI165" s="29">
        <f t="shared" si="76"/>
        <v>139902.50922773694</v>
      </c>
      <c r="AJ165" s="30">
        <f t="shared" si="76"/>
        <v>279805.01845547388</v>
      </c>
      <c r="AK165" s="30">
        <f t="shared" si="76"/>
        <v>559610.03691094776</v>
      </c>
      <c r="AL165" s="30">
        <f t="shared" si="76"/>
        <v>1119220.0738218955</v>
      </c>
      <c r="AM165" s="30">
        <f t="shared" si="76"/>
        <v>1411344.6934241175</v>
      </c>
      <c r="AN165" s="71">
        <f t="shared" si="76"/>
        <v>1411344.6934241175</v>
      </c>
      <c r="AO165" s="45"/>
    </row>
    <row r="166" spans="1:41" x14ac:dyDescent="0.25">
      <c r="A166" s="41" t="s">
        <v>13</v>
      </c>
      <c r="B166" s="6">
        <f>'Population by Age - Wikipedia'!D37</f>
        <v>5.3752877231864643E-2</v>
      </c>
      <c r="C166" s="10">
        <f t="shared" ref="C166:C180" si="77">$B$118*B166</f>
        <v>17768846.73858995</v>
      </c>
      <c r="D166" s="23">
        <f>'AU Infection Rate by Age'!C5</f>
        <v>0.10661171833004837</v>
      </c>
      <c r="E166" s="17"/>
      <c r="F166" s="16"/>
      <c r="G166" s="16"/>
      <c r="H166" s="16"/>
      <c r="I166" s="16"/>
      <c r="J166" s="16"/>
      <c r="K166" s="16"/>
      <c r="L166" s="20">
        <f t="shared" ref="L166:AN166" si="78">L$132*$D$166</f>
        <v>3.3316161978140117</v>
      </c>
      <c r="M166" s="21">
        <f t="shared" si="78"/>
        <v>6.6632323956280235</v>
      </c>
      <c r="N166" s="21">
        <f t="shared" si="78"/>
        <v>13.326464791256047</v>
      </c>
      <c r="O166" s="21">
        <f t="shared" si="78"/>
        <v>26.652929582512094</v>
      </c>
      <c r="P166" s="21">
        <f t="shared" si="78"/>
        <v>53.305859165024188</v>
      </c>
      <c r="Q166" s="21">
        <f t="shared" si="78"/>
        <v>106.61171833004838</v>
      </c>
      <c r="R166" s="21">
        <f t="shared" si="78"/>
        <v>213.22343666009675</v>
      </c>
      <c r="S166" s="21">
        <f t="shared" si="78"/>
        <v>426.4468733201935</v>
      </c>
      <c r="T166" s="21">
        <f t="shared" si="78"/>
        <v>852.89374664038701</v>
      </c>
      <c r="U166" s="21">
        <f t="shared" si="78"/>
        <v>1705.787493280774</v>
      </c>
      <c r="V166" s="21">
        <f t="shared" si="78"/>
        <v>3411.574986561548</v>
      </c>
      <c r="W166" s="21">
        <f t="shared" si="78"/>
        <v>6823.1499731230961</v>
      </c>
      <c r="X166" s="21">
        <f t="shared" si="78"/>
        <v>13646.299946246192</v>
      </c>
      <c r="Y166" s="21">
        <f t="shared" si="78"/>
        <v>27292.599892492384</v>
      </c>
      <c r="Z166" s="21">
        <f t="shared" si="78"/>
        <v>54585.199784984768</v>
      </c>
      <c r="AA166" s="21">
        <f t="shared" si="78"/>
        <v>81877.799677477145</v>
      </c>
      <c r="AB166" s="21">
        <f t="shared" si="78"/>
        <v>95524.099623723334</v>
      </c>
      <c r="AC166" s="21">
        <f t="shared" si="78"/>
        <v>102620.17559577136</v>
      </c>
      <c r="AD166" s="21">
        <f t="shared" si="78"/>
        <v>109170.39956996954</v>
      </c>
      <c r="AE166" s="21">
        <f t="shared" si="78"/>
        <v>218340.79913993907</v>
      </c>
      <c r="AF166" s="21">
        <f t="shared" si="78"/>
        <v>436681.59827987815</v>
      </c>
      <c r="AG166" s="21">
        <f t="shared" si="78"/>
        <v>873363.1965597563</v>
      </c>
      <c r="AH166" s="21">
        <f t="shared" si="78"/>
        <v>1746726.3931195126</v>
      </c>
      <c r="AI166" s="20">
        <f t="shared" si="78"/>
        <v>3493452.7862390252</v>
      </c>
      <c r="AJ166" s="21">
        <f t="shared" si="78"/>
        <v>6986905.5724780504</v>
      </c>
      <c r="AK166" s="21">
        <f t="shared" si="78"/>
        <v>13973811.144956101</v>
      </c>
      <c r="AL166" s="21">
        <f t="shared" si="78"/>
        <v>27947622.289912201</v>
      </c>
      <c r="AM166" s="21">
        <f t="shared" si="78"/>
        <v>35242155.975631602</v>
      </c>
      <c r="AN166" s="72">
        <f t="shared" si="78"/>
        <v>35242155.975631602</v>
      </c>
      <c r="AO166" s="45"/>
    </row>
    <row r="167" spans="1:41" x14ac:dyDescent="0.25">
      <c r="A167" s="41"/>
      <c r="B167" s="6"/>
      <c r="C167" s="10"/>
      <c r="D167" s="8"/>
      <c r="E167" s="27">
        <v>0.08</v>
      </c>
      <c r="F167" s="10"/>
      <c r="G167" s="10"/>
      <c r="H167" s="10"/>
      <c r="I167" s="10"/>
      <c r="J167" s="10"/>
      <c r="K167" s="10"/>
      <c r="L167" s="29">
        <f t="shared" ref="L167:AN167" si="79">L$132*$D$166*$E$167</f>
        <v>0.26652929582512097</v>
      </c>
      <c r="M167" s="30">
        <f t="shared" si="79"/>
        <v>0.53305859165024194</v>
      </c>
      <c r="N167" s="30">
        <f t="shared" si="79"/>
        <v>1.0661171833004839</v>
      </c>
      <c r="O167" s="30">
        <f t="shared" si="79"/>
        <v>2.1322343666009678</v>
      </c>
      <c r="P167" s="30">
        <f t="shared" si="79"/>
        <v>4.2644687332019355</v>
      </c>
      <c r="Q167" s="30">
        <f t="shared" si="79"/>
        <v>8.5289374664038711</v>
      </c>
      <c r="R167" s="30">
        <f t="shared" si="79"/>
        <v>17.057874932807742</v>
      </c>
      <c r="S167" s="30">
        <f t="shared" si="79"/>
        <v>34.115749865615484</v>
      </c>
      <c r="T167" s="30">
        <f t="shared" si="79"/>
        <v>68.231499731230969</v>
      </c>
      <c r="U167" s="30">
        <f t="shared" si="79"/>
        <v>136.46299946246194</v>
      </c>
      <c r="V167" s="30">
        <f t="shared" si="79"/>
        <v>272.92599892492387</v>
      </c>
      <c r="W167" s="30">
        <f t="shared" si="79"/>
        <v>545.85199784984775</v>
      </c>
      <c r="X167" s="30">
        <f t="shared" si="79"/>
        <v>1091.7039956996955</v>
      </c>
      <c r="Y167" s="30">
        <f t="shared" si="79"/>
        <v>2183.407991399391</v>
      </c>
      <c r="Z167" s="30">
        <f t="shared" si="79"/>
        <v>4366.815982798782</v>
      </c>
      <c r="AA167" s="30">
        <f t="shared" si="79"/>
        <v>6550.2239741981721</v>
      </c>
      <c r="AB167" s="30">
        <f t="shared" si="79"/>
        <v>7641.9279698978671</v>
      </c>
      <c r="AC167" s="30">
        <f t="shared" si="79"/>
        <v>8209.6140476617093</v>
      </c>
      <c r="AD167" s="30">
        <f t="shared" si="79"/>
        <v>8733.631965597564</v>
      </c>
      <c r="AE167" s="30">
        <f t="shared" si="79"/>
        <v>17467.263931195128</v>
      </c>
      <c r="AF167" s="30">
        <f t="shared" si="79"/>
        <v>34934.527862390256</v>
      </c>
      <c r="AG167" s="30">
        <f t="shared" si="79"/>
        <v>69869.055724780512</v>
      </c>
      <c r="AH167" s="30">
        <f t="shared" si="79"/>
        <v>139738.11144956102</v>
      </c>
      <c r="AI167" s="29">
        <f t="shared" si="79"/>
        <v>279476.22289912205</v>
      </c>
      <c r="AJ167" s="30">
        <f t="shared" si="79"/>
        <v>558952.44579824409</v>
      </c>
      <c r="AK167" s="30">
        <f t="shared" si="79"/>
        <v>1117904.8915964882</v>
      </c>
      <c r="AL167" s="30">
        <f t="shared" si="79"/>
        <v>2235809.7831929764</v>
      </c>
      <c r="AM167" s="30">
        <f t="shared" si="79"/>
        <v>2819372.4780505281</v>
      </c>
      <c r="AN167" s="71">
        <f t="shared" si="79"/>
        <v>2819372.4780505281</v>
      </c>
      <c r="AO167" s="45"/>
    </row>
    <row r="168" spans="1:41" x14ac:dyDescent="0.25">
      <c r="A168" s="41" t="s">
        <v>14</v>
      </c>
      <c r="B168" s="6">
        <f>'Population by Age - Wikipedia'!D33</f>
        <v>9.4748533661399834E-2</v>
      </c>
      <c r="C168" s="10">
        <f t="shared" si="77"/>
        <v>31320596.404047467</v>
      </c>
      <c r="D168" s="23">
        <f>'AU Infection Rate by Age'!C6</f>
        <v>0.16735352087439526</v>
      </c>
      <c r="E168" s="17"/>
      <c r="F168" s="10"/>
      <c r="G168" s="10"/>
      <c r="H168" s="10"/>
      <c r="I168" s="10"/>
      <c r="J168" s="10"/>
      <c r="K168" s="10"/>
      <c r="L168" s="20">
        <f t="shared" ref="L168:AN168" si="80">L$132*$D$168</f>
        <v>5.2297975273248518</v>
      </c>
      <c r="M168" s="21">
        <f t="shared" si="80"/>
        <v>10.459595054649704</v>
      </c>
      <c r="N168" s="21">
        <f t="shared" si="80"/>
        <v>20.919190109299407</v>
      </c>
      <c r="O168" s="21">
        <f t="shared" si="80"/>
        <v>41.838380218598815</v>
      </c>
      <c r="P168" s="21">
        <f t="shared" si="80"/>
        <v>83.676760437197629</v>
      </c>
      <c r="Q168" s="21">
        <f t="shared" si="80"/>
        <v>167.35352087439526</v>
      </c>
      <c r="R168" s="21">
        <f t="shared" si="80"/>
        <v>334.70704174879052</v>
      </c>
      <c r="S168" s="21">
        <f t="shared" si="80"/>
        <v>669.41408349758103</v>
      </c>
      <c r="T168" s="21">
        <f t="shared" si="80"/>
        <v>1338.8281669951621</v>
      </c>
      <c r="U168" s="21">
        <f t="shared" si="80"/>
        <v>2677.6563339903241</v>
      </c>
      <c r="V168" s="21">
        <f t="shared" si="80"/>
        <v>5355.3126679806483</v>
      </c>
      <c r="W168" s="21">
        <f t="shared" si="80"/>
        <v>10710.625335961297</v>
      </c>
      <c r="X168" s="21">
        <f t="shared" si="80"/>
        <v>21421.250671922593</v>
      </c>
      <c r="Y168" s="21">
        <f t="shared" si="80"/>
        <v>42842.501343845186</v>
      </c>
      <c r="Z168" s="21">
        <f t="shared" si="80"/>
        <v>85685.002687690372</v>
      </c>
      <c r="AA168" s="21">
        <f t="shared" si="80"/>
        <v>128527.50403153556</v>
      </c>
      <c r="AB168" s="21">
        <f t="shared" si="80"/>
        <v>149948.75470345814</v>
      </c>
      <c r="AC168" s="21">
        <f t="shared" si="80"/>
        <v>161087.8050528579</v>
      </c>
      <c r="AD168" s="21">
        <f t="shared" si="80"/>
        <v>171370.00537538074</v>
      </c>
      <c r="AE168" s="21">
        <f t="shared" si="80"/>
        <v>342740.01075076149</v>
      </c>
      <c r="AF168" s="21">
        <f t="shared" si="80"/>
        <v>685480.02150152298</v>
      </c>
      <c r="AG168" s="21">
        <f t="shared" si="80"/>
        <v>1370960.043003046</v>
      </c>
      <c r="AH168" s="21">
        <f t="shared" si="80"/>
        <v>2741920.0860060919</v>
      </c>
      <c r="AI168" s="20">
        <f t="shared" si="80"/>
        <v>5483840.1720121838</v>
      </c>
      <c r="AJ168" s="21">
        <f t="shared" si="80"/>
        <v>10967680.344024368</v>
      </c>
      <c r="AK168" s="21">
        <f t="shared" si="80"/>
        <v>21935360.688048735</v>
      </c>
      <c r="AL168" s="21">
        <f t="shared" si="80"/>
        <v>43870721.376097471</v>
      </c>
      <c r="AM168" s="21">
        <f t="shared" si="80"/>
        <v>55321300.304604903</v>
      </c>
      <c r="AN168" s="72">
        <f t="shared" si="80"/>
        <v>55321300.304604903</v>
      </c>
      <c r="AO168" s="45"/>
    </row>
    <row r="169" spans="1:41" x14ac:dyDescent="0.25">
      <c r="A169" s="41"/>
      <c r="B169" s="6"/>
      <c r="C169" s="10"/>
      <c r="D169" s="8"/>
      <c r="E169" s="27">
        <v>3.5999999999999997E-2</v>
      </c>
      <c r="F169" s="10"/>
      <c r="G169" s="10"/>
      <c r="H169" s="10"/>
      <c r="I169" s="10"/>
      <c r="J169" s="10"/>
      <c r="K169" s="10"/>
      <c r="L169" s="29">
        <f t="shared" ref="L169:AN169" si="81">L$132*$D$168*$E$169</f>
        <v>0.18827271098369466</v>
      </c>
      <c r="M169" s="30">
        <f t="shared" si="81"/>
        <v>0.37654542196738933</v>
      </c>
      <c r="N169" s="30">
        <f t="shared" si="81"/>
        <v>0.75309084393477865</v>
      </c>
      <c r="O169" s="30">
        <f t="shared" si="81"/>
        <v>1.5061816878695573</v>
      </c>
      <c r="P169" s="30">
        <f t="shared" si="81"/>
        <v>3.0123633757391146</v>
      </c>
      <c r="Q169" s="30">
        <f t="shared" si="81"/>
        <v>6.0247267514782292</v>
      </c>
      <c r="R169" s="30">
        <f t="shared" si="81"/>
        <v>12.049453502956458</v>
      </c>
      <c r="S169" s="30">
        <f t="shared" si="81"/>
        <v>24.098907005912917</v>
      </c>
      <c r="T169" s="30">
        <f t="shared" si="81"/>
        <v>48.197814011825834</v>
      </c>
      <c r="U169" s="30">
        <f t="shared" si="81"/>
        <v>96.395628023651668</v>
      </c>
      <c r="V169" s="30">
        <f t="shared" si="81"/>
        <v>192.79125604730334</v>
      </c>
      <c r="W169" s="30">
        <f t="shared" si="81"/>
        <v>385.58251209460667</v>
      </c>
      <c r="X169" s="30">
        <f t="shared" si="81"/>
        <v>771.16502418921334</v>
      </c>
      <c r="Y169" s="30">
        <f t="shared" si="81"/>
        <v>1542.3300483784267</v>
      </c>
      <c r="Z169" s="30">
        <f t="shared" si="81"/>
        <v>3084.6600967568534</v>
      </c>
      <c r="AA169" s="30">
        <f t="shared" si="81"/>
        <v>4626.9901451352798</v>
      </c>
      <c r="AB169" s="30">
        <f t="shared" si="81"/>
        <v>5398.1551693244928</v>
      </c>
      <c r="AC169" s="30">
        <f t="shared" si="81"/>
        <v>5799.1609819028845</v>
      </c>
      <c r="AD169" s="30">
        <f t="shared" si="81"/>
        <v>6169.3201935137067</v>
      </c>
      <c r="AE169" s="30">
        <f t="shared" si="81"/>
        <v>12338.640387027413</v>
      </c>
      <c r="AF169" s="30">
        <f t="shared" si="81"/>
        <v>24677.280774054827</v>
      </c>
      <c r="AG169" s="30">
        <f t="shared" si="81"/>
        <v>49354.561548109654</v>
      </c>
      <c r="AH169" s="30">
        <f t="shared" si="81"/>
        <v>98709.123096219308</v>
      </c>
      <c r="AI169" s="29">
        <f t="shared" si="81"/>
        <v>197418.24619243862</v>
      </c>
      <c r="AJ169" s="30">
        <f t="shared" si="81"/>
        <v>394836.49238487723</v>
      </c>
      <c r="AK169" s="30">
        <f t="shared" si="81"/>
        <v>789672.98476975446</v>
      </c>
      <c r="AL169" s="30">
        <f t="shared" si="81"/>
        <v>1579345.9695395089</v>
      </c>
      <c r="AM169" s="30">
        <f t="shared" si="81"/>
        <v>1991566.8109657764</v>
      </c>
      <c r="AN169" s="71">
        <f t="shared" si="81"/>
        <v>1991566.8109657764</v>
      </c>
      <c r="AO169" s="45"/>
    </row>
    <row r="170" spans="1:41" x14ac:dyDescent="0.25">
      <c r="A170" s="41" t="s">
        <v>15</v>
      </c>
      <c r="B170" s="6">
        <f>'Population by Age - Wikipedia'!D29</f>
        <v>0.13591428809571979</v>
      </c>
      <c r="C170" s="10">
        <f t="shared" si="77"/>
        <v>44928574.60150566</v>
      </c>
      <c r="D170" s="23">
        <f>'AU Infection Rate by Age'!C7</f>
        <v>0.15534850385235621</v>
      </c>
      <c r="E170" s="17"/>
      <c r="F170" s="10"/>
      <c r="G170" s="10"/>
      <c r="H170" s="10"/>
      <c r="I170" s="10"/>
      <c r="J170" s="10"/>
      <c r="K170" s="10"/>
      <c r="L170" s="20">
        <f t="shared" ref="L170:AN170" si="82">L$132*$D$170</f>
        <v>4.8546407453861313</v>
      </c>
      <c r="M170" s="21">
        <f t="shared" si="82"/>
        <v>9.7092814907722627</v>
      </c>
      <c r="N170" s="21">
        <f t="shared" si="82"/>
        <v>19.418562981544525</v>
      </c>
      <c r="O170" s="21">
        <f t="shared" si="82"/>
        <v>38.837125963089051</v>
      </c>
      <c r="P170" s="21">
        <f t="shared" si="82"/>
        <v>77.674251926178101</v>
      </c>
      <c r="Q170" s="21">
        <f t="shared" si="82"/>
        <v>155.3485038523562</v>
      </c>
      <c r="R170" s="21">
        <f t="shared" si="82"/>
        <v>310.69700770471241</v>
      </c>
      <c r="S170" s="21">
        <f t="shared" si="82"/>
        <v>621.39401540942481</v>
      </c>
      <c r="T170" s="21">
        <f t="shared" si="82"/>
        <v>1242.7880308188496</v>
      </c>
      <c r="U170" s="21">
        <f t="shared" si="82"/>
        <v>2485.5760616376992</v>
      </c>
      <c r="V170" s="21">
        <f t="shared" si="82"/>
        <v>4971.1521232753985</v>
      </c>
      <c r="W170" s="21">
        <f t="shared" si="82"/>
        <v>9942.304246550797</v>
      </c>
      <c r="X170" s="21">
        <f t="shared" si="82"/>
        <v>19884.608493101594</v>
      </c>
      <c r="Y170" s="21">
        <f t="shared" si="82"/>
        <v>39769.216986203188</v>
      </c>
      <c r="Z170" s="21">
        <f t="shared" si="82"/>
        <v>79538.433972406376</v>
      </c>
      <c r="AA170" s="21">
        <f t="shared" si="82"/>
        <v>119307.65095860958</v>
      </c>
      <c r="AB170" s="21">
        <f t="shared" si="82"/>
        <v>139192.25945171117</v>
      </c>
      <c r="AC170" s="21">
        <f t="shared" si="82"/>
        <v>149532.25586812399</v>
      </c>
      <c r="AD170" s="21">
        <f t="shared" si="82"/>
        <v>159076.86794481275</v>
      </c>
      <c r="AE170" s="21">
        <f t="shared" si="82"/>
        <v>318153.7358896255</v>
      </c>
      <c r="AF170" s="21">
        <f t="shared" si="82"/>
        <v>636307.47177925101</v>
      </c>
      <c r="AG170" s="21">
        <f t="shared" si="82"/>
        <v>1272614.943558502</v>
      </c>
      <c r="AH170" s="21">
        <f t="shared" si="82"/>
        <v>2545229.887117004</v>
      </c>
      <c r="AI170" s="20">
        <f t="shared" si="82"/>
        <v>5090459.774234008</v>
      </c>
      <c r="AJ170" s="21">
        <f t="shared" si="82"/>
        <v>10180919.548468016</v>
      </c>
      <c r="AK170" s="21">
        <f t="shared" si="82"/>
        <v>20361839.096936032</v>
      </c>
      <c r="AL170" s="21">
        <f t="shared" si="82"/>
        <v>40723678.193872064</v>
      </c>
      <c r="AM170" s="21">
        <f t="shared" si="82"/>
        <v>51352855.850206055</v>
      </c>
      <c r="AN170" s="72">
        <f t="shared" si="82"/>
        <v>51352855.850206055</v>
      </c>
      <c r="AO170" s="45"/>
    </row>
    <row r="171" spans="1:41" x14ac:dyDescent="0.25">
      <c r="A171" s="41"/>
      <c r="B171" s="6"/>
      <c r="C171" s="10"/>
      <c r="D171" s="8"/>
      <c r="E171" s="27">
        <v>1.2999999999999999E-2</v>
      </c>
      <c r="F171" s="10"/>
      <c r="G171" s="10"/>
      <c r="H171" s="10"/>
      <c r="I171" s="10"/>
      <c r="J171" s="10"/>
      <c r="K171" s="10"/>
      <c r="L171" s="29">
        <f t="shared" ref="L171:AN171" si="83">L$132*$D$170*$E$171</f>
        <v>6.3110329690019701E-2</v>
      </c>
      <c r="M171" s="30">
        <f t="shared" si="83"/>
        <v>0.1262206593800394</v>
      </c>
      <c r="N171" s="30">
        <f t="shared" si="83"/>
        <v>0.2524413187600788</v>
      </c>
      <c r="O171" s="30">
        <f t="shared" si="83"/>
        <v>0.50488263752015761</v>
      </c>
      <c r="P171" s="30">
        <f t="shared" si="83"/>
        <v>1.0097652750403152</v>
      </c>
      <c r="Q171" s="30">
        <f t="shared" si="83"/>
        <v>2.0195305500806304</v>
      </c>
      <c r="R171" s="30">
        <f t="shared" si="83"/>
        <v>4.0390611001612609</v>
      </c>
      <c r="S171" s="30">
        <f t="shared" si="83"/>
        <v>8.0781222003225217</v>
      </c>
      <c r="T171" s="30">
        <f t="shared" si="83"/>
        <v>16.156244400645043</v>
      </c>
      <c r="U171" s="30">
        <f t="shared" si="83"/>
        <v>32.312488801290087</v>
      </c>
      <c r="V171" s="30">
        <f t="shared" si="83"/>
        <v>64.624977602580174</v>
      </c>
      <c r="W171" s="30">
        <f t="shared" si="83"/>
        <v>129.24995520516035</v>
      </c>
      <c r="X171" s="30">
        <f t="shared" si="83"/>
        <v>258.49991041032069</v>
      </c>
      <c r="Y171" s="30">
        <f t="shared" si="83"/>
        <v>516.99982082064139</v>
      </c>
      <c r="Z171" s="30">
        <f t="shared" si="83"/>
        <v>1033.9996416412828</v>
      </c>
      <c r="AA171" s="30">
        <f t="shared" si="83"/>
        <v>1550.9994624619244</v>
      </c>
      <c r="AB171" s="30">
        <f t="shared" si="83"/>
        <v>1809.4993728722452</v>
      </c>
      <c r="AC171" s="30">
        <f t="shared" si="83"/>
        <v>1943.9193262856118</v>
      </c>
      <c r="AD171" s="30">
        <f t="shared" si="83"/>
        <v>2067.9992832825656</v>
      </c>
      <c r="AE171" s="30">
        <f t="shared" si="83"/>
        <v>4135.9985665651311</v>
      </c>
      <c r="AF171" s="30">
        <f t="shared" si="83"/>
        <v>8271.9971331302622</v>
      </c>
      <c r="AG171" s="30">
        <f t="shared" si="83"/>
        <v>16543.994266260524</v>
      </c>
      <c r="AH171" s="30">
        <f t="shared" si="83"/>
        <v>33087.988532521049</v>
      </c>
      <c r="AI171" s="29">
        <f t="shared" si="83"/>
        <v>66175.977065042098</v>
      </c>
      <c r="AJ171" s="30">
        <f t="shared" si="83"/>
        <v>132351.9541300842</v>
      </c>
      <c r="AK171" s="30">
        <f t="shared" si="83"/>
        <v>264703.90826016839</v>
      </c>
      <c r="AL171" s="30">
        <f t="shared" si="83"/>
        <v>529407.81652033678</v>
      </c>
      <c r="AM171" s="30">
        <f t="shared" si="83"/>
        <v>667587.12605267868</v>
      </c>
      <c r="AN171" s="71">
        <f t="shared" si="83"/>
        <v>667587.12605267868</v>
      </c>
      <c r="AO171" s="45"/>
    </row>
    <row r="172" spans="1:41" x14ac:dyDescent="0.25">
      <c r="A172" s="41" t="s">
        <v>16</v>
      </c>
      <c r="B172" s="6">
        <f>'Population by Age - Wikipedia'!D25</f>
        <v>0.14121517441978385</v>
      </c>
      <c r="C172" s="10">
        <f t="shared" si="77"/>
        <v>46680864.739663057</v>
      </c>
      <c r="D172" s="23">
        <f>'AU Infection Rate by Age'!C8</f>
        <v>0.12972585558143701</v>
      </c>
      <c r="E172" s="17"/>
      <c r="F172" s="10"/>
      <c r="G172" s="10"/>
      <c r="H172" s="10"/>
      <c r="I172" s="10"/>
      <c r="J172" s="10"/>
      <c r="K172" s="10"/>
      <c r="L172" s="20">
        <f t="shared" ref="L172:AN172" si="84">L$132*$D$172</f>
        <v>4.0539329869199063</v>
      </c>
      <c r="M172" s="21">
        <f t="shared" si="84"/>
        <v>8.1078659738398127</v>
      </c>
      <c r="N172" s="21">
        <f t="shared" si="84"/>
        <v>16.215731947679625</v>
      </c>
      <c r="O172" s="21">
        <f t="shared" si="84"/>
        <v>32.431463895359251</v>
      </c>
      <c r="P172" s="21">
        <f t="shared" si="84"/>
        <v>64.862927790718501</v>
      </c>
      <c r="Q172" s="21">
        <f t="shared" si="84"/>
        <v>129.725855581437</v>
      </c>
      <c r="R172" s="21">
        <f t="shared" si="84"/>
        <v>259.45171116287401</v>
      </c>
      <c r="S172" s="21">
        <f t="shared" si="84"/>
        <v>518.90342232574801</v>
      </c>
      <c r="T172" s="21">
        <f t="shared" si="84"/>
        <v>1037.806844651496</v>
      </c>
      <c r="U172" s="21">
        <f t="shared" si="84"/>
        <v>2075.613689302992</v>
      </c>
      <c r="V172" s="21">
        <f t="shared" si="84"/>
        <v>4151.2273786059841</v>
      </c>
      <c r="W172" s="21">
        <f t="shared" si="84"/>
        <v>8302.4547572119682</v>
      </c>
      <c r="X172" s="21">
        <f t="shared" si="84"/>
        <v>16604.909514423936</v>
      </c>
      <c r="Y172" s="21">
        <f t="shared" si="84"/>
        <v>33209.819028847873</v>
      </c>
      <c r="Z172" s="21">
        <f t="shared" si="84"/>
        <v>66419.638057695745</v>
      </c>
      <c r="AA172" s="21">
        <f t="shared" si="84"/>
        <v>99629.457086543625</v>
      </c>
      <c r="AB172" s="21">
        <f t="shared" si="84"/>
        <v>116234.36660096757</v>
      </c>
      <c r="AC172" s="21">
        <f t="shared" si="84"/>
        <v>124868.91954846801</v>
      </c>
      <c r="AD172" s="21">
        <f t="shared" si="84"/>
        <v>132839.27611539149</v>
      </c>
      <c r="AE172" s="21">
        <f t="shared" si="84"/>
        <v>265678.55223078298</v>
      </c>
      <c r="AF172" s="21">
        <f t="shared" si="84"/>
        <v>531357.10446156596</v>
      </c>
      <c r="AG172" s="21">
        <f t="shared" si="84"/>
        <v>1062714.2089231319</v>
      </c>
      <c r="AH172" s="21">
        <f t="shared" si="84"/>
        <v>2125428.4178462639</v>
      </c>
      <c r="AI172" s="20">
        <f t="shared" si="84"/>
        <v>4250856.8356925277</v>
      </c>
      <c r="AJ172" s="21">
        <f t="shared" si="84"/>
        <v>8501713.6713850554</v>
      </c>
      <c r="AK172" s="21">
        <f t="shared" si="84"/>
        <v>17003427.342770111</v>
      </c>
      <c r="AL172" s="21">
        <f t="shared" si="84"/>
        <v>34006854.685540222</v>
      </c>
      <c r="AM172" s="21">
        <f t="shared" si="84"/>
        <v>42882892.313205518</v>
      </c>
      <c r="AN172" s="72">
        <f t="shared" si="84"/>
        <v>42882892.313205518</v>
      </c>
      <c r="AO172" s="45"/>
    </row>
    <row r="173" spans="1:41" x14ac:dyDescent="0.25">
      <c r="A173" s="41"/>
      <c r="B173" s="6"/>
      <c r="C173" s="10"/>
      <c r="D173" s="8"/>
      <c r="E173" s="27">
        <v>4.0000000000000001E-3</v>
      </c>
      <c r="F173" s="10"/>
      <c r="G173" s="10"/>
      <c r="H173" s="10"/>
      <c r="I173" s="10"/>
      <c r="J173" s="10"/>
      <c r="K173" s="10"/>
      <c r="L173" s="29">
        <f t="shared" ref="L173:AN173" si="85">L$132*$D$172*$E$173</f>
        <v>1.6215731947679626E-2</v>
      </c>
      <c r="M173" s="30">
        <f t="shared" si="85"/>
        <v>3.2431463895359253E-2</v>
      </c>
      <c r="N173" s="30">
        <f t="shared" si="85"/>
        <v>6.4862927790718505E-2</v>
      </c>
      <c r="O173" s="30">
        <f t="shared" si="85"/>
        <v>0.12972585558143701</v>
      </c>
      <c r="P173" s="30">
        <f t="shared" si="85"/>
        <v>0.25945171116287402</v>
      </c>
      <c r="Q173" s="30">
        <f t="shared" si="85"/>
        <v>0.51890342232574804</v>
      </c>
      <c r="R173" s="30">
        <f t="shared" si="85"/>
        <v>1.0378068446514961</v>
      </c>
      <c r="S173" s="30">
        <f t="shared" si="85"/>
        <v>2.0756136893029922</v>
      </c>
      <c r="T173" s="30">
        <f t="shared" si="85"/>
        <v>4.1512273786059843</v>
      </c>
      <c r="U173" s="30">
        <f t="shared" si="85"/>
        <v>8.3024547572119687</v>
      </c>
      <c r="V173" s="30">
        <f t="shared" si="85"/>
        <v>16.604909514423937</v>
      </c>
      <c r="W173" s="30">
        <f t="shared" si="85"/>
        <v>33.209819028847875</v>
      </c>
      <c r="X173" s="30">
        <f t="shared" si="85"/>
        <v>66.419638057695749</v>
      </c>
      <c r="Y173" s="30">
        <f t="shared" si="85"/>
        <v>132.8392761153915</v>
      </c>
      <c r="Z173" s="30">
        <f t="shared" si="85"/>
        <v>265.678552230783</v>
      </c>
      <c r="AA173" s="30">
        <f t="shared" si="85"/>
        <v>398.5178283461745</v>
      </c>
      <c r="AB173" s="30">
        <f t="shared" si="85"/>
        <v>464.93746640387025</v>
      </c>
      <c r="AC173" s="30">
        <f t="shared" si="85"/>
        <v>499.47567819387206</v>
      </c>
      <c r="AD173" s="30">
        <f t="shared" si="85"/>
        <v>531.357104461566</v>
      </c>
      <c r="AE173" s="30">
        <f t="shared" si="85"/>
        <v>1062.714208923132</v>
      </c>
      <c r="AF173" s="30">
        <f t="shared" si="85"/>
        <v>2125.428417846264</v>
      </c>
      <c r="AG173" s="30">
        <f t="shared" si="85"/>
        <v>4250.856835692528</v>
      </c>
      <c r="AH173" s="30">
        <f t="shared" si="85"/>
        <v>8501.7136713850559</v>
      </c>
      <c r="AI173" s="29">
        <f t="shared" si="85"/>
        <v>17003.427342770112</v>
      </c>
      <c r="AJ173" s="30">
        <f t="shared" si="85"/>
        <v>34006.854685540224</v>
      </c>
      <c r="AK173" s="30">
        <f t="shared" si="85"/>
        <v>68013.709371080447</v>
      </c>
      <c r="AL173" s="30">
        <f t="shared" si="85"/>
        <v>136027.41874216089</v>
      </c>
      <c r="AM173" s="30">
        <f t="shared" si="85"/>
        <v>171531.56925282208</v>
      </c>
      <c r="AN173" s="71">
        <f t="shared" si="85"/>
        <v>171531.56925282208</v>
      </c>
      <c r="AO173" s="45"/>
    </row>
    <row r="174" spans="1:41" x14ac:dyDescent="0.25">
      <c r="A174" s="41" t="s">
        <v>17</v>
      </c>
      <c r="B174" s="6">
        <f>'Population by Age - Wikipedia'!D21</f>
        <v>0.13001561499489589</v>
      </c>
      <c r="C174" s="10">
        <f t="shared" si="77"/>
        <v>42978676.778595254</v>
      </c>
      <c r="D174" s="23">
        <f>'AU Infection Rate by Age'!C9</f>
        <v>0.15731947679627306</v>
      </c>
      <c r="E174" s="17"/>
      <c r="F174" s="10"/>
      <c r="G174" s="14"/>
      <c r="H174" s="14"/>
      <c r="I174" s="14"/>
      <c r="J174" s="10"/>
      <c r="K174" s="10"/>
      <c r="L174" s="20">
        <f t="shared" ref="L174:AN174" si="86">L$132*$D$174</f>
        <v>4.9162336498835328</v>
      </c>
      <c r="M174" s="21">
        <f t="shared" si="86"/>
        <v>9.8324672997670657</v>
      </c>
      <c r="N174" s="21">
        <f t="shared" si="86"/>
        <v>19.664934599534131</v>
      </c>
      <c r="O174" s="21">
        <f t="shared" si="86"/>
        <v>39.329869199068263</v>
      </c>
      <c r="P174" s="21">
        <f t="shared" si="86"/>
        <v>78.659738398136525</v>
      </c>
      <c r="Q174" s="21">
        <f t="shared" si="86"/>
        <v>157.31947679627305</v>
      </c>
      <c r="R174" s="21">
        <f t="shared" si="86"/>
        <v>314.6389535925461</v>
      </c>
      <c r="S174" s="21">
        <f t="shared" si="86"/>
        <v>629.2779071850922</v>
      </c>
      <c r="T174" s="21">
        <f t="shared" si="86"/>
        <v>1258.5558143701844</v>
      </c>
      <c r="U174" s="21">
        <f t="shared" si="86"/>
        <v>2517.1116287403688</v>
      </c>
      <c r="V174" s="21">
        <f t="shared" si="86"/>
        <v>5034.2232574807376</v>
      </c>
      <c r="W174" s="21">
        <f t="shared" si="86"/>
        <v>10068.446514961475</v>
      </c>
      <c r="X174" s="21">
        <f t="shared" si="86"/>
        <v>20136.893029922951</v>
      </c>
      <c r="Y174" s="21">
        <f t="shared" si="86"/>
        <v>40273.786059845901</v>
      </c>
      <c r="Z174" s="21">
        <f t="shared" si="86"/>
        <v>80547.572119691802</v>
      </c>
      <c r="AA174" s="21">
        <f t="shared" si="86"/>
        <v>120821.35817953771</v>
      </c>
      <c r="AB174" s="21">
        <f t="shared" si="86"/>
        <v>140958.25120946066</v>
      </c>
      <c r="AC174" s="21">
        <f t="shared" si="86"/>
        <v>151429.4355850206</v>
      </c>
      <c r="AD174" s="21">
        <f t="shared" si="86"/>
        <v>161095.1442393836</v>
      </c>
      <c r="AE174" s="21">
        <f t="shared" si="86"/>
        <v>322190.28847876721</v>
      </c>
      <c r="AF174" s="21">
        <f t="shared" si="86"/>
        <v>644380.57695753442</v>
      </c>
      <c r="AG174" s="21">
        <f t="shared" si="86"/>
        <v>1288761.1539150688</v>
      </c>
      <c r="AH174" s="21">
        <f t="shared" si="86"/>
        <v>2577522.3078301377</v>
      </c>
      <c r="AI174" s="20">
        <f t="shared" si="86"/>
        <v>5155044.6156602753</v>
      </c>
      <c r="AJ174" s="21">
        <f t="shared" si="86"/>
        <v>10310089.231320551</v>
      </c>
      <c r="AK174" s="21">
        <f t="shared" si="86"/>
        <v>20620178.462641101</v>
      </c>
      <c r="AL174" s="21">
        <f t="shared" si="86"/>
        <v>41240356.925282203</v>
      </c>
      <c r="AM174" s="21">
        <f t="shared" si="86"/>
        <v>52004391.506898403</v>
      </c>
      <c r="AN174" s="72">
        <f t="shared" si="86"/>
        <v>52004391.506898403</v>
      </c>
      <c r="AO174" s="45"/>
    </row>
    <row r="175" spans="1:41" x14ac:dyDescent="0.25">
      <c r="A175" s="41"/>
      <c r="B175" s="6"/>
      <c r="C175" s="10"/>
      <c r="D175" s="8"/>
      <c r="E175" s="27">
        <v>2E-3</v>
      </c>
      <c r="F175" s="10"/>
      <c r="G175" s="10"/>
      <c r="H175" s="10"/>
      <c r="I175" s="10"/>
      <c r="J175" s="10"/>
      <c r="K175" s="10"/>
      <c r="L175" s="29">
        <f t="shared" ref="L175:AN175" si="87">L$132*$D$174*$E$175</f>
        <v>9.8324672997670663E-3</v>
      </c>
      <c r="M175" s="30">
        <f t="shared" si="87"/>
        <v>1.9664934599534133E-2</v>
      </c>
      <c r="N175" s="30">
        <f t="shared" si="87"/>
        <v>3.9329869199068265E-2</v>
      </c>
      <c r="O175" s="30">
        <f t="shared" si="87"/>
        <v>7.8659738398136531E-2</v>
      </c>
      <c r="P175" s="30">
        <f t="shared" si="87"/>
        <v>0.15731947679627306</v>
      </c>
      <c r="Q175" s="30">
        <f t="shared" si="87"/>
        <v>0.31463895359254612</v>
      </c>
      <c r="R175" s="30">
        <f t="shared" si="87"/>
        <v>0.62927790718509224</v>
      </c>
      <c r="S175" s="30">
        <f t="shared" si="87"/>
        <v>1.2585558143701845</v>
      </c>
      <c r="T175" s="30">
        <f t="shared" si="87"/>
        <v>2.517111628740369</v>
      </c>
      <c r="U175" s="30">
        <f t="shared" si="87"/>
        <v>5.034223257480738</v>
      </c>
      <c r="V175" s="30">
        <f t="shared" si="87"/>
        <v>10.068446514961476</v>
      </c>
      <c r="W175" s="30">
        <f t="shared" si="87"/>
        <v>20.136893029922952</v>
      </c>
      <c r="X175" s="30">
        <f t="shared" si="87"/>
        <v>40.273786059845904</v>
      </c>
      <c r="Y175" s="30">
        <f t="shared" si="87"/>
        <v>80.547572119691807</v>
      </c>
      <c r="Z175" s="30">
        <f t="shared" si="87"/>
        <v>161.09514423938361</v>
      </c>
      <c r="AA175" s="30">
        <f t="shared" si="87"/>
        <v>241.64271635907542</v>
      </c>
      <c r="AB175" s="30">
        <f t="shared" si="87"/>
        <v>281.91650241892131</v>
      </c>
      <c r="AC175" s="30">
        <f t="shared" si="87"/>
        <v>302.8588711700412</v>
      </c>
      <c r="AD175" s="30">
        <f t="shared" si="87"/>
        <v>322.19028847876723</v>
      </c>
      <c r="AE175" s="30">
        <f t="shared" si="87"/>
        <v>644.38057695753446</v>
      </c>
      <c r="AF175" s="30">
        <f t="shared" si="87"/>
        <v>1288.7611539150689</v>
      </c>
      <c r="AG175" s="30">
        <f t="shared" si="87"/>
        <v>2577.5223078301378</v>
      </c>
      <c r="AH175" s="30">
        <f t="shared" si="87"/>
        <v>5155.0446156602757</v>
      </c>
      <c r="AI175" s="29">
        <f t="shared" si="87"/>
        <v>10310.089231320551</v>
      </c>
      <c r="AJ175" s="30">
        <f t="shared" si="87"/>
        <v>20620.178462641103</v>
      </c>
      <c r="AK175" s="30">
        <f t="shared" si="87"/>
        <v>41240.356925282205</v>
      </c>
      <c r="AL175" s="30">
        <f t="shared" si="87"/>
        <v>82480.713850564411</v>
      </c>
      <c r="AM175" s="30">
        <f t="shared" si="87"/>
        <v>104008.78301379681</v>
      </c>
      <c r="AN175" s="71">
        <f t="shared" si="87"/>
        <v>104008.78301379681</v>
      </c>
      <c r="AO175" s="45"/>
    </row>
    <row r="176" spans="1:41" x14ac:dyDescent="0.25">
      <c r="A176" s="41" t="s">
        <v>18</v>
      </c>
      <c r="B176" s="6">
        <f>'Population by Age - Wikipedia'!D17</f>
        <v>0.13826223457843137</v>
      </c>
      <c r="C176" s="10">
        <f t="shared" si="77"/>
        <v>45704724.704536453</v>
      </c>
      <c r="D176" s="23">
        <f>'AU Infection Rate by Age'!C10</f>
        <v>0.2160903063967031</v>
      </c>
      <c r="E176" s="17"/>
      <c r="F176" s="10"/>
      <c r="G176" s="10"/>
      <c r="H176" s="10"/>
      <c r="I176" s="10"/>
      <c r="J176" s="10"/>
      <c r="K176" s="10"/>
      <c r="L176" s="20">
        <f t="shared" ref="L176:AN176" si="88">L$132*$D$176</f>
        <v>6.7528220748969714</v>
      </c>
      <c r="M176" s="21">
        <f t="shared" si="88"/>
        <v>13.505644149793943</v>
      </c>
      <c r="N176" s="21">
        <f t="shared" si="88"/>
        <v>27.011288299587886</v>
      </c>
      <c r="O176" s="21">
        <f t="shared" si="88"/>
        <v>54.022576599175771</v>
      </c>
      <c r="P176" s="21">
        <f t="shared" si="88"/>
        <v>108.04515319835154</v>
      </c>
      <c r="Q176" s="21">
        <f t="shared" si="88"/>
        <v>216.09030639670308</v>
      </c>
      <c r="R176" s="21">
        <f t="shared" si="88"/>
        <v>432.18061279340617</v>
      </c>
      <c r="S176" s="21">
        <f t="shared" si="88"/>
        <v>864.36122558681234</v>
      </c>
      <c r="T176" s="21">
        <f t="shared" si="88"/>
        <v>1728.7224511736247</v>
      </c>
      <c r="U176" s="21">
        <f t="shared" si="88"/>
        <v>3457.4449023472494</v>
      </c>
      <c r="V176" s="21">
        <f t="shared" si="88"/>
        <v>6914.8898046944987</v>
      </c>
      <c r="W176" s="21">
        <f t="shared" si="88"/>
        <v>13829.779609388997</v>
      </c>
      <c r="X176" s="21">
        <f t="shared" si="88"/>
        <v>27659.559218777995</v>
      </c>
      <c r="Y176" s="21">
        <f t="shared" si="88"/>
        <v>55319.11843755599</v>
      </c>
      <c r="Z176" s="21">
        <f t="shared" si="88"/>
        <v>110638.23687511198</v>
      </c>
      <c r="AA176" s="21">
        <f t="shared" si="88"/>
        <v>165957.35531266799</v>
      </c>
      <c r="AB176" s="21">
        <f t="shared" si="88"/>
        <v>193616.91453144597</v>
      </c>
      <c r="AC176" s="21">
        <f t="shared" si="88"/>
        <v>207999.88532521055</v>
      </c>
      <c r="AD176" s="21">
        <f t="shared" si="88"/>
        <v>221276.47375022396</v>
      </c>
      <c r="AE176" s="21">
        <f t="shared" si="88"/>
        <v>442552.94750044792</v>
      </c>
      <c r="AF176" s="21">
        <f t="shared" si="88"/>
        <v>885105.89500089583</v>
      </c>
      <c r="AG176" s="21">
        <f t="shared" si="88"/>
        <v>1770211.7900017917</v>
      </c>
      <c r="AH176" s="21">
        <f t="shared" si="88"/>
        <v>3540423.5800035833</v>
      </c>
      <c r="AI176" s="20">
        <f t="shared" si="88"/>
        <v>7080847.1600071667</v>
      </c>
      <c r="AJ176" s="21">
        <f t="shared" si="88"/>
        <v>14161694.320014333</v>
      </c>
      <c r="AK176" s="21">
        <f t="shared" si="88"/>
        <v>28323388.640028667</v>
      </c>
      <c r="AL176" s="21">
        <f t="shared" si="88"/>
        <v>56646777.280057333</v>
      </c>
      <c r="AM176" s="21">
        <f t="shared" si="88"/>
        <v>71432000.179179356</v>
      </c>
      <c r="AN176" s="72">
        <f t="shared" si="88"/>
        <v>71432000.179179356</v>
      </c>
      <c r="AO176" s="45"/>
    </row>
    <row r="177" spans="1:41" x14ac:dyDescent="0.25">
      <c r="A177" s="41"/>
      <c r="B177" s="6"/>
      <c r="C177" s="10"/>
      <c r="D177" s="8"/>
      <c r="E177" s="27">
        <v>2E-3</v>
      </c>
      <c r="F177" s="10"/>
      <c r="G177" s="10"/>
      <c r="H177" s="10"/>
      <c r="I177" s="10"/>
      <c r="J177" s="10"/>
      <c r="K177" s="10"/>
      <c r="L177" s="29">
        <f t="shared" ref="L177:AN177" si="89">L$132*$D$176*$E$177</f>
        <v>1.3505644149793944E-2</v>
      </c>
      <c r="M177" s="30">
        <f t="shared" si="89"/>
        <v>2.7011288299587887E-2</v>
      </c>
      <c r="N177" s="30">
        <f t="shared" si="89"/>
        <v>5.4022576599175774E-2</v>
      </c>
      <c r="O177" s="30">
        <f t="shared" si="89"/>
        <v>0.10804515319835155</v>
      </c>
      <c r="P177" s="30">
        <f t="shared" si="89"/>
        <v>0.2160903063967031</v>
      </c>
      <c r="Q177" s="30">
        <f t="shared" si="89"/>
        <v>0.43218061279340619</v>
      </c>
      <c r="R177" s="30">
        <f t="shared" si="89"/>
        <v>0.86436122558681239</v>
      </c>
      <c r="S177" s="30">
        <f t="shared" si="89"/>
        <v>1.7287224511736248</v>
      </c>
      <c r="T177" s="30">
        <f t="shared" si="89"/>
        <v>3.4574449023472495</v>
      </c>
      <c r="U177" s="30">
        <f t="shared" si="89"/>
        <v>6.9148898046944991</v>
      </c>
      <c r="V177" s="30">
        <f t="shared" si="89"/>
        <v>13.829779609388998</v>
      </c>
      <c r="W177" s="30">
        <f t="shared" si="89"/>
        <v>27.659559218777996</v>
      </c>
      <c r="X177" s="30">
        <f t="shared" si="89"/>
        <v>55.319118437555993</v>
      </c>
      <c r="Y177" s="30">
        <f t="shared" si="89"/>
        <v>110.63823687511199</v>
      </c>
      <c r="Z177" s="30">
        <f t="shared" si="89"/>
        <v>221.27647375022397</v>
      </c>
      <c r="AA177" s="30">
        <f t="shared" si="89"/>
        <v>331.914710625336</v>
      </c>
      <c r="AB177" s="30">
        <f t="shared" si="89"/>
        <v>387.23382906289197</v>
      </c>
      <c r="AC177" s="30">
        <f t="shared" si="89"/>
        <v>415.99977065042111</v>
      </c>
      <c r="AD177" s="30">
        <f t="shared" si="89"/>
        <v>442.55294750044794</v>
      </c>
      <c r="AE177" s="30">
        <f t="shared" si="89"/>
        <v>885.10589500089588</v>
      </c>
      <c r="AF177" s="30">
        <f t="shared" si="89"/>
        <v>1770.2117900017918</v>
      </c>
      <c r="AG177" s="30">
        <f t="shared" si="89"/>
        <v>3540.4235800035835</v>
      </c>
      <c r="AH177" s="30">
        <f t="shared" si="89"/>
        <v>7080.8471600071671</v>
      </c>
      <c r="AI177" s="29">
        <f t="shared" si="89"/>
        <v>14161.694320014334</v>
      </c>
      <c r="AJ177" s="30">
        <f t="shared" si="89"/>
        <v>28323.388640028668</v>
      </c>
      <c r="AK177" s="30">
        <f t="shared" si="89"/>
        <v>56646.777280057337</v>
      </c>
      <c r="AL177" s="30">
        <f t="shared" si="89"/>
        <v>113293.55456011467</v>
      </c>
      <c r="AM177" s="30">
        <f t="shared" si="89"/>
        <v>142864.00035835872</v>
      </c>
      <c r="AN177" s="71">
        <f t="shared" si="89"/>
        <v>142864.00035835872</v>
      </c>
      <c r="AO177" s="45"/>
    </row>
    <row r="178" spans="1:41" x14ac:dyDescent="0.25">
      <c r="A178" s="42" t="s">
        <v>19</v>
      </c>
      <c r="B178" s="6">
        <f>'Population by Age - Wikipedia'!D13</f>
        <v>0.13835839467257338</v>
      </c>
      <c r="C178" s="10">
        <f t="shared" si="77"/>
        <v>45736511.914136559</v>
      </c>
      <c r="D178" s="23">
        <f>'AU Infection Rate by Age'!C11</f>
        <v>2.8847876724601325E-2</v>
      </c>
      <c r="E178" s="17"/>
      <c r="F178" s="10"/>
      <c r="G178" s="10"/>
      <c r="H178" s="10"/>
      <c r="I178" s="10"/>
      <c r="J178" s="10"/>
      <c r="K178" s="10"/>
      <c r="L178" s="20">
        <f t="shared" ref="L178:AN178" si="90">L$132*$D$178</f>
        <v>0.90149614764379138</v>
      </c>
      <c r="M178" s="21">
        <f t="shared" si="90"/>
        <v>1.8029922952875828</v>
      </c>
      <c r="N178" s="21">
        <f t="shared" si="90"/>
        <v>3.6059845905751655</v>
      </c>
      <c r="O178" s="21">
        <f t="shared" si="90"/>
        <v>7.211969181150331</v>
      </c>
      <c r="P178" s="21">
        <f t="shared" si="90"/>
        <v>14.423938362300662</v>
      </c>
      <c r="Q178" s="21">
        <f t="shared" si="90"/>
        <v>28.847876724601324</v>
      </c>
      <c r="R178" s="21">
        <f t="shared" si="90"/>
        <v>57.695753449202648</v>
      </c>
      <c r="S178" s="21">
        <f t="shared" si="90"/>
        <v>115.3915068984053</v>
      </c>
      <c r="T178" s="21">
        <f t="shared" si="90"/>
        <v>230.78301379681059</v>
      </c>
      <c r="U178" s="21">
        <f t="shared" si="90"/>
        <v>461.56602759362119</v>
      </c>
      <c r="V178" s="21">
        <f t="shared" si="90"/>
        <v>923.13205518724237</v>
      </c>
      <c r="W178" s="21">
        <f t="shared" si="90"/>
        <v>1846.2641103744847</v>
      </c>
      <c r="X178" s="21">
        <f t="shared" si="90"/>
        <v>3692.5282207489695</v>
      </c>
      <c r="Y178" s="21">
        <f t="shared" si="90"/>
        <v>7385.056441497939</v>
      </c>
      <c r="Z178" s="21">
        <f t="shared" si="90"/>
        <v>14770.112882995878</v>
      </c>
      <c r="AA178" s="21">
        <f t="shared" si="90"/>
        <v>22155.169324493818</v>
      </c>
      <c r="AB178" s="21">
        <f t="shared" si="90"/>
        <v>25847.697545242787</v>
      </c>
      <c r="AC178" s="21">
        <f t="shared" si="90"/>
        <v>27767.81222003225</v>
      </c>
      <c r="AD178" s="21">
        <f t="shared" si="90"/>
        <v>29540.225765991756</v>
      </c>
      <c r="AE178" s="21">
        <f t="shared" si="90"/>
        <v>59080.451531983512</v>
      </c>
      <c r="AF178" s="21">
        <f t="shared" si="90"/>
        <v>118160.90306396702</v>
      </c>
      <c r="AG178" s="21">
        <f t="shared" si="90"/>
        <v>236321.80612793405</v>
      </c>
      <c r="AH178" s="21">
        <f t="shared" si="90"/>
        <v>472643.61225586809</v>
      </c>
      <c r="AI178" s="20">
        <f t="shared" si="90"/>
        <v>945287.22451173619</v>
      </c>
      <c r="AJ178" s="21">
        <f t="shared" si="90"/>
        <v>1890574.4490234724</v>
      </c>
      <c r="AK178" s="21">
        <f t="shared" si="90"/>
        <v>3781148.8980469448</v>
      </c>
      <c r="AL178" s="21">
        <f t="shared" si="90"/>
        <v>7562297.7960938895</v>
      </c>
      <c r="AM178" s="21">
        <f t="shared" si="90"/>
        <v>9536112.7934061997</v>
      </c>
      <c r="AN178" s="72">
        <f t="shared" si="90"/>
        <v>9536112.7934061997</v>
      </c>
      <c r="AO178" s="45"/>
    </row>
    <row r="179" spans="1:41" x14ac:dyDescent="0.25">
      <c r="A179" s="42"/>
      <c r="B179" s="6"/>
      <c r="C179" s="10"/>
      <c r="D179" s="8"/>
      <c r="E179" s="27">
        <v>2E-3</v>
      </c>
      <c r="F179" s="10"/>
      <c r="G179" s="10"/>
      <c r="H179" s="10"/>
      <c r="I179" s="10"/>
      <c r="J179" s="10"/>
      <c r="K179" s="10"/>
      <c r="L179" s="29">
        <f t="shared" ref="L179:AN179" si="91">L$132*$D$178*$E$179</f>
        <v>1.8029922952875828E-3</v>
      </c>
      <c r="M179" s="30">
        <f t="shared" si="91"/>
        <v>3.6059845905751656E-3</v>
      </c>
      <c r="N179" s="30">
        <f t="shared" si="91"/>
        <v>7.2119691811503312E-3</v>
      </c>
      <c r="O179" s="30">
        <f t="shared" si="91"/>
        <v>1.4423938362300662E-2</v>
      </c>
      <c r="P179" s="30">
        <f t="shared" si="91"/>
        <v>2.8847876724601325E-2</v>
      </c>
      <c r="Q179" s="30">
        <f t="shared" si="91"/>
        <v>5.769575344920265E-2</v>
      </c>
      <c r="R179" s="30">
        <f t="shared" si="91"/>
        <v>0.1153915068984053</v>
      </c>
      <c r="S179" s="30">
        <f t="shared" si="91"/>
        <v>0.2307830137968106</v>
      </c>
      <c r="T179" s="30">
        <f t="shared" si="91"/>
        <v>0.4615660275936212</v>
      </c>
      <c r="U179" s="30">
        <f t="shared" si="91"/>
        <v>0.9231320551872424</v>
      </c>
      <c r="V179" s="30">
        <f t="shared" si="91"/>
        <v>1.8462641103744848</v>
      </c>
      <c r="W179" s="30">
        <f t="shared" si="91"/>
        <v>3.6925282207489696</v>
      </c>
      <c r="X179" s="30">
        <f t="shared" si="91"/>
        <v>7.3850564414979392</v>
      </c>
      <c r="Y179" s="30">
        <f t="shared" si="91"/>
        <v>14.770112882995878</v>
      </c>
      <c r="Z179" s="30">
        <f t="shared" si="91"/>
        <v>29.540225765991757</v>
      </c>
      <c r="AA179" s="30">
        <f t="shared" si="91"/>
        <v>44.310338648987639</v>
      </c>
      <c r="AB179" s="30">
        <f t="shared" si="91"/>
        <v>51.695395090485576</v>
      </c>
      <c r="AC179" s="30">
        <f t="shared" si="91"/>
        <v>55.535624440064502</v>
      </c>
      <c r="AD179" s="30">
        <f t="shared" si="91"/>
        <v>59.080451531983513</v>
      </c>
      <c r="AE179" s="30">
        <f t="shared" si="91"/>
        <v>118.16090306396703</v>
      </c>
      <c r="AF179" s="30">
        <f t="shared" si="91"/>
        <v>236.32180612793405</v>
      </c>
      <c r="AG179" s="30">
        <f t="shared" si="91"/>
        <v>472.64361225586811</v>
      </c>
      <c r="AH179" s="30">
        <f t="shared" si="91"/>
        <v>945.28722451173621</v>
      </c>
      <c r="AI179" s="29">
        <f t="shared" si="91"/>
        <v>1890.5744490234724</v>
      </c>
      <c r="AJ179" s="30">
        <f t="shared" si="91"/>
        <v>3781.1488980469449</v>
      </c>
      <c r="AK179" s="30">
        <f t="shared" si="91"/>
        <v>7562.2977960938897</v>
      </c>
      <c r="AL179" s="30">
        <f t="shared" si="91"/>
        <v>15124.595592187779</v>
      </c>
      <c r="AM179" s="30">
        <f t="shared" si="91"/>
        <v>19072.225586812401</v>
      </c>
      <c r="AN179" s="71">
        <f t="shared" si="91"/>
        <v>19072.225586812401</v>
      </c>
      <c r="AO179" s="45"/>
    </row>
    <row r="180" spans="1:41" x14ac:dyDescent="0.25">
      <c r="A180" s="42" t="s">
        <v>20</v>
      </c>
      <c r="B180" s="6">
        <f>'Population by Age - Wikipedia'!D9</f>
        <v>0.13133799200038965</v>
      </c>
      <c r="C180" s="10">
        <f t="shared" si="77"/>
        <v>43415808.994604804</v>
      </c>
      <c r="D180" s="23">
        <f>'AU Infection Rate by Age'!C12</f>
        <v>9.8548647195843032E-3</v>
      </c>
      <c r="E180" s="17"/>
      <c r="F180" s="10"/>
      <c r="G180" s="10"/>
      <c r="H180" s="10"/>
      <c r="I180" s="10"/>
      <c r="J180" s="10"/>
      <c r="K180" s="10"/>
      <c r="L180" s="20">
        <f t="shared" ref="L180:AN180" si="92">L$132*$D$180</f>
        <v>0.30796452248700945</v>
      </c>
      <c r="M180" s="21">
        <f t="shared" si="92"/>
        <v>0.6159290449740189</v>
      </c>
      <c r="N180" s="21">
        <f t="shared" si="92"/>
        <v>1.2318580899480378</v>
      </c>
      <c r="O180" s="21">
        <f t="shared" si="92"/>
        <v>2.4637161798960756</v>
      </c>
      <c r="P180" s="21">
        <f t="shared" si="92"/>
        <v>4.9274323597921512</v>
      </c>
      <c r="Q180" s="21">
        <f t="shared" si="92"/>
        <v>9.8548647195843024</v>
      </c>
      <c r="R180" s="21">
        <f t="shared" si="92"/>
        <v>19.709729439168605</v>
      </c>
      <c r="S180" s="21">
        <f t="shared" si="92"/>
        <v>39.41945887833721</v>
      </c>
      <c r="T180" s="21">
        <f t="shared" si="92"/>
        <v>78.838917756674419</v>
      </c>
      <c r="U180" s="21">
        <f t="shared" si="92"/>
        <v>157.67783551334884</v>
      </c>
      <c r="V180" s="21">
        <f t="shared" si="92"/>
        <v>315.35567102669768</v>
      </c>
      <c r="W180" s="21">
        <f t="shared" si="92"/>
        <v>630.71134205339536</v>
      </c>
      <c r="X180" s="21">
        <f t="shared" si="92"/>
        <v>1261.4226841067907</v>
      </c>
      <c r="Y180" s="21">
        <f t="shared" si="92"/>
        <v>2522.8453682135814</v>
      </c>
      <c r="Z180" s="21">
        <f t="shared" si="92"/>
        <v>5045.6907364271628</v>
      </c>
      <c r="AA180" s="21">
        <f t="shared" si="92"/>
        <v>7568.5361046407452</v>
      </c>
      <c r="AB180" s="21">
        <f t="shared" si="92"/>
        <v>8829.9587887475354</v>
      </c>
      <c r="AC180" s="21">
        <f t="shared" si="92"/>
        <v>9485.8985844830677</v>
      </c>
      <c r="AD180" s="21">
        <f t="shared" si="92"/>
        <v>10091.381472854326</v>
      </c>
      <c r="AE180" s="21">
        <f t="shared" si="92"/>
        <v>20182.762945708651</v>
      </c>
      <c r="AF180" s="21">
        <f t="shared" si="92"/>
        <v>40365.525891417303</v>
      </c>
      <c r="AG180" s="21">
        <f t="shared" si="92"/>
        <v>80731.051782834606</v>
      </c>
      <c r="AH180" s="21">
        <f t="shared" si="92"/>
        <v>161462.10356566921</v>
      </c>
      <c r="AI180" s="20">
        <f t="shared" si="92"/>
        <v>322924.20713133842</v>
      </c>
      <c r="AJ180" s="21">
        <f t="shared" si="92"/>
        <v>645848.41426267684</v>
      </c>
      <c r="AK180" s="21">
        <f t="shared" si="92"/>
        <v>1291696.8285253537</v>
      </c>
      <c r="AL180" s="21">
        <f t="shared" si="92"/>
        <v>2583393.6570507074</v>
      </c>
      <c r="AM180" s="21">
        <f t="shared" si="92"/>
        <v>3257678.2834617449</v>
      </c>
      <c r="AN180" s="72">
        <f t="shared" si="92"/>
        <v>3257678.2834617449</v>
      </c>
      <c r="AO180" s="45"/>
    </row>
    <row r="181" spans="1:41" x14ac:dyDescent="0.25">
      <c r="A181" s="42"/>
      <c r="B181" s="7"/>
      <c r="C181" s="11"/>
      <c r="D181" s="26"/>
      <c r="E181" s="28">
        <v>0</v>
      </c>
      <c r="F181" s="10"/>
      <c r="G181" s="10"/>
      <c r="H181" s="10"/>
      <c r="I181" s="10"/>
      <c r="J181" s="10"/>
      <c r="K181" s="10"/>
      <c r="L181" s="31">
        <f t="shared" ref="L181:AN181" si="93">L$132*$D$180*$E$181</f>
        <v>0</v>
      </c>
      <c r="M181" s="32">
        <f t="shared" si="93"/>
        <v>0</v>
      </c>
      <c r="N181" s="32">
        <f t="shared" si="93"/>
        <v>0</v>
      </c>
      <c r="O181" s="32">
        <f t="shared" si="93"/>
        <v>0</v>
      </c>
      <c r="P181" s="32">
        <f t="shared" si="93"/>
        <v>0</v>
      </c>
      <c r="Q181" s="32">
        <f t="shared" si="93"/>
        <v>0</v>
      </c>
      <c r="R181" s="32">
        <f t="shared" si="93"/>
        <v>0</v>
      </c>
      <c r="S181" s="32">
        <f t="shared" si="93"/>
        <v>0</v>
      </c>
      <c r="T181" s="32">
        <f t="shared" si="93"/>
        <v>0</v>
      </c>
      <c r="U181" s="32">
        <f t="shared" si="93"/>
        <v>0</v>
      </c>
      <c r="V181" s="32">
        <f t="shared" si="93"/>
        <v>0</v>
      </c>
      <c r="W181" s="32">
        <f t="shared" si="93"/>
        <v>0</v>
      </c>
      <c r="X181" s="32">
        <f t="shared" si="93"/>
        <v>0</v>
      </c>
      <c r="Y181" s="32">
        <f t="shared" si="93"/>
        <v>0</v>
      </c>
      <c r="Z181" s="32">
        <f t="shared" si="93"/>
        <v>0</v>
      </c>
      <c r="AA181" s="32">
        <f t="shared" si="93"/>
        <v>0</v>
      </c>
      <c r="AB181" s="32">
        <f t="shared" si="93"/>
        <v>0</v>
      </c>
      <c r="AC181" s="32">
        <f t="shared" si="93"/>
        <v>0</v>
      </c>
      <c r="AD181" s="32">
        <f t="shared" si="93"/>
        <v>0</v>
      </c>
      <c r="AE181" s="32">
        <f t="shared" si="93"/>
        <v>0</v>
      </c>
      <c r="AF181" s="32">
        <f t="shared" si="93"/>
        <v>0</v>
      </c>
      <c r="AG181" s="32">
        <f t="shared" si="93"/>
        <v>0</v>
      </c>
      <c r="AH181" s="32">
        <f t="shared" si="93"/>
        <v>0</v>
      </c>
      <c r="AI181" s="29">
        <f t="shared" si="93"/>
        <v>0</v>
      </c>
      <c r="AJ181" s="30">
        <f t="shared" si="93"/>
        <v>0</v>
      </c>
      <c r="AK181" s="30">
        <f t="shared" si="93"/>
        <v>0</v>
      </c>
      <c r="AL181" s="30">
        <f t="shared" si="93"/>
        <v>0</v>
      </c>
      <c r="AM181" s="30">
        <f t="shared" si="93"/>
        <v>0</v>
      </c>
      <c r="AN181" s="71">
        <f t="shared" si="93"/>
        <v>0</v>
      </c>
      <c r="AO181" s="45"/>
    </row>
    <row r="182" spans="1:41" x14ac:dyDescent="0.25">
      <c r="A182" s="41" t="s">
        <v>39</v>
      </c>
      <c r="B182" s="14"/>
      <c r="C182" s="10"/>
      <c r="D182" s="10"/>
      <c r="E182" s="15"/>
      <c r="F182" s="10"/>
      <c r="G182" s="10"/>
      <c r="H182" s="10"/>
      <c r="I182" s="10"/>
      <c r="J182" s="10"/>
      <c r="K182" s="10"/>
      <c r="L182" s="18">
        <f t="shared" ref="L182:AE182" si="94">SUM(L164,L166,L168,L170,L172,L174,L176,L178,L180)</f>
        <v>31.249999999999996</v>
      </c>
      <c r="M182" s="19">
        <f t="shared" si="94"/>
        <v>62.499999999999993</v>
      </c>
      <c r="N182" s="19">
        <f t="shared" si="94"/>
        <v>124.99999999999999</v>
      </c>
      <c r="O182" s="19">
        <f t="shared" si="94"/>
        <v>249.99999999999997</v>
      </c>
      <c r="P182" s="19">
        <f t="shared" si="94"/>
        <v>499.99999999999994</v>
      </c>
      <c r="Q182" s="19">
        <f>SUM(Q164,Q166,Q168,Q170,Q172,Q174,Q176,Q178,Q180)</f>
        <v>999.99999999999989</v>
      </c>
      <c r="R182" s="19">
        <f t="shared" si="94"/>
        <v>1999.9999999999998</v>
      </c>
      <c r="S182" s="19">
        <f t="shared" si="94"/>
        <v>3999.9999999999995</v>
      </c>
      <c r="T182" s="19">
        <f t="shared" si="94"/>
        <v>7999.9999999999991</v>
      </c>
      <c r="U182" s="19">
        <f t="shared" si="94"/>
        <v>15999.999999999998</v>
      </c>
      <c r="V182" s="19">
        <f t="shared" si="94"/>
        <v>31999.999999999996</v>
      </c>
      <c r="W182" s="19">
        <f t="shared" si="94"/>
        <v>63999.999999999993</v>
      </c>
      <c r="X182" s="19">
        <f t="shared" si="94"/>
        <v>127999.99999999999</v>
      </c>
      <c r="Y182" s="19">
        <f t="shared" si="94"/>
        <v>255999.99999999997</v>
      </c>
      <c r="Z182" s="19">
        <f t="shared" si="94"/>
        <v>511999.99999999994</v>
      </c>
      <c r="AA182" s="19">
        <f t="shared" ref="AA182:AC182" si="95">SUM(AA164,AA166,AA168,AA170,AA172,AA174,AA176,AA178,AA180)</f>
        <v>768000</v>
      </c>
      <c r="AB182" s="19">
        <f t="shared" si="95"/>
        <v>895999.99999999988</v>
      </c>
      <c r="AC182" s="19">
        <f t="shared" si="95"/>
        <v>962559.99999999988</v>
      </c>
      <c r="AD182" s="19">
        <f t="shared" si="94"/>
        <v>1023999.9999999999</v>
      </c>
      <c r="AE182" s="19">
        <f t="shared" si="94"/>
        <v>2047999.9999999998</v>
      </c>
      <c r="AF182" s="19">
        <f t="shared" ref="AF182:AH183" si="96">SUM(AF164,AF166,AF168,AF170,AF172,AF174,AF176,AF178,AF180)</f>
        <v>4095999.9999999995</v>
      </c>
      <c r="AG182" s="19">
        <f t="shared" si="96"/>
        <v>8191999.9999999991</v>
      </c>
      <c r="AH182" s="19">
        <f t="shared" si="96"/>
        <v>16383999.999999998</v>
      </c>
      <c r="AI182" s="18">
        <f t="shared" ref="AI182:AN182" si="97">SUM(AI164,AI166,AI168,AI170,AI172,AI174,AI176,AI178,AI180)</f>
        <v>32767999.999999996</v>
      </c>
      <c r="AJ182" s="19">
        <f t="shared" si="97"/>
        <v>65535999.999999993</v>
      </c>
      <c r="AK182" s="19">
        <f t="shared" si="97"/>
        <v>131071999.99999999</v>
      </c>
      <c r="AL182" s="19">
        <f t="shared" si="97"/>
        <v>262143999.99999997</v>
      </c>
      <c r="AM182" s="19">
        <f t="shared" si="97"/>
        <v>330565499.99999994</v>
      </c>
      <c r="AN182" s="60">
        <f t="shared" si="97"/>
        <v>330565499.99999994</v>
      </c>
      <c r="AO182" s="45"/>
    </row>
    <row r="183" spans="1:41" x14ac:dyDescent="0.25">
      <c r="A183" s="43" t="s">
        <v>38</v>
      </c>
      <c r="B183" s="44"/>
      <c r="C183" s="11"/>
      <c r="D183" s="11"/>
      <c r="E183" s="38"/>
      <c r="F183" s="11"/>
      <c r="G183" s="11"/>
      <c r="H183" s="11"/>
      <c r="I183" s="11"/>
      <c r="J183" s="11"/>
      <c r="K183" s="11"/>
      <c r="L183" s="31">
        <f>SUM(L165,L167,L169,L171,L173,L175,L177,L179,L181)</f>
        <v>0.69269060204264477</v>
      </c>
      <c r="M183" s="32">
        <f>SUM(M165,M167,M169,M171,M173,M175,M177,M179,M181)</f>
        <v>1.3853812040852895</v>
      </c>
      <c r="N183" s="32">
        <f t="shared" ref="N183:AE183" si="98">SUM(N165,N167,N169,N171,N173,N175,N177,N179,N181)</f>
        <v>2.7707624081705791</v>
      </c>
      <c r="O183" s="32">
        <f t="shared" si="98"/>
        <v>5.5415248163411581</v>
      </c>
      <c r="P183" s="32">
        <f t="shared" si="98"/>
        <v>11.083049632682316</v>
      </c>
      <c r="Q183" s="32">
        <f t="shared" si="98"/>
        <v>22.166099265364632</v>
      </c>
      <c r="R183" s="32">
        <f t="shared" si="98"/>
        <v>44.332198530729265</v>
      </c>
      <c r="S183" s="32">
        <f t="shared" si="98"/>
        <v>88.66439706145853</v>
      </c>
      <c r="T183" s="32">
        <f t="shared" si="98"/>
        <v>177.32879412291706</v>
      </c>
      <c r="U183" s="32">
        <f t="shared" si="98"/>
        <v>354.65758824583412</v>
      </c>
      <c r="V183" s="32">
        <f t="shared" si="98"/>
        <v>709.31517649166824</v>
      </c>
      <c r="W183" s="32">
        <f t="shared" si="98"/>
        <v>1418.6303529833365</v>
      </c>
      <c r="X183" s="32">
        <f t="shared" si="98"/>
        <v>2837.260705966673</v>
      </c>
      <c r="Y183" s="32">
        <f t="shared" si="98"/>
        <v>5674.5214119333459</v>
      </c>
      <c r="Z183" s="32">
        <f t="shared" si="98"/>
        <v>11349.042823866692</v>
      </c>
      <c r="AA183" s="32">
        <f t="shared" ref="AA183:AC183" si="99">SUM(AA165,AA167,AA169,AA171,AA173,AA175,AA177,AA179,AA181)</f>
        <v>17023.564235800037</v>
      </c>
      <c r="AB183" s="32">
        <f t="shared" si="99"/>
        <v>19860.824941766703</v>
      </c>
      <c r="AC183" s="32">
        <f t="shared" si="99"/>
        <v>21336.200508869377</v>
      </c>
      <c r="AD183" s="32">
        <f t="shared" si="98"/>
        <v>22698.085647733384</v>
      </c>
      <c r="AE183" s="32">
        <f t="shared" si="98"/>
        <v>45396.171295466767</v>
      </c>
      <c r="AF183" s="32">
        <f t="shared" si="96"/>
        <v>90792.342590933535</v>
      </c>
      <c r="AG183" s="32">
        <f t="shared" si="96"/>
        <v>181584.68518186707</v>
      </c>
      <c r="AH183" s="32">
        <f t="shared" si="96"/>
        <v>363169.37036373414</v>
      </c>
      <c r="AI183" s="31">
        <f t="shared" ref="AI183:AN183" si="100">SUM(AI165,AI167,AI169,AI171,AI173,AI175,AI177,AI179,AI181)</f>
        <v>726338.74072746828</v>
      </c>
      <c r="AJ183" s="32">
        <f t="shared" si="100"/>
        <v>1452677.4814549366</v>
      </c>
      <c r="AK183" s="32">
        <f t="shared" si="100"/>
        <v>2905354.9629098731</v>
      </c>
      <c r="AL183" s="32">
        <f t="shared" si="100"/>
        <v>5810709.9258197462</v>
      </c>
      <c r="AM183" s="32">
        <f t="shared" si="100"/>
        <v>7327347.6867048908</v>
      </c>
      <c r="AN183" s="73">
        <f t="shared" si="100"/>
        <v>7327347.6867048908</v>
      </c>
      <c r="AO183" s="45"/>
    </row>
    <row r="184" spans="1:41" x14ac:dyDescent="0.25">
      <c r="A184" s="42"/>
      <c r="B184" s="14"/>
      <c r="C184" s="10"/>
      <c r="D184" s="10"/>
      <c r="E184" s="15"/>
      <c r="F184" s="10"/>
      <c r="G184" s="10"/>
      <c r="H184" s="10"/>
      <c r="I184" s="10"/>
      <c r="J184" s="10"/>
      <c r="K184" s="10"/>
      <c r="L184" s="45"/>
      <c r="M184" s="45"/>
      <c r="N184" s="45"/>
      <c r="O184" s="45"/>
      <c r="P184" s="45"/>
      <c r="Q184" s="45"/>
      <c r="R184" s="45"/>
      <c r="S184" s="45"/>
      <c r="T184" s="45"/>
      <c r="U184" s="45"/>
      <c r="V184" s="45"/>
      <c r="W184" s="45"/>
      <c r="X184" s="45"/>
      <c r="Y184" s="45"/>
      <c r="Z184" s="45"/>
      <c r="AA184" s="45"/>
      <c r="AB184" s="45"/>
      <c r="AC184" s="45"/>
      <c r="AD184" s="45"/>
      <c r="AE184" s="45"/>
      <c r="AF184" s="45"/>
    </row>
    <row r="185" spans="1:41" x14ac:dyDescent="0.25">
      <c r="A185" s="54" t="s">
        <v>50</v>
      </c>
      <c r="B185" s="14"/>
      <c r="C185" s="10"/>
      <c r="D185" s="10"/>
      <c r="E185" s="15"/>
      <c r="F185" s="10"/>
      <c r="G185" s="10"/>
      <c r="H185" s="10"/>
      <c r="I185" s="10"/>
      <c r="J185" s="10"/>
      <c r="K185" s="10"/>
      <c r="L185" s="45"/>
      <c r="M185" s="45"/>
      <c r="N185" s="45"/>
      <c r="O185" s="45"/>
      <c r="P185" s="45"/>
      <c r="Q185" s="45"/>
      <c r="R185" s="45"/>
      <c r="S185" s="45"/>
      <c r="T185" s="45"/>
      <c r="U185" s="45"/>
      <c r="V185" s="45"/>
      <c r="W185" s="45"/>
      <c r="X185" s="45"/>
      <c r="Y185" s="45"/>
      <c r="Z185" s="45"/>
      <c r="AA185" s="45"/>
      <c r="AB185" s="45"/>
      <c r="AC185" s="45"/>
      <c r="AD185" s="45"/>
      <c r="AE185" s="45"/>
      <c r="AF185" s="45"/>
    </row>
    <row r="186" spans="1:41" x14ac:dyDescent="0.25">
      <c r="A186" s="4"/>
      <c r="B186" s="9" t="s">
        <v>5</v>
      </c>
      <c r="C186" s="9" t="s">
        <v>3</v>
      </c>
      <c r="D186" s="9"/>
      <c r="E186" s="59" t="s">
        <v>2</v>
      </c>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5"/>
      <c r="AO186" s="47"/>
    </row>
    <row r="187" spans="1:41" x14ac:dyDescent="0.25">
      <c r="A187" s="48" t="s">
        <v>1</v>
      </c>
      <c r="B187" s="24">
        <v>0.36799999999999999</v>
      </c>
      <c r="C187" s="10">
        <f>$B$118 * B187</f>
        <v>121648104</v>
      </c>
      <c r="D187" s="16"/>
      <c r="E187" s="16"/>
      <c r="F187" s="16"/>
      <c r="G187" s="16"/>
      <c r="H187" s="16"/>
      <c r="I187" s="16"/>
      <c r="J187" s="16"/>
      <c r="K187" s="16"/>
      <c r="L187" s="18">
        <f t="shared" ref="L187:AN187" si="101">L$132*$B$187</f>
        <v>11.5</v>
      </c>
      <c r="M187" s="19">
        <f t="shared" si="101"/>
        <v>23</v>
      </c>
      <c r="N187" s="19">
        <f t="shared" si="101"/>
        <v>46</v>
      </c>
      <c r="O187" s="19">
        <f t="shared" si="101"/>
        <v>92</v>
      </c>
      <c r="P187" s="19">
        <f t="shared" si="101"/>
        <v>184</v>
      </c>
      <c r="Q187" s="19">
        <f t="shared" si="101"/>
        <v>368</v>
      </c>
      <c r="R187" s="19">
        <f t="shared" si="101"/>
        <v>736</v>
      </c>
      <c r="S187" s="19">
        <f t="shared" si="101"/>
        <v>1472</v>
      </c>
      <c r="T187" s="19">
        <f t="shared" si="101"/>
        <v>2944</v>
      </c>
      <c r="U187" s="19">
        <f t="shared" si="101"/>
        <v>5888</v>
      </c>
      <c r="V187" s="19">
        <f t="shared" si="101"/>
        <v>11776</v>
      </c>
      <c r="W187" s="19">
        <f t="shared" si="101"/>
        <v>23552</v>
      </c>
      <c r="X187" s="19">
        <f t="shared" si="101"/>
        <v>47104</v>
      </c>
      <c r="Y187" s="19">
        <f t="shared" si="101"/>
        <v>94208</v>
      </c>
      <c r="Z187" s="19">
        <f t="shared" si="101"/>
        <v>188416</v>
      </c>
      <c r="AA187" s="19">
        <f t="shared" si="101"/>
        <v>282624</v>
      </c>
      <c r="AB187" s="19">
        <f t="shared" si="101"/>
        <v>329728</v>
      </c>
      <c r="AC187" s="19">
        <f t="shared" si="101"/>
        <v>354222.08000000002</v>
      </c>
      <c r="AD187" s="19">
        <f t="shared" si="101"/>
        <v>376832</v>
      </c>
      <c r="AE187" s="19">
        <f t="shared" si="101"/>
        <v>753664</v>
      </c>
      <c r="AF187" s="19">
        <f t="shared" si="101"/>
        <v>1507328</v>
      </c>
      <c r="AG187" s="19">
        <f t="shared" si="101"/>
        <v>3014656</v>
      </c>
      <c r="AH187" s="19">
        <f t="shared" si="101"/>
        <v>6029312</v>
      </c>
      <c r="AI187" s="18">
        <f t="shared" si="101"/>
        <v>12058624</v>
      </c>
      <c r="AJ187" s="19">
        <f t="shared" si="101"/>
        <v>24117248</v>
      </c>
      <c r="AK187" s="19">
        <f t="shared" si="101"/>
        <v>48234496</v>
      </c>
      <c r="AL187" s="19">
        <f t="shared" si="101"/>
        <v>96468992</v>
      </c>
      <c r="AM187" s="19">
        <f t="shared" si="101"/>
        <v>121648104</v>
      </c>
      <c r="AN187" s="60">
        <f t="shared" si="101"/>
        <v>121648104</v>
      </c>
      <c r="AO187" s="45"/>
    </row>
    <row r="188" spans="1:41" x14ac:dyDescent="0.25">
      <c r="A188" s="48"/>
      <c r="B188" s="16"/>
      <c r="C188" s="16"/>
      <c r="D188" s="25"/>
      <c r="E188" s="46">
        <v>0.105</v>
      </c>
      <c r="F188" s="16"/>
      <c r="G188" s="16"/>
      <c r="H188" s="16"/>
      <c r="I188" s="16"/>
      <c r="J188" s="16"/>
      <c r="K188" s="16"/>
      <c r="L188" s="29">
        <f>L187*$E$188</f>
        <v>1.2075</v>
      </c>
      <c r="M188" s="30">
        <f t="shared" ref="M188:AE188" si="102">M187*$E$188</f>
        <v>2.415</v>
      </c>
      <c r="N188" s="30">
        <f t="shared" si="102"/>
        <v>4.83</v>
      </c>
      <c r="O188" s="30">
        <f t="shared" si="102"/>
        <v>9.66</v>
      </c>
      <c r="P188" s="30">
        <f t="shared" si="102"/>
        <v>19.32</v>
      </c>
      <c r="Q188" s="30">
        <f t="shared" si="102"/>
        <v>38.64</v>
      </c>
      <c r="R188" s="30">
        <f t="shared" si="102"/>
        <v>77.28</v>
      </c>
      <c r="S188" s="30">
        <f t="shared" si="102"/>
        <v>154.56</v>
      </c>
      <c r="T188" s="30">
        <f t="shared" si="102"/>
        <v>309.12</v>
      </c>
      <c r="U188" s="30">
        <f t="shared" si="102"/>
        <v>618.24</v>
      </c>
      <c r="V188" s="30">
        <f t="shared" si="102"/>
        <v>1236.48</v>
      </c>
      <c r="W188" s="30">
        <f t="shared" si="102"/>
        <v>2472.96</v>
      </c>
      <c r="X188" s="30">
        <f t="shared" si="102"/>
        <v>4945.92</v>
      </c>
      <c r="Y188" s="30">
        <f t="shared" si="102"/>
        <v>9891.84</v>
      </c>
      <c r="Z188" s="30">
        <f t="shared" si="102"/>
        <v>19783.68</v>
      </c>
      <c r="AA188" s="30">
        <f t="shared" ref="AA188:AC188" si="103">AA187*$E$188</f>
        <v>29675.52</v>
      </c>
      <c r="AB188" s="30">
        <f t="shared" si="103"/>
        <v>34621.440000000002</v>
      </c>
      <c r="AC188" s="30">
        <f t="shared" si="103"/>
        <v>37193.318400000004</v>
      </c>
      <c r="AD188" s="30">
        <f t="shared" si="102"/>
        <v>39567.360000000001</v>
      </c>
      <c r="AE188" s="30">
        <f t="shared" si="102"/>
        <v>79134.720000000001</v>
      </c>
      <c r="AF188" s="30">
        <f>AF187*$E$188</f>
        <v>158269.44</v>
      </c>
      <c r="AG188" s="30">
        <f>AG187*$E$188</f>
        <v>316538.88</v>
      </c>
      <c r="AH188" s="30">
        <f>AH187*$E$188</f>
        <v>633077.76000000001</v>
      </c>
      <c r="AI188" s="29">
        <f t="shared" ref="AI188:AN188" si="104">AI187*$E$188</f>
        <v>1266155.52</v>
      </c>
      <c r="AJ188" s="30">
        <f t="shared" si="104"/>
        <v>2532311.04</v>
      </c>
      <c r="AK188" s="30">
        <f t="shared" si="104"/>
        <v>5064622.0800000001</v>
      </c>
      <c r="AL188" s="30">
        <f t="shared" si="104"/>
        <v>10129244.16</v>
      </c>
      <c r="AM188" s="30">
        <f t="shared" si="104"/>
        <v>12773050.92</v>
      </c>
      <c r="AN188" s="71">
        <f t="shared" si="104"/>
        <v>12773050.92</v>
      </c>
      <c r="AO188" s="45"/>
    </row>
    <row r="189" spans="1:41" x14ac:dyDescent="0.25">
      <c r="A189" s="48" t="s">
        <v>4</v>
      </c>
      <c r="B189" s="24">
        <v>9.8000000000000004E-2</v>
      </c>
      <c r="C189" s="10">
        <f>$B$118 * B189</f>
        <v>32395419</v>
      </c>
      <c r="D189" s="47"/>
      <c r="E189" s="16"/>
      <c r="F189" s="16"/>
      <c r="G189" s="16"/>
      <c r="H189" s="16"/>
      <c r="I189" s="16"/>
      <c r="J189" s="16"/>
      <c r="K189" s="16"/>
      <c r="L189" s="20">
        <f t="shared" ref="L189:AN189" si="105">L$132*$B$189</f>
        <v>3.0625</v>
      </c>
      <c r="M189" s="21">
        <f t="shared" si="105"/>
        <v>6.125</v>
      </c>
      <c r="N189" s="21">
        <f t="shared" si="105"/>
        <v>12.25</v>
      </c>
      <c r="O189" s="21">
        <f t="shared" si="105"/>
        <v>24.5</v>
      </c>
      <c r="P189" s="21">
        <f t="shared" si="105"/>
        <v>49</v>
      </c>
      <c r="Q189" s="21">
        <f t="shared" si="105"/>
        <v>98</v>
      </c>
      <c r="R189" s="21">
        <f t="shared" si="105"/>
        <v>196</v>
      </c>
      <c r="S189" s="21">
        <f t="shared" si="105"/>
        <v>392</v>
      </c>
      <c r="T189" s="21">
        <f t="shared" si="105"/>
        <v>784</v>
      </c>
      <c r="U189" s="21">
        <f t="shared" si="105"/>
        <v>1568</v>
      </c>
      <c r="V189" s="21">
        <f t="shared" si="105"/>
        <v>3136</v>
      </c>
      <c r="W189" s="21">
        <f t="shared" si="105"/>
        <v>6272</v>
      </c>
      <c r="X189" s="21">
        <f t="shared" si="105"/>
        <v>12544</v>
      </c>
      <c r="Y189" s="21">
        <f t="shared" si="105"/>
        <v>25088</v>
      </c>
      <c r="Z189" s="21">
        <f t="shared" si="105"/>
        <v>50176</v>
      </c>
      <c r="AA189" s="21">
        <f t="shared" si="105"/>
        <v>75264</v>
      </c>
      <c r="AB189" s="21">
        <f t="shared" si="105"/>
        <v>87808</v>
      </c>
      <c r="AC189" s="21">
        <f t="shared" si="105"/>
        <v>94330.880000000005</v>
      </c>
      <c r="AD189" s="21">
        <f t="shared" si="105"/>
        <v>100352</v>
      </c>
      <c r="AE189" s="21">
        <f t="shared" si="105"/>
        <v>200704</v>
      </c>
      <c r="AF189" s="21">
        <f t="shared" si="105"/>
        <v>401408</v>
      </c>
      <c r="AG189" s="21">
        <f t="shared" si="105"/>
        <v>802816</v>
      </c>
      <c r="AH189" s="21">
        <f t="shared" si="105"/>
        <v>1605632</v>
      </c>
      <c r="AI189" s="20">
        <f t="shared" si="105"/>
        <v>3211264</v>
      </c>
      <c r="AJ189" s="21">
        <f t="shared" si="105"/>
        <v>6422528</v>
      </c>
      <c r="AK189" s="21">
        <f t="shared" si="105"/>
        <v>12845056</v>
      </c>
      <c r="AL189" s="21">
        <f t="shared" si="105"/>
        <v>25690112</v>
      </c>
      <c r="AM189" s="21">
        <f t="shared" si="105"/>
        <v>32395419</v>
      </c>
      <c r="AN189" s="72">
        <f t="shared" si="105"/>
        <v>32395419</v>
      </c>
      <c r="AO189" s="45"/>
    </row>
    <row r="190" spans="1:41" x14ac:dyDescent="0.25">
      <c r="A190" s="48"/>
      <c r="B190" s="16"/>
      <c r="C190" s="16"/>
      <c r="D190" s="25"/>
      <c r="E190" s="46">
        <v>7.2999999999999995E-2</v>
      </c>
      <c r="F190" s="16"/>
      <c r="G190" s="16"/>
      <c r="H190" s="16"/>
      <c r="I190" s="16"/>
      <c r="J190" s="16"/>
      <c r="K190" s="16"/>
      <c r="L190" s="29">
        <f t="shared" ref="L190:AE190" si="106">L189*$E$190</f>
        <v>0.2235625</v>
      </c>
      <c r="M190" s="30">
        <f t="shared" si="106"/>
        <v>0.44712499999999999</v>
      </c>
      <c r="N190" s="30">
        <f t="shared" si="106"/>
        <v>0.89424999999999999</v>
      </c>
      <c r="O190" s="30">
        <f t="shared" si="106"/>
        <v>1.7885</v>
      </c>
      <c r="P190" s="30">
        <f t="shared" si="106"/>
        <v>3.577</v>
      </c>
      <c r="Q190" s="30">
        <f t="shared" si="106"/>
        <v>7.1539999999999999</v>
      </c>
      <c r="R190" s="30">
        <f t="shared" si="106"/>
        <v>14.308</v>
      </c>
      <c r="S190" s="30">
        <f t="shared" si="106"/>
        <v>28.616</v>
      </c>
      <c r="T190" s="30">
        <f t="shared" si="106"/>
        <v>57.231999999999999</v>
      </c>
      <c r="U190" s="30">
        <f t="shared" si="106"/>
        <v>114.464</v>
      </c>
      <c r="V190" s="30">
        <f t="shared" si="106"/>
        <v>228.928</v>
      </c>
      <c r="W190" s="30">
        <f t="shared" si="106"/>
        <v>457.85599999999999</v>
      </c>
      <c r="X190" s="30">
        <f t="shared" si="106"/>
        <v>915.71199999999999</v>
      </c>
      <c r="Y190" s="30">
        <f t="shared" si="106"/>
        <v>1831.424</v>
      </c>
      <c r="Z190" s="30">
        <f t="shared" si="106"/>
        <v>3662.848</v>
      </c>
      <c r="AA190" s="30">
        <f t="shared" ref="AA190:AC190" si="107">AA189*$E$190</f>
        <v>5494.2719999999999</v>
      </c>
      <c r="AB190" s="30">
        <f t="shared" si="107"/>
        <v>6409.9839999999995</v>
      </c>
      <c r="AC190" s="30">
        <f t="shared" si="107"/>
        <v>6886.1542399999998</v>
      </c>
      <c r="AD190" s="30">
        <f t="shared" si="106"/>
        <v>7325.6959999999999</v>
      </c>
      <c r="AE190" s="30">
        <f t="shared" si="106"/>
        <v>14651.392</v>
      </c>
      <c r="AF190" s="30">
        <f>AF189*$E$190</f>
        <v>29302.784</v>
      </c>
      <c r="AG190" s="30">
        <f>AG189*$E$190</f>
        <v>58605.567999999999</v>
      </c>
      <c r="AH190" s="30">
        <f>AH189*$E$190</f>
        <v>117211.136</v>
      </c>
      <c r="AI190" s="29">
        <f t="shared" ref="AI190:AN190" si="108">AI189*$E$190</f>
        <v>234422.272</v>
      </c>
      <c r="AJ190" s="30">
        <f t="shared" si="108"/>
        <v>468844.54399999999</v>
      </c>
      <c r="AK190" s="30">
        <f t="shared" si="108"/>
        <v>937689.08799999999</v>
      </c>
      <c r="AL190" s="30">
        <f t="shared" si="108"/>
        <v>1875378.176</v>
      </c>
      <c r="AM190" s="30">
        <f t="shared" si="108"/>
        <v>2364865.5869999998</v>
      </c>
      <c r="AN190" s="71">
        <f t="shared" si="108"/>
        <v>2364865.5869999998</v>
      </c>
      <c r="AO190" s="45"/>
    </row>
    <row r="191" spans="1:41" x14ac:dyDescent="0.25">
      <c r="A191" s="48" t="s">
        <v>6</v>
      </c>
      <c r="B191" s="24">
        <v>0.13400000000000001</v>
      </c>
      <c r="C191" s="10">
        <f>$B$118 * B191</f>
        <v>44295777</v>
      </c>
      <c r="D191" s="47"/>
      <c r="E191" s="16"/>
      <c r="F191" s="16"/>
      <c r="G191" s="16"/>
      <c r="H191" s="16"/>
      <c r="I191" s="16"/>
      <c r="J191" s="16"/>
      <c r="K191" s="16"/>
      <c r="L191" s="20">
        <f t="shared" ref="L191:AN191" si="109">L$132*$B$191</f>
        <v>4.1875</v>
      </c>
      <c r="M191" s="21">
        <f t="shared" si="109"/>
        <v>8.375</v>
      </c>
      <c r="N191" s="21">
        <f t="shared" si="109"/>
        <v>16.75</v>
      </c>
      <c r="O191" s="21">
        <f t="shared" si="109"/>
        <v>33.5</v>
      </c>
      <c r="P191" s="21">
        <f t="shared" si="109"/>
        <v>67</v>
      </c>
      <c r="Q191" s="21">
        <f t="shared" si="109"/>
        <v>134</v>
      </c>
      <c r="R191" s="21">
        <f t="shared" si="109"/>
        <v>268</v>
      </c>
      <c r="S191" s="21">
        <f t="shared" si="109"/>
        <v>536</v>
      </c>
      <c r="T191" s="21">
        <f t="shared" si="109"/>
        <v>1072</v>
      </c>
      <c r="U191" s="21">
        <f t="shared" si="109"/>
        <v>2144</v>
      </c>
      <c r="V191" s="21">
        <f t="shared" si="109"/>
        <v>4288</v>
      </c>
      <c r="W191" s="21">
        <f t="shared" si="109"/>
        <v>8576</v>
      </c>
      <c r="X191" s="21">
        <f t="shared" si="109"/>
        <v>17152</v>
      </c>
      <c r="Y191" s="21">
        <f t="shared" si="109"/>
        <v>34304</v>
      </c>
      <c r="Z191" s="21">
        <f t="shared" si="109"/>
        <v>68608</v>
      </c>
      <c r="AA191" s="21">
        <f t="shared" si="109"/>
        <v>102912</v>
      </c>
      <c r="AB191" s="21">
        <f t="shared" si="109"/>
        <v>120064</v>
      </c>
      <c r="AC191" s="21">
        <f t="shared" si="109"/>
        <v>128983.04000000001</v>
      </c>
      <c r="AD191" s="21">
        <f t="shared" si="109"/>
        <v>137216</v>
      </c>
      <c r="AE191" s="21">
        <f t="shared" si="109"/>
        <v>274432</v>
      </c>
      <c r="AF191" s="21">
        <f t="shared" si="109"/>
        <v>548864</v>
      </c>
      <c r="AG191" s="21">
        <f t="shared" si="109"/>
        <v>1097728</v>
      </c>
      <c r="AH191" s="21">
        <f t="shared" si="109"/>
        <v>2195456</v>
      </c>
      <c r="AI191" s="20">
        <f t="shared" si="109"/>
        <v>4390912</v>
      </c>
      <c r="AJ191" s="21">
        <f t="shared" si="109"/>
        <v>8781824</v>
      </c>
      <c r="AK191" s="21">
        <f t="shared" si="109"/>
        <v>17563648</v>
      </c>
      <c r="AL191" s="21">
        <f t="shared" si="109"/>
        <v>35127296</v>
      </c>
      <c r="AM191" s="21">
        <f t="shared" si="109"/>
        <v>44295777</v>
      </c>
      <c r="AN191" s="72">
        <f t="shared" si="109"/>
        <v>44295777</v>
      </c>
      <c r="AO191" s="45"/>
    </row>
    <row r="192" spans="1:41" x14ac:dyDescent="0.25">
      <c r="A192" s="48"/>
      <c r="B192" s="16"/>
      <c r="C192" s="16"/>
      <c r="D192" s="25"/>
      <c r="E192" s="46">
        <v>6.3E-2</v>
      </c>
      <c r="F192" s="16"/>
      <c r="G192" s="16"/>
      <c r="H192" s="16"/>
      <c r="I192" s="16"/>
      <c r="J192" s="16"/>
      <c r="K192" s="16"/>
      <c r="L192" s="29">
        <f t="shared" ref="L192:AE192" si="110">L191*$E$192</f>
        <v>0.26381250000000001</v>
      </c>
      <c r="M192" s="30">
        <f t="shared" si="110"/>
        <v>0.52762500000000001</v>
      </c>
      <c r="N192" s="30">
        <f t="shared" si="110"/>
        <v>1.05525</v>
      </c>
      <c r="O192" s="30">
        <f t="shared" si="110"/>
        <v>2.1105</v>
      </c>
      <c r="P192" s="30">
        <f t="shared" si="110"/>
        <v>4.2210000000000001</v>
      </c>
      <c r="Q192" s="30">
        <f t="shared" si="110"/>
        <v>8.4420000000000002</v>
      </c>
      <c r="R192" s="30">
        <f t="shared" si="110"/>
        <v>16.884</v>
      </c>
      <c r="S192" s="30">
        <f t="shared" si="110"/>
        <v>33.768000000000001</v>
      </c>
      <c r="T192" s="30">
        <f t="shared" si="110"/>
        <v>67.536000000000001</v>
      </c>
      <c r="U192" s="30">
        <f t="shared" si="110"/>
        <v>135.072</v>
      </c>
      <c r="V192" s="30">
        <f t="shared" si="110"/>
        <v>270.14400000000001</v>
      </c>
      <c r="W192" s="30">
        <f t="shared" si="110"/>
        <v>540.28800000000001</v>
      </c>
      <c r="X192" s="30">
        <f t="shared" si="110"/>
        <v>1080.576</v>
      </c>
      <c r="Y192" s="30">
        <f t="shared" si="110"/>
        <v>2161.152</v>
      </c>
      <c r="Z192" s="30">
        <f t="shared" si="110"/>
        <v>4322.3040000000001</v>
      </c>
      <c r="AA192" s="30">
        <f t="shared" ref="AA192:AC192" si="111">AA191*$E$192</f>
        <v>6483.4560000000001</v>
      </c>
      <c r="AB192" s="30">
        <f t="shared" si="111"/>
        <v>7564.0320000000002</v>
      </c>
      <c r="AC192" s="30">
        <f t="shared" si="111"/>
        <v>8125.931520000001</v>
      </c>
      <c r="AD192" s="30">
        <f t="shared" si="110"/>
        <v>8644.6080000000002</v>
      </c>
      <c r="AE192" s="30">
        <f t="shared" si="110"/>
        <v>17289.216</v>
      </c>
      <c r="AF192" s="30">
        <f>AF191*$E$192</f>
        <v>34578.432000000001</v>
      </c>
      <c r="AG192" s="30">
        <f>AG191*$E$192</f>
        <v>69156.864000000001</v>
      </c>
      <c r="AH192" s="30">
        <f>AH191*$E$192</f>
        <v>138313.728</v>
      </c>
      <c r="AI192" s="29">
        <f t="shared" ref="AI192:AN192" si="112">AI191*$E$192</f>
        <v>276627.45600000001</v>
      </c>
      <c r="AJ192" s="30">
        <f t="shared" si="112"/>
        <v>553254.91200000001</v>
      </c>
      <c r="AK192" s="30">
        <f t="shared" si="112"/>
        <v>1106509.824</v>
      </c>
      <c r="AL192" s="30">
        <f t="shared" si="112"/>
        <v>2213019.648</v>
      </c>
      <c r="AM192" s="30">
        <f t="shared" si="112"/>
        <v>2790633.9509999999</v>
      </c>
      <c r="AN192" s="71">
        <f t="shared" si="112"/>
        <v>2790633.9509999999</v>
      </c>
      <c r="AO192" s="45"/>
    </row>
    <row r="193" spans="1:41" x14ac:dyDescent="0.25">
      <c r="A193" s="48" t="s">
        <v>7</v>
      </c>
      <c r="B193" s="24">
        <v>0.46</v>
      </c>
      <c r="C193" s="10">
        <f>$B$118 * B193</f>
        <v>152060130</v>
      </c>
      <c r="D193" s="47"/>
      <c r="E193" s="16"/>
      <c r="F193" s="16"/>
      <c r="G193" s="16"/>
      <c r="H193" s="16"/>
      <c r="I193" s="16"/>
      <c r="J193" s="16"/>
      <c r="K193" s="16"/>
      <c r="L193" s="20">
        <f t="shared" ref="L193:AN193" si="113">L$132*$B$193</f>
        <v>14.375</v>
      </c>
      <c r="M193" s="21">
        <f t="shared" si="113"/>
        <v>28.75</v>
      </c>
      <c r="N193" s="21">
        <f t="shared" si="113"/>
        <v>57.5</v>
      </c>
      <c r="O193" s="21">
        <f t="shared" si="113"/>
        <v>115</v>
      </c>
      <c r="P193" s="21">
        <f t="shared" si="113"/>
        <v>230</v>
      </c>
      <c r="Q193" s="21">
        <f t="shared" si="113"/>
        <v>460</v>
      </c>
      <c r="R193" s="21">
        <f t="shared" si="113"/>
        <v>920</v>
      </c>
      <c r="S193" s="21">
        <f t="shared" si="113"/>
        <v>1840</v>
      </c>
      <c r="T193" s="21">
        <f t="shared" si="113"/>
        <v>3680</v>
      </c>
      <c r="U193" s="21">
        <f t="shared" si="113"/>
        <v>7360</v>
      </c>
      <c r="V193" s="21">
        <f t="shared" si="113"/>
        <v>14720</v>
      </c>
      <c r="W193" s="21">
        <f t="shared" si="113"/>
        <v>29440</v>
      </c>
      <c r="X193" s="21">
        <f t="shared" si="113"/>
        <v>58880</v>
      </c>
      <c r="Y193" s="21">
        <f t="shared" si="113"/>
        <v>117760</v>
      </c>
      <c r="Z193" s="21">
        <f t="shared" si="113"/>
        <v>235520</v>
      </c>
      <c r="AA193" s="21">
        <f t="shared" si="113"/>
        <v>353280</v>
      </c>
      <c r="AB193" s="21">
        <f t="shared" si="113"/>
        <v>412160</v>
      </c>
      <c r="AC193" s="21">
        <f t="shared" si="113"/>
        <v>442777.60000000003</v>
      </c>
      <c r="AD193" s="21">
        <f t="shared" si="113"/>
        <v>471040</v>
      </c>
      <c r="AE193" s="21">
        <f t="shared" si="113"/>
        <v>942080</v>
      </c>
      <c r="AF193" s="21">
        <f t="shared" si="113"/>
        <v>1884160</v>
      </c>
      <c r="AG193" s="21">
        <f t="shared" si="113"/>
        <v>3768320</v>
      </c>
      <c r="AH193" s="21">
        <f t="shared" si="113"/>
        <v>7536640</v>
      </c>
      <c r="AI193" s="20">
        <f t="shared" si="113"/>
        <v>15073280</v>
      </c>
      <c r="AJ193" s="21">
        <f t="shared" si="113"/>
        <v>30146560</v>
      </c>
      <c r="AK193" s="21">
        <f t="shared" si="113"/>
        <v>60293120</v>
      </c>
      <c r="AL193" s="21">
        <f t="shared" si="113"/>
        <v>120586240</v>
      </c>
      <c r="AM193" s="21">
        <f t="shared" si="113"/>
        <v>152060130</v>
      </c>
      <c r="AN193" s="72">
        <f t="shared" si="113"/>
        <v>152060130</v>
      </c>
      <c r="AO193" s="45"/>
    </row>
    <row r="194" spans="1:41" x14ac:dyDescent="0.25">
      <c r="A194" s="48"/>
      <c r="B194" s="16"/>
      <c r="C194" s="16"/>
      <c r="D194" s="25"/>
      <c r="E194" s="46">
        <v>0.06</v>
      </c>
      <c r="F194" s="16"/>
      <c r="G194" s="16"/>
      <c r="H194" s="16"/>
      <c r="I194" s="16"/>
      <c r="J194" s="16"/>
      <c r="K194" s="16"/>
      <c r="L194" s="29">
        <f t="shared" ref="L194:AE194" si="114">L193*$E$194</f>
        <v>0.86249999999999993</v>
      </c>
      <c r="M194" s="30">
        <f t="shared" si="114"/>
        <v>1.7249999999999999</v>
      </c>
      <c r="N194" s="30">
        <f t="shared" si="114"/>
        <v>3.4499999999999997</v>
      </c>
      <c r="O194" s="30">
        <f t="shared" si="114"/>
        <v>6.8999999999999995</v>
      </c>
      <c r="P194" s="30">
        <f t="shared" si="114"/>
        <v>13.799999999999999</v>
      </c>
      <c r="Q194" s="30">
        <f t="shared" si="114"/>
        <v>27.599999999999998</v>
      </c>
      <c r="R194" s="30">
        <f t="shared" si="114"/>
        <v>55.199999999999996</v>
      </c>
      <c r="S194" s="30">
        <f t="shared" si="114"/>
        <v>110.39999999999999</v>
      </c>
      <c r="T194" s="30">
        <f t="shared" si="114"/>
        <v>220.79999999999998</v>
      </c>
      <c r="U194" s="30">
        <f t="shared" si="114"/>
        <v>441.59999999999997</v>
      </c>
      <c r="V194" s="30">
        <f t="shared" si="114"/>
        <v>883.19999999999993</v>
      </c>
      <c r="W194" s="30">
        <f t="shared" si="114"/>
        <v>1766.3999999999999</v>
      </c>
      <c r="X194" s="30">
        <f t="shared" si="114"/>
        <v>3532.7999999999997</v>
      </c>
      <c r="Y194" s="30">
        <f t="shared" si="114"/>
        <v>7065.5999999999995</v>
      </c>
      <c r="Z194" s="30">
        <f t="shared" si="114"/>
        <v>14131.199999999999</v>
      </c>
      <c r="AA194" s="30">
        <f t="shared" ref="AA194:AC194" si="115">AA193*$E$194</f>
        <v>21196.799999999999</v>
      </c>
      <c r="AB194" s="30">
        <f t="shared" si="115"/>
        <v>24729.599999999999</v>
      </c>
      <c r="AC194" s="30">
        <f t="shared" si="115"/>
        <v>26566.656000000003</v>
      </c>
      <c r="AD194" s="30">
        <f t="shared" si="114"/>
        <v>28262.399999999998</v>
      </c>
      <c r="AE194" s="30">
        <f t="shared" si="114"/>
        <v>56524.799999999996</v>
      </c>
      <c r="AF194" s="30">
        <f>AF193*$E$194</f>
        <v>113049.59999999999</v>
      </c>
      <c r="AG194" s="30">
        <f>AG193*$E$194</f>
        <v>226099.19999999998</v>
      </c>
      <c r="AH194" s="30">
        <f>AH193*$E$194</f>
        <v>452198.39999999997</v>
      </c>
      <c r="AI194" s="29">
        <f t="shared" ref="AI194:AN194" si="116">AI193*$E$194</f>
        <v>904396.79999999993</v>
      </c>
      <c r="AJ194" s="30">
        <f t="shared" si="116"/>
        <v>1808793.5999999999</v>
      </c>
      <c r="AK194" s="30">
        <f t="shared" si="116"/>
        <v>3617587.1999999997</v>
      </c>
      <c r="AL194" s="30">
        <f t="shared" si="116"/>
        <v>7235174.3999999994</v>
      </c>
      <c r="AM194" s="30">
        <f t="shared" si="116"/>
        <v>9123607.7999999989</v>
      </c>
      <c r="AN194" s="71">
        <f t="shared" si="116"/>
        <v>9123607.7999999989</v>
      </c>
      <c r="AO194" s="45"/>
    </row>
    <row r="195" spans="1:41" x14ac:dyDescent="0.25">
      <c r="A195" s="48" t="s">
        <v>8</v>
      </c>
      <c r="B195" s="24">
        <v>4.3899999999999998E-3</v>
      </c>
      <c r="C195" s="10">
        <f>$B$118 * B195</f>
        <v>1451182.5449999999</v>
      </c>
      <c r="D195" s="47"/>
      <c r="E195" s="16"/>
      <c r="F195" s="16"/>
      <c r="G195" s="16"/>
      <c r="H195" s="16"/>
      <c r="I195" s="16"/>
      <c r="J195" s="16"/>
      <c r="K195" s="16"/>
      <c r="L195" s="20">
        <f t="shared" ref="L195:AN195" si="117">L$132*$B$195</f>
        <v>0.13718749999999999</v>
      </c>
      <c r="M195" s="21">
        <f t="shared" si="117"/>
        <v>0.27437499999999998</v>
      </c>
      <c r="N195" s="21">
        <f t="shared" si="117"/>
        <v>0.54874999999999996</v>
      </c>
      <c r="O195" s="21">
        <f t="shared" si="117"/>
        <v>1.0974999999999999</v>
      </c>
      <c r="P195" s="21">
        <f t="shared" si="117"/>
        <v>2.1949999999999998</v>
      </c>
      <c r="Q195" s="21">
        <f t="shared" si="117"/>
        <v>4.3899999999999997</v>
      </c>
      <c r="R195" s="21">
        <f t="shared" si="117"/>
        <v>8.7799999999999994</v>
      </c>
      <c r="S195" s="21">
        <f t="shared" si="117"/>
        <v>17.559999999999999</v>
      </c>
      <c r="T195" s="21">
        <f t="shared" si="117"/>
        <v>35.119999999999997</v>
      </c>
      <c r="U195" s="21">
        <f t="shared" si="117"/>
        <v>70.239999999999995</v>
      </c>
      <c r="V195" s="21">
        <f t="shared" si="117"/>
        <v>140.47999999999999</v>
      </c>
      <c r="W195" s="21">
        <f t="shared" si="117"/>
        <v>280.95999999999998</v>
      </c>
      <c r="X195" s="21">
        <f t="shared" si="117"/>
        <v>561.91999999999996</v>
      </c>
      <c r="Y195" s="21">
        <f t="shared" si="117"/>
        <v>1123.8399999999999</v>
      </c>
      <c r="Z195" s="21">
        <f t="shared" si="117"/>
        <v>2247.6799999999998</v>
      </c>
      <c r="AA195" s="21">
        <f t="shared" si="117"/>
        <v>3371.52</v>
      </c>
      <c r="AB195" s="21">
        <f t="shared" si="117"/>
        <v>3933.4399999999996</v>
      </c>
      <c r="AC195" s="21">
        <f t="shared" si="117"/>
        <v>4225.6383999999998</v>
      </c>
      <c r="AD195" s="21">
        <f t="shared" si="117"/>
        <v>4495.3599999999997</v>
      </c>
      <c r="AE195" s="21">
        <f t="shared" si="117"/>
        <v>8990.7199999999993</v>
      </c>
      <c r="AF195" s="21">
        <f t="shared" si="117"/>
        <v>17981.439999999999</v>
      </c>
      <c r="AG195" s="21">
        <f t="shared" si="117"/>
        <v>35962.879999999997</v>
      </c>
      <c r="AH195" s="21">
        <f t="shared" si="117"/>
        <v>71925.759999999995</v>
      </c>
      <c r="AI195" s="20">
        <f t="shared" si="117"/>
        <v>143851.51999999999</v>
      </c>
      <c r="AJ195" s="21">
        <f t="shared" si="117"/>
        <v>287703.03999999998</v>
      </c>
      <c r="AK195" s="21">
        <f t="shared" si="117"/>
        <v>575406.07999999996</v>
      </c>
      <c r="AL195" s="21">
        <f t="shared" si="117"/>
        <v>1150812.1599999999</v>
      </c>
      <c r="AM195" s="21">
        <f t="shared" si="117"/>
        <v>1451182.5449999999</v>
      </c>
      <c r="AN195" s="72">
        <f t="shared" si="117"/>
        <v>1451182.5449999999</v>
      </c>
      <c r="AO195" s="45"/>
    </row>
    <row r="196" spans="1:41" x14ac:dyDescent="0.25">
      <c r="A196" s="48"/>
      <c r="B196" s="16"/>
      <c r="C196" s="16"/>
      <c r="D196" s="25"/>
      <c r="E196" s="46">
        <v>5.6000000000000001E-2</v>
      </c>
      <c r="F196" s="16"/>
      <c r="G196" s="16"/>
      <c r="H196" s="16"/>
      <c r="I196" s="16"/>
      <c r="J196" s="16"/>
      <c r="K196" s="16"/>
      <c r="L196" s="29">
        <f t="shared" ref="L196:AE196" si="118">L195*$E$196</f>
        <v>7.6824999999999992E-3</v>
      </c>
      <c r="M196" s="30">
        <f t="shared" si="118"/>
        <v>1.5364999999999998E-2</v>
      </c>
      <c r="N196" s="30">
        <f t="shared" si="118"/>
        <v>3.0729999999999997E-2</v>
      </c>
      <c r="O196" s="30">
        <f t="shared" si="118"/>
        <v>6.1459999999999994E-2</v>
      </c>
      <c r="P196" s="30">
        <f t="shared" si="118"/>
        <v>0.12291999999999999</v>
      </c>
      <c r="Q196" s="30">
        <f t="shared" si="118"/>
        <v>0.24583999999999998</v>
      </c>
      <c r="R196" s="30">
        <f t="shared" si="118"/>
        <v>0.49167999999999995</v>
      </c>
      <c r="S196" s="30">
        <f t="shared" si="118"/>
        <v>0.9833599999999999</v>
      </c>
      <c r="T196" s="30">
        <f t="shared" si="118"/>
        <v>1.9667199999999998</v>
      </c>
      <c r="U196" s="30">
        <f t="shared" si="118"/>
        <v>3.9334399999999996</v>
      </c>
      <c r="V196" s="30">
        <f t="shared" si="118"/>
        <v>7.8668799999999992</v>
      </c>
      <c r="W196" s="30">
        <f t="shared" si="118"/>
        <v>15.733759999999998</v>
      </c>
      <c r="X196" s="30">
        <f t="shared" si="118"/>
        <v>31.467519999999997</v>
      </c>
      <c r="Y196" s="30">
        <f t="shared" si="118"/>
        <v>62.935039999999994</v>
      </c>
      <c r="Z196" s="30">
        <f t="shared" si="118"/>
        <v>125.87007999999999</v>
      </c>
      <c r="AA196" s="30">
        <f t="shared" ref="AA196:AC196" si="119">AA195*$E$196</f>
        <v>188.80512000000002</v>
      </c>
      <c r="AB196" s="30">
        <f t="shared" si="119"/>
        <v>220.27264</v>
      </c>
      <c r="AC196" s="30">
        <f t="shared" si="119"/>
        <v>236.63575040000001</v>
      </c>
      <c r="AD196" s="30">
        <f t="shared" si="118"/>
        <v>251.74015999999997</v>
      </c>
      <c r="AE196" s="30">
        <f t="shared" si="118"/>
        <v>503.48031999999995</v>
      </c>
      <c r="AF196" s="30">
        <f>AF195*$E$196</f>
        <v>1006.9606399999999</v>
      </c>
      <c r="AG196" s="30">
        <f>AG195*$E$196</f>
        <v>2013.9212799999998</v>
      </c>
      <c r="AH196" s="30">
        <f>AH195*$E$196</f>
        <v>4027.8425599999996</v>
      </c>
      <c r="AI196" s="29">
        <f t="shared" ref="AI196:AN196" si="120">AI195*$E$196</f>
        <v>8055.6851199999992</v>
      </c>
      <c r="AJ196" s="30">
        <f t="shared" si="120"/>
        <v>16111.370239999998</v>
      </c>
      <c r="AK196" s="30">
        <f t="shared" si="120"/>
        <v>32222.740479999997</v>
      </c>
      <c r="AL196" s="30">
        <f t="shared" si="120"/>
        <v>64445.480959999994</v>
      </c>
      <c r="AM196" s="30">
        <f t="shared" si="120"/>
        <v>81266.222519999996</v>
      </c>
      <c r="AN196" s="71">
        <f t="shared" si="120"/>
        <v>81266.222519999996</v>
      </c>
      <c r="AO196" s="45"/>
    </row>
    <row r="197" spans="1:41" x14ac:dyDescent="0.25">
      <c r="A197" s="48" t="s">
        <v>9</v>
      </c>
      <c r="B197" s="24">
        <v>0.155</v>
      </c>
      <c r="C197" s="10">
        <f>$B$118 * B197</f>
        <v>51237652.5</v>
      </c>
      <c r="D197" s="47"/>
      <c r="E197" s="16"/>
      <c r="F197" s="16"/>
      <c r="G197" s="16"/>
      <c r="H197" s="16"/>
      <c r="I197" s="16"/>
      <c r="J197" s="16"/>
      <c r="K197" s="16"/>
      <c r="L197" s="20">
        <f t="shared" ref="L197:AN197" si="121">L$132*$B$197</f>
        <v>4.84375</v>
      </c>
      <c r="M197" s="21">
        <f t="shared" si="121"/>
        <v>9.6875</v>
      </c>
      <c r="N197" s="21">
        <f t="shared" si="121"/>
        <v>19.375</v>
      </c>
      <c r="O197" s="21">
        <f t="shared" si="121"/>
        <v>38.75</v>
      </c>
      <c r="P197" s="21">
        <f t="shared" si="121"/>
        <v>77.5</v>
      </c>
      <c r="Q197" s="21">
        <f t="shared" si="121"/>
        <v>155</v>
      </c>
      <c r="R197" s="21">
        <f t="shared" si="121"/>
        <v>310</v>
      </c>
      <c r="S197" s="21">
        <f t="shared" si="121"/>
        <v>620</v>
      </c>
      <c r="T197" s="21">
        <f t="shared" si="121"/>
        <v>1240</v>
      </c>
      <c r="U197" s="21">
        <f t="shared" si="121"/>
        <v>2480</v>
      </c>
      <c r="V197" s="21">
        <f t="shared" si="121"/>
        <v>4960</v>
      </c>
      <c r="W197" s="21">
        <f t="shared" si="121"/>
        <v>9920</v>
      </c>
      <c r="X197" s="21">
        <f t="shared" si="121"/>
        <v>19840</v>
      </c>
      <c r="Y197" s="21">
        <f t="shared" si="121"/>
        <v>39680</v>
      </c>
      <c r="Z197" s="21">
        <f t="shared" si="121"/>
        <v>79360</v>
      </c>
      <c r="AA197" s="21">
        <f t="shared" si="121"/>
        <v>119040</v>
      </c>
      <c r="AB197" s="21">
        <f t="shared" si="121"/>
        <v>138880</v>
      </c>
      <c r="AC197" s="21">
        <f t="shared" si="121"/>
        <v>149196.79999999999</v>
      </c>
      <c r="AD197" s="21">
        <f t="shared" si="121"/>
        <v>158720</v>
      </c>
      <c r="AE197" s="21">
        <f t="shared" si="121"/>
        <v>317440</v>
      </c>
      <c r="AF197" s="21">
        <f t="shared" si="121"/>
        <v>634880</v>
      </c>
      <c r="AG197" s="21">
        <f t="shared" si="121"/>
        <v>1269760</v>
      </c>
      <c r="AH197" s="21">
        <f t="shared" si="121"/>
        <v>2539520</v>
      </c>
      <c r="AI197" s="20">
        <f t="shared" si="121"/>
        <v>5079040</v>
      </c>
      <c r="AJ197" s="21">
        <f t="shared" si="121"/>
        <v>10158080</v>
      </c>
      <c r="AK197" s="21">
        <f t="shared" si="121"/>
        <v>20316160</v>
      </c>
      <c r="AL197" s="21">
        <f t="shared" si="121"/>
        <v>40632320</v>
      </c>
      <c r="AM197" s="21">
        <f t="shared" si="121"/>
        <v>51237652.5</v>
      </c>
      <c r="AN197" s="72">
        <f t="shared" si="121"/>
        <v>51237652.5</v>
      </c>
      <c r="AO197" s="45"/>
    </row>
    <row r="198" spans="1:41" x14ac:dyDescent="0.25">
      <c r="A198" s="37"/>
      <c r="B198" s="39"/>
      <c r="C198" s="39"/>
      <c r="D198" s="55"/>
      <c r="E198" s="56" t="s">
        <v>10</v>
      </c>
      <c r="F198" s="39"/>
      <c r="G198" s="39"/>
      <c r="H198" s="39"/>
      <c r="I198" s="39"/>
      <c r="J198" s="39"/>
      <c r="K198" s="39"/>
      <c r="L198" s="31" t="s">
        <v>10</v>
      </c>
      <c r="M198" s="32" t="s">
        <v>10</v>
      </c>
      <c r="N198" s="32" t="s">
        <v>10</v>
      </c>
      <c r="O198" s="32" t="s">
        <v>10</v>
      </c>
      <c r="P198" s="32" t="s">
        <v>10</v>
      </c>
      <c r="Q198" s="32" t="s">
        <v>10</v>
      </c>
      <c r="R198" s="32" t="s">
        <v>10</v>
      </c>
      <c r="S198" s="32" t="s">
        <v>10</v>
      </c>
      <c r="T198" s="32" t="s">
        <v>10</v>
      </c>
      <c r="U198" s="32" t="s">
        <v>10</v>
      </c>
      <c r="V198" s="32" t="s">
        <v>10</v>
      </c>
      <c r="W198" s="32" t="s">
        <v>10</v>
      </c>
      <c r="X198" s="32" t="s">
        <v>10</v>
      </c>
      <c r="Y198" s="32" t="s">
        <v>10</v>
      </c>
      <c r="Z198" s="32" t="s">
        <v>10</v>
      </c>
      <c r="AA198" s="32" t="s">
        <v>10</v>
      </c>
      <c r="AB198" s="32" t="s">
        <v>10</v>
      </c>
      <c r="AC198" s="32" t="s">
        <v>10</v>
      </c>
      <c r="AD198" s="32" t="s">
        <v>10</v>
      </c>
      <c r="AE198" s="32" t="s">
        <v>10</v>
      </c>
      <c r="AF198" s="32" t="s">
        <v>10</v>
      </c>
      <c r="AG198" s="32" t="s">
        <v>10</v>
      </c>
      <c r="AH198" s="32" t="s">
        <v>10</v>
      </c>
      <c r="AI198" s="29" t="s">
        <v>10</v>
      </c>
      <c r="AJ198" s="30" t="s">
        <v>10</v>
      </c>
      <c r="AK198" s="30" t="s">
        <v>10</v>
      </c>
      <c r="AL198" s="30" t="s">
        <v>10</v>
      </c>
      <c r="AM198" s="30" t="s">
        <v>10</v>
      </c>
      <c r="AN198" s="71" t="s">
        <v>10</v>
      </c>
      <c r="AO198" s="45"/>
    </row>
    <row r="199" spans="1:41" x14ac:dyDescent="0.25">
      <c r="A199" s="41"/>
      <c r="B199" s="16"/>
      <c r="C199" s="16"/>
      <c r="D199" s="47"/>
      <c r="E199" s="16"/>
      <c r="F199" s="16"/>
      <c r="G199" s="16"/>
      <c r="H199" s="16"/>
      <c r="I199" s="16"/>
      <c r="J199" s="16"/>
      <c r="K199" s="16"/>
      <c r="L199" s="20">
        <f>SUM(L187,L189,L191,L193,L195,L197)</f>
        <v>38.105937500000003</v>
      </c>
      <c r="M199" s="21">
        <f t="shared" ref="M199:AE199" si="122">SUM(M187,M189,M191,M193,M195,M197)</f>
        <v>76.211875000000006</v>
      </c>
      <c r="N199" s="21">
        <f t="shared" si="122"/>
        <v>152.42375000000001</v>
      </c>
      <c r="O199" s="21">
        <f t="shared" si="122"/>
        <v>304.84750000000003</v>
      </c>
      <c r="P199" s="21">
        <f t="shared" si="122"/>
        <v>609.69500000000005</v>
      </c>
      <c r="Q199" s="21">
        <f t="shared" si="122"/>
        <v>1219.3900000000001</v>
      </c>
      <c r="R199" s="21">
        <f>SUM(R187,R189,R191,R193,R195,R197)</f>
        <v>2438.7800000000002</v>
      </c>
      <c r="S199" s="21">
        <f t="shared" si="122"/>
        <v>4877.5600000000004</v>
      </c>
      <c r="T199" s="21">
        <f t="shared" si="122"/>
        <v>9755.1200000000008</v>
      </c>
      <c r="U199" s="21">
        <f t="shared" si="122"/>
        <v>19510.240000000002</v>
      </c>
      <c r="V199" s="21">
        <f t="shared" si="122"/>
        <v>39020.480000000003</v>
      </c>
      <c r="W199" s="21">
        <f t="shared" si="122"/>
        <v>78040.960000000006</v>
      </c>
      <c r="X199" s="21">
        <f t="shared" si="122"/>
        <v>156081.92000000001</v>
      </c>
      <c r="Y199" s="21">
        <f t="shared" si="122"/>
        <v>312163.84000000003</v>
      </c>
      <c r="Z199" s="21">
        <f t="shared" si="122"/>
        <v>624327.68000000005</v>
      </c>
      <c r="AA199" s="21">
        <f t="shared" ref="AA199:AC199" si="123">SUM(AA187,AA189,AA191,AA193,AA195,AA197)</f>
        <v>936491.52000000002</v>
      </c>
      <c r="AB199" s="21">
        <f t="shared" si="123"/>
        <v>1092573.44</v>
      </c>
      <c r="AC199" s="21">
        <f t="shared" si="123"/>
        <v>1173736.0384000002</v>
      </c>
      <c r="AD199" s="21">
        <f t="shared" si="122"/>
        <v>1248655.3600000001</v>
      </c>
      <c r="AE199" s="21">
        <f t="shared" si="122"/>
        <v>2497310.7200000002</v>
      </c>
      <c r="AF199" s="21">
        <f t="shared" ref="AF199:AH200" si="124">SUM(AF187,AF189,AF191,AF193,AF195,AF197)</f>
        <v>4994621.4400000004</v>
      </c>
      <c r="AG199" s="21">
        <f t="shared" si="124"/>
        <v>9989242.8800000008</v>
      </c>
      <c r="AH199" s="21">
        <f t="shared" si="124"/>
        <v>19978485.760000002</v>
      </c>
      <c r="AI199" s="18">
        <f t="shared" ref="AI199:AN199" si="125">SUM(AI187,AI189,AI191,AI193,AI195,AI197)</f>
        <v>39956971.520000003</v>
      </c>
      <c r="AJ199" s="19">
        <f t="shared" si="125"/>
        <v>79913943.040000007</v>
      </c>
      <c r="AK199" s="19">
        <f t="shared" si="125"/>
        <v>159827886.08000001</v>
      </c>
      <c r="AL199" s="19">
        <f t="shared" si="125"/>
        <v>319655772.16000003</v>
      </c>
      <c r="AM199" s="19">
        <f t="shared" si="125"/>
        <v>403088265.04500002</v>
      </c>
      <c r="AN199" s="60">
        <f t="shared" si="125"/>
        <v>403088265.04500002</v>
      </c>
      <c r="AO199" s="45"/>
    </row>
    <row r="200" spans="1:41" x14ac:dyDescent="0.25">
      <c r="A200" s="37" t="s">
        <v>40</v>
      </c>
      <c r="B200" s="39"/>
      <c r="C200" s="39"/>
      <c r="D200" s="39"/>
      <c r="E200" s="39"/>
      <c r="F200" s="39"/>
      <c r="G200" s="39"/>
      <c r="H200" s="39"/>
      <c r="I200" s="39"/>
      <c r="J200" s="39"/>
      <c r="K200" s="39"/>
      <c r="L200" s="31">
        <f>SUM(L188,L190,L192,L194,L196,L198)</f>
        <v>2.5650575</v>
      </c>
      <c r="M200" s="32">
        <f t="shared" ref="M200:AE200" si="126">SUM(M188,M190,M192,M194,M196,M198)</f>
        <v>5.130115</v>
      </c>
      <c r="N200" s="32">
        <f t="shared" si="126"/>
        <v>10.26023</v>
      </c>
      <c r="O200" s="32">
        <f t="shared" si="126"/>
        <v>20.52046</v>
      </c>
      <c r="P200" s="32">
        <f t="shared" si="126"/>
        <v>41.04092</v>
      </c>
      <c r="Q200" s="32">
        <f t="shared" si="126"/>
        <v>82.08184</v>
      </c>
      <c r="R200" s="32">
        <f t="shared" si="126"/>
        <v>164.16368</v>
      </c>
      <c r="S200" s="32">
        <f t="shared" si="126"/>
        <v>328.32736</v>
      </c>
      <c r="T200" s="32">
        <f t="shared" si="126"/>
        <v>656.65472</v>
      </c>
      <c r="U200" s="32">
        <f t="shared" si="126"/>
        <v>1313.30944</v>
      </c>
      <c r="V200" s="32">
        <f t="shared" si="126"/>
        <v>2626.61888</v>
      </c>
      <c r="W200" s="32">
        <f t="shared" si="126"/>
        <v>5253.23776</v>
      </c>
      <c r="X200" s="32">
        <f t="shared" si="126"/>
        <v>10506.47552</v>
      </c>
      <c r="Y200" s="32">
        <f t="shared" si="126"/>
        <v>21012.95104</v>
      </c>
      <c r="Z200" s="32">
        <f t="shared" si="126"/>
        <v>42025.90208</v>
      </c>
      <c r="AA200" s="32">
        <f t="shared" ref="AA200:AC200" si="127">SUM(AA188,AA190,AA192,AA194,AA196,AA198)</f>
        <v>63038.853119999992</v>
      </c>
      <c r="AB200" s="32">
        <f t="shared" si="127"/>
        <v>73545.328639999992</v>
      </c>
      <c r="AC200" s="32">
        <f t="shared" si="127"/>
        <v>79008.695910400013</v>
      </c>
      <c r="AD200" s="32">
        <f t="shared" si="126"/>
        <v>84051.80416</v>
      </c>
      <c r="AE200" s="32">
        <f t="shared" si="126"/>
        <v>168103.60832</v>
      </c>
      <c r="AF200" s="32">
        <f t="shared" si="124"/>
        <v>336207.21664</v>
      </c>
      <c r="AG200" s="32">
        <f t="shared" si="124"/>
        <v>672414.43328</v>
      </c>
      <c r="AH200" s="32">
        <f t="shared" si="124"/>
        <v>1344828.86656</v>
      </c>
      <c r="AI200" s="31">
        <f t="shared" ref="AI200:AN200" si="128">SUM(AI188,AI190,AI192,AI194,AI196,AI198)</f>
        <v>2689657.73312</v>
      </c>
      <c r="AJ200" s="32">
        <f t="shared" si="128"/>
        <v>5379315.46624</v>
      </c>
      <c r="AK200" s="32">
        <f t="shared" si="128"/>
        <v>10758630.93248</v>
      </c>
      <c r="AL200" s="32">
        <f t="shared" si="128"/>
        <v>21517261.86496</v>
      </c>
      <c r="AM200" s="32">
        <f t="shared" si="128"/>
        <v>27133424.480520003</v>
      </c>
      <c r="AN200" s="73">
        <f t="shared" si="128"/>
        <v>27133424.480520003</v>
      </c>
      <c r="AO200" s="45"/>
    </row>
  </sheetData>
  <conditionalFormatting sqref="AO143 L143:AM143">
    <cfRule type="cellIs" dxfId="21" priority="31" operator="greaterThan">
      <formula>$C$122</formula>
    </cfRule>
  </conditionalFormatting>
  <conditionalFormatting sqref="L145:AM145">
    <cfRule type="cellIs" dxfId="20" priority="30" operator="greaterThan">
      <formula>$C$123</formula>
    </cfRule>
  </conditionalFormatting>
  <conditionalFormatting sqref="L164:AN164">
    <cfRule type="cellIs" dxfId="19" priority="29" operator="greaterThan">
      <formula>$C$164</formula>
    </cfRule>
  </conditionalFormatting>
  <conditionalFormatting sqref="L166:AN166">
    <cfRule type="cellIs" dxfId="18" priority="28" operator="greaterThan">
      <formula>$C$166</formula>
    </cfRule>
  </conditionalFormatting>
  <conditionalFormatting sqref="L168:AN168">
    <cfRule type="cellIs" dxfId="17" priority="27" operator="greaterThan">
      <formula>$C$168</formula>
    </cfRule>
  </conditionalFormatting>
  <conditionalFormatting sqref="L170:AN170">
    <cfRule type="cellIs" dxfId="16" priority="19" operator="greaterThan">
      <formula>$C$170</formula>
    </cfRule>
  </conditionalFormatting>
  <conditionalFormatting sqref="L172:AN172">
    <cfRule type="cellIs" dxfId="15" priority="18" operator="greaterThan">
      <formula>$C$172</formula>
    </cfRule>
  </conditionalFormatting>
  <conditionalFormatting sqref="L174:AN174">
    <cfRule type="cellIs" dxfId="14" priority="17" operator="greaterThan">
      <formula>$C$174</formula>
    </cfRule>
  </conditionalFormatting>
  <conditionalFormatting sqref="L176:AN176">
    <cfRule type="cellIs" dxfId="13" priority="16" operator="greaterThan">
      <formula>$C$176</formula>
    </cfRule>
  </conditionalFormatting>
  <conditionalFormatting sqref="L178:AN178">
    <cfRule type="cellIs" dxfId="12" priority="15" operator="greaterThan">
      <formula>$C$178</formula>
    </cfRule>
  </conditionalFormatting>
  <conditionalFormatting sqref="L180:AN180">
    <cfRule type="cellIs" dxfId="11" priority="14" operator="greaterThan">
      <formula>$C$180</formula>
    </cfRule>
  </conditionalFormatting>
  <conditionalFormatting sqref="L134:AN134">
    <cfRule type="cellIs" dxfId="10" priority="13" operator="equal">
      <formula>0</formula>
    </cfRule>
  </conditionalFormatting>
  <conditionalFormatting sqref="M145:AM145 L143:AM143 L141:AM141">
    <cfRule type="cellIs" dxfId="9" priority="12" operator="equal">
      <formula>0</formula>
    </cfRule>
  </conditionalFormatting>
  <conditionalFormatting sqref="D164">
    <cfRule type="cellIs" dxfId="8" priority="9" operator="greaterThan">
      <formula>$B$164</formula>
    </cfRule>
  </conditionalFormatting>
  <conditionalFormatting sqref="D166">
    <cfRule type="cellIs" dxfId="7" priority="8" operator="greaterThan">
      <formula>$B$166</formula>
    </cfRule>
  </conditionalFormatting>
  <conditionalFormatting sqref="D168">
    <cfRule type="cellIs" dxfId="6" priority="7" operator="greaterThan">
      <formula>$B$168</formula>
    </cfRule>
  </conditionalFormatting>
  <conditionalFormatting sqref="D170">
    <cfRule type="cellIs" dxfId="5" priority="6" operator="greaterThan">
      <formula>$B$170</formula>
    </cfRule>
  </conditionalFormatting>
  <conditionalFormatting sqref="D172">
    <cfRule type="cellIs" dxfId="4" priority="5" operator="greaterThan">
      <formula>$B$172</formula>
    </cfRule>
  </conditionalFormatting>
  <conditionalFormatting sqref="D174">
    <cfRule type="cellIs" dxfId="3" priority="4" operator="greaterThan">
      <formula>$B$174</formula>
    </cfRule>
  </conditionalFormatting>
  <conditionalFormatting sqref="D176">
    <cfRule type="cellIs" dxfId="2" priority="3" operator="greaterThan">
      <formula>$B$176</formula>
    </cfRule>
  </conditionalFormatting>
  <conditionalFormatting sqref="D178">
    <cfRule type="cellIs" dxfId="1" priority="2" operator="greaterThan">
      <formula>$B$178</formula>
    </cfRule>
  </conditionalFormatting>
  <conditionalFormatting sqref="D180">
    <cfRule type="cellIs" dxfId="0" priority="1" operator="greaterThan">
      <formula>$B$180</formula>
    </cfRule>
  </conditionalFormatting>
  <hyperlinks>
    <hyperlink ref="E163" r:id="rId1" location="case-fatality-rate-of-covid-19-by-age" xr:uid="{0058192C-B05A-45D2-8597-C1F9B3D9241E}"/>
    <hyperlink ref="E186" r:id="rId2" location="case-fatality-rate-of-covid-19-by-preexisting-health-conditions" xr:uid="{110A2613-24A6-4768-B90C-571B307D13E2}"/>
    <hyperlink ref="B120" r:id="rId3" display="https://cmmid.github.io/topics/covid19/severity/global_cfr_estimates.html" xr:uid="{478D393B-144B-447C-BE80-8DB4A6AAAE87}"/>
  </hyperlinks>
  <pageMargins left="0.7" right="0.7" top="0.75" bottom="0.75" header="0.3" footer="0.3"/>
  <pageSetup paperSize="9" orientation="portrait" horizontalDpi="0"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R12" sqref="R12"/>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118</v>
      </c>
      <c r="C3" s="163">
        <f>Projections!B118</f>
        <v>330565500</v>
      </c>
      <c r="J3" s="2"/>
    </row>
    <row r="4" spans="2:10" x14ac:dyDescent="0.25">
      <c r="B4" s="180" t="s">
        <v>135</v>
      </c>
      <c r="C4" s="163">
        <f>Projections!L132</f>
        <v>31.25</v>
      </c>
      <c r="J4" s="2"/>
    </row>
    <row r="5" spans="2:10" x14ac:dyDescent="0.25">
      <c r="B5" s="180" t="s">
        <v>136</v>
      </c>
      <c r="C5" s="161">
        <f>Projections!L131</f>
        <v>43882</v>
      </c>
      <c r="J5" s="2"/>
    </row>
    <row r="6" spans="2:10" x14ac:dyDescent="0.25">
      <c r="B6" s="180" t="s">
        <v>119</v>
      </c>
      <c r="C6" s="163">
        <v>763832</v>
      </c>
    </row>
    <row r="7" spans="2:10" x14ac:dyDescent="0.25">
      <c r="B7" s="180" t="s">
        <v>121</v>
      </c>
      <c r="C7" s="161">
        <f ca="1">NOW()</f>
        <v>43947.770149189811</v>
      </c>
    </row>
    <row r="8" spans="2:10" x14ac:dyDescent="0.25">
      <c r="B8" s="180" t="s">
        <v>137</v>
      </c>
      <c r="C8" s="162">
        <f ca="1">C7-C5</f>
        <v>65.770149189811491</v>
      </c>
    </row>
    <row r="9" spans="2:10" x14ac:dyDescent="0.25">
      <c r="B9" s="180" t="s">
        <v>120</v>
      </c>
      <c r="C9" s="164">
        <f ca="1">C8/(LOG(C6/C4)/LOG(2))</f>
        <v>4.5118780190650725</v>
      </c>
      <c r="D9" t="s">
        <v>98</v>
      </c>
      <c r="F9" t="s">
        <v>138</v>
      </c>
    </row>
    <row r="10" spans="2:10" x14ac:dyDescent="0.25">
      <c r="B10" s="180" t="s">
        <v>125</v>
      </c>
      <c r="C10" s="163">
        <f>Projections!C122</f>
        <v>793357.2</v>
      </c>
    </row>
    <row r="11" spans="2:10" x14ac:dyDescent="0.25">
      <c r="B11" s="181" t="s">
        <v>126</v>
      </c>
      <c r="C11" s="168">
        <f>Projections!C123</f>
        <v>114706.22850000001</v>
      </c>
    </row>
    <row r="12" spans="2:10" s="69" customFormat="1" x14ac:dyDescent="0.25">
      <c r="B12" s="62" t="s">
        <v>166</v>
      </c>
      <c r="C12" s="169">
        <f>C6/Projections!B120</f>
        <v>6365266.666666667</v>
      </c>
    </row>
    <row r="13" spans="2:10" s="69" customFormat="1" x14ac:dyDescent="0.25">
      <c r="B13" s="48" t="s">
        <v>167</v>
      </c>
      <c r="C13" s="170">
        <f ca="1">(C4/Projections!B120)*(2^(((C7-21)-C5)/C9))</f>
        <v>252759.95275547323</v>
      </c>
    </row>
    <row r="14" spans="2:10" s="69" customFormat="1" x14ac:dyDescent="0.25">
      <c r="B14" s="49" t="s">
        <v>168</v>
      </c>
      <c r="C14" s="151">
        <f ca="1">C12-C13</f>
        <v>6112506.7139111934</v>
      </c>
      <c r="E14" s="166"/>
      <c r="F14" s="167" t="s">
        <v>142</v>
      </c>
      <c r="G14" s="165"/>
    </row>
    <row r="15" spans="2:10" x14ac:dyDescent="0.25">
      <c r="B15" s="4" t="s">
        <v>139</v>
      </c>
      <c r="C15" s="64">
        <f>C6*Projections!B124</f>
        <v>618703.92000000004</v>
      </c>
      <c r="I15" s="160"/>
    </row>
    <row r="16" spans="2:10" x14ac:dyDescent="0.25">
      <c r="B16" s="41" t="s">
        <v>149</v>
      </c>
      <c r="C16" s="83">
        <f ca="1">(C4*Projections!B124)*(2^(((C7-21)-C5)/C9))</f>
        <v>24568.267407831998</v>
      </c>
      <c r="I16" s="160"/>
    </row>
    <row r="17" spans="2:9" x14ac:dyDescent="0.25">
      <c r="B17" s="41" t="s">
        <v>140</v>
      </c>
      <c r="C17" s="83">
        <f ca="1">C15-C16</f>
        <v>594135.65259216807</v>
      </c>
      <c r="F17" t="s">
        <v>143</v>
      </c>
      <c r="I17" s="160"/>
    </row>
    <row r="18" spans="2:9" x14ac:dyDescent="0.25">
      <c r="B18" s="4" t="s">
        <v>145</v>
      </c>
      <c r="C18" s="64">
        <f>C6*Projections!B125</f>
        <v>106936.48000000001</v>
      </c>
    </row>
    <row r="19" spans="2:9" x14ac:dyDescent="0.25">
      <c r="B19" s="41" t="s">
        <v>150</v>
      </c>
      <c r="C19" s="83">
        <f ca="1">(C4*Projections!B125)*(2^(((C7-49)-C5)/C9))</f>
        <v>57.527181634912935</v>
      </c>
    </row>
    <row r="20" spans="2:9" x14ac:dyDescent="0.25">
      <c r="B20" s="41" t="s">
        <v>144</v>
      </c>
      <c r="C20" s="83">
        <f ca="1">C18-C19</f>
        <v>106878.9528183651</v>
      </c>
      <c r="F20" t="s">
        <v>148</v>
      </c>
    </row>
    <row r="21" spans="2:9" x14ac:dyDescent="0.25">
      <c r="B21" s="4" t="s">
        <v>146</v>
      </c>
      <c r="C21" s="64">
        <f>C6*Projections!B126</f>
        <v>38191.599999999999</v>
      </c>
      <c r="I21" s="160"/>
    </row>
    <row r="22" spans="2:9" x14ac:dyDescent="0.25">
      <c r="B22" s="41" t="s">
        <v>151</v>
      </c>
      <c r="C22" s="83">
        <f ca="1">(C4*Projections!B126)*(2^(((C7-49)-C5)/C9))</f>
        <v>20.545422012468904</v>
      </c>
      <c r="I22" s="160"/>
    </row>
    <row r="23" spans="2:9" x14ac:dyDescent="0.25">
      <c r="B23" s="41" t="s">
        <v>147</v>
      </c>
      <c r="C23" s="83">
        <f ca="1">C21-C22</f>
        <v>38171.054577987532</v>
      </c>
      <c r="I23" s="160"/>
    </row>
    <row r="24" spans="2:9" x14ac:dyDescent="0.25">
      <c r="B24" s="4" t="s">
        <v>152</v>
      </c>
      <c r="C24" s="64">
        <f>C6*Projections!B127</f>
        <v>42774.592000000004</v>
      </c>
    </row>
    <row r="25" spans="2:9" x14ac:dyDescent="0.25">
      <c r="B25" s="37" t="s">
        <v>153</v>
      </c>
      <c r="C25" s="61">
        <f ca="1">(C4*Projections!B127)*(2^(((C7-42)-C5)/C9))</f>
        <v>67.448019424883697</v>
      </c>
      <c r="F25" t="s">
        <v>154</v>
      </c>
    </row>
    <row r="26" spans="2:9" x14ac:dyDescent="0.25">
      <c r="B26" s="41" t="s">
        <v>130</v>
      </c>
      <c r="C26" s="173">
        <f ca="1">C9*(LOG(C10/C21)/LOG(2))</f>
        <v>19.746880713773077</v>
      </c>
      <c r="D26" t="s">
        <v>98</v>
      </c>
      <c r="F26" s="69" t="s">
        <v>155</v>
      </c>
    </row>
    <row r="27" spans="2:9" x14ac:dyDescent="0.25">
      <c r="B27" s="37" t="s">
        <v>127</v>
      </c>
      <c r="C27" s="172">
        <f ca="1">C7+C26</f>
        <v>43967.517029903582</v>
      </c>
      <c r="F27" t="s">
        <v>156</v>
      </c>
    </row>
    <row r="28" spans="2:9" x14ac:dyDescent="0.25">
      <c r="B28" s="4" t="s">
        <v>131</v>
      </c>
      <c r="C28" s="171">
        <f ca="1">C9*(LOG(C11/C21)/LOG(2))</f>
        <v>7.1586199511709383</v>
      </c>
      <c r="D28" t="s">
        <v>98</v>
      </c>
    </row>
    <row r="29" spans="2:9" x14ac:dyDescent="0.25">
      <c r="B29" s="37" t="s">
        <v>128</v>
      </c>
      <c r="C29" s="172">
        <f ca="1">C7+C28</f>
        <v>43954.928769140985</v>
      </c>
      <c r="F29" t="s">
        <v>156</v>
      </c>
    </row>
    <row r="30" spans="2:9" x14ac:dyDescent="0.25">
      <c r="B30" s="4" t="s">
        <v>132</v>
      </c>
      <c r="C30" s="171">
        <f ca="1">C9*(LOG((C3*0.6)/C12)/LOG(2))</f>
        <v>22.386160162754198</v>
      </c>
      <c r="D30" t="s">
        <v>98</v>
      </c>
    </row>
    <row r="31" spans="2:9" x14ac:dyDescent="0.25">
      <c r="B31" s="37" t="s">
        <v>129</v>
      </c>
      <c r="C31" s="172">
        <f ca="1">C7+C30</f>
        <v>43970.156309352569</v>
      </c>
    </row>
    <row r="34" spans="2:6" x14ac:dyDescent="0.25">
      <c r="B34" s="4" t="s">
        <v>133</v>
      </c>
      <c r="C34" s="161">
        <f ca="1">C7+30</f>
        <v>43977.770149189811</v>
      </c>
      <c r="F34" t="s">
        <v>169</v>
      </c>
    </row>
    <row r="35" spans="2:6" x14ac:dyDescent="0.25">
      <c r="B35" s="41" t="s">
        <v>134</v>
      </c>
      <c r="C35" s="83">
        <f ca="1">C6*(2^((C34-C7)/C9))</f>
        <v>76662184.01339297</v>
      </c>
      <c r="F35" t="s">
        <v>141</v>
      </c>
    </row>
    <row r="36" spans="2:6" x14ac:dyDescent="0.25">
      <c r="B36" s="41" t="s">
        <v>190</v>
      </c>
      <c r="C36" s="83">
        <f ca="1">C35/Projections!B120</f>
        <v>638851533.4449414</v>
      </c>
    </row>
    <row r="37" spans="2:6" x14ac:dyDescent="0.25">
      <c r="B37" s="41" t="s">
        <v>74</v>
      </c>
      <c r="C37" s="83">
        <f ca="1">C35*Projections!B124</f>
        <v>62096369.050848313</v>
      </c>
    </row>
    <row r="38" spans="2:6" x14ac:dyDescent="0.25">
      <c r="B38" s="41" t="s">
        <v>122</v>
      </c>
      <c r="C38" s="83">
        <f ca="1">C35*Projections!B125</f>
        <v>10732705.761875017</v>
      </c>
    </row>
    <row r="39" spans="2:6" x14ac:dyDescent="0.25">
      <c r="B39" s="41" t="s">
        <v>123</v>
      </c>
      <c r="C39" s="83">
        <f ca="1">C35*Projections!B126</f>
        <v>3833109.2006696486</v>
      </c>
    </row>
    <row r="40" spans="2:6" x14ac:dyDescent="0.25">
      <c r="B40" s="37" t="s">
        <v>124</v>
      </c>
      <c r="C40" s="61">
        <f ca="1">C35*Projections!B127</f>
        <v>4293082.3047500066</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287" t="s">
        <v>185</v>
      </c>
      <c r="B2" s="229"/>
      <c r="C2" s="76"/>
    </row>
    <row r="3" spans="1:4" ht="30" x14ac:dyDescent="0.25">
      <c r="A3" s="287"/>
      <c r="B3" s="229" t="s">
        <v>186</v>
      </c>
      <c r="C3" s="76"/>
    </row>
    <row r="4" spans="1:4" x14ac:dyDescent="0.25">
      <c r="A4" s="286" t="s">
        <v>47</v>
      </c>
      <c r="B4" s="232">
        <v>308745538</v>
      </c>
      <c r="C4" s="76"/>
    </row>
    <row r="5" spans="1:4" x14ac:dyDescent="0.25">
      <c r="A5" s="286"/>
      <c r="B5" s="230">
        <v>1</v>
      </c>
      <c r="C5" s="76"/>
    </row>
    <row r="6" spans="1:4" x14ac:dyDescent="0.25">
      <c r="A6" s="286" t="s">
        <v>21</v>
      </c>
      <c r="B6" s="232">
        <v>20201362</v>
      </c>
      <c r="C6" s="76"/>
    </row>
    <row r="7" spans="1:4" x14ac:dyDescent="0.25">
      <c r="A7" s="286"/>
      <c r="B7" s="231">
        <f>B6/$B$4</f>
        <v>6.5430458139932701E-2</v>
      </c>
      <c r="C7" s="77"/>
    </row>
    <row r="8" spans="1:4" x14ac:dyDescent="0.25">
      <c r="A8" s="286" t="s">
        <v>22</v>
      </c>
      <c r="B8" s="232">
        <v>20348657</v>
      </c>
      <c r="C8" s="76"/>
    </row>
    <row r="9" spans="1:4" x14ac:dyDescent="0.25">
      <c r="A9" s="286"/>
      <c r="B9" s="231">
        <f>B8/$B$4</f>
        <v>6.590753386045696E-2</v>
      </c>
      <c r="C9" s="232">
        <f>B6+B8</f>
        <v>40550019</v>
      </c>
      <c r="D9" s="1">
        <f>C9/$B$4</f>
        <v>0.13133799200038965</v>
      </c>
    </row>
    <row r="10" spans="1:4" x14ac:dyDescent="0.25">
      <c r="A10" s="286" t="s">
        <v>23</v>
      </c>
      <c r="B10" s="232">
        <v>20677194</v>
      </c>
      <c r="C10" s="76"/>
    </row>
    <row r="11" spans="1:4" x14ac:dyDescent="0.25">
      <c r="A11" s="286"/>
      <c r="B11" s="231">
        <f>B10/$B$4</f>
        <v>6.6971636688074182E-2</v>
      </c>
      <c r="C11" s="76"/>
    </row>
    <row r="12" spans="1:4" x14ac:dyDescent="0.25">
      <c r="A12" s="286" t="s">
        <v>24</v>
      </c>
      <c r="B12" s="232">
        <v>22040343</v>
      </c>
      <c r="C12" s="76"/>
    </row>
    <row r="13" spans="1:4" x14ac:dyDescent="0.25">
      <c r="A13" s="286"/>
      <c r="B13" s="231">
        <f>B12/$B$4</f>
        <v>7.13867579844992E-2</v>
      </c>
      <c r="C13" s="232">
        <f>B10+B12</f>
        <v>42717537</v>
      </c>
      <c r="D13" s="1">
        <f>C13/$B$4</f>
        <v>0.13835839467257338</v>
      </c>
    </row>
    <row r="14" spans="1:4" x14ac:dyDescent="0.25">
      <c r="A14" s="286" t="s">
        <v>25</v>
      </c>
      <c r="B14" s="232">
        <v>21585999</v>
      </c>
      <c r="C14" s="76"/>
    </row>
    <row r="15" spans="1:4" x14ac:dyDescent="0.25">
      <c r="A15" s="286"/>
      <c r="B15" s="231">
        <f>B14/$B$4</f>
        <v>6.9915177203305853E-2</v>
      </c>
      <c r="C15" s="76"/>
    </row>
    <row r="16" spans="1:4" x14ac:dyDescent="0.25">
      <c r="A16" s="286" t="s">
        <v>26</v>
      </c>
      <c r="B16" s="232">
        <v>21101849</v>
      </c>
      <c r="C16" s="76"/>
    </row>
    <row r="17" spans="1:4" x14ac:dyDescent="0.25">
      <c r="A17" s="286"/>
      <c r="B17" s="231">
        <f>B16/$B$4</f>
        <v>6.8347057375125531E-2</v>
      </c>
      <c r="C17" s="232">
        <f>B14+B16</f>
        <v>42687848</v>
      </c>
      <c r="D17" s="1">
        <f>C17/$B$4</f>
        <v>0.13826223457843137</v>
      </c>
    </row>
    <row r="18" spans="1:4" x14ac:dyDescent="0.25">
      <c r="A18" s="286" t="s">
        <v>27</v>
      </c>
      <c r="B18" s="232">
        <v>19962099</v>
      </c>
      <c r="C18" s="76"/>
    </row>
    <row r="19" spans="1:4" x14ac:dyDescent="0.25">
      <c r="A19" s="286"/>
      <c r="B19" s="231">
        <f>B18/$B$4</f>
        <v>6.465550604977488E-2</v>
      </c>
      <c r="C19" s="77"/>
    </row>
    <row r="20" spans="1:4" x14ac:dyDescent="0.25">
      <c r="A20" s="286" t="s">
        <v>28</v>
      </c>
      <c r="B20" s="232">
        <v>20179642</v>
      </c>
      <c r="C20" s="76"/>
    </row>
    <row r="21" spans="1:4" x14ac:dyDescent="0.25">
      <c r="A21" s="286"/>
      <c r="B21" s="231">
        <f>B20/$B$4</f>
        <v>6.5360108945121009E-2</v>
      </c>
      <c r="C21" s="232">
        <f>B18+B20</f>
        <v>40141741</v>
      </c>
      <c r="D21" s="1">
        <f>C21/$B$4</f>
        <v>0.13001561499489589</v>
      </c>
    </row>
    <row r="22" spans="1:4" x14ac:dyDescent="0.25">
      <c r="A22" s="286" t="s">
        <v>29</v>
      </c>
      <c r="B22" s="232">
        <v>20890964</v>
      </c>
      <c r="C22" s="76"/>
    </row>
    <row r="23" spans="1:4" x14ac:dyDescent="0.25">
      <c r="A23" s="286"/>
      <c r="B23" s="231">
        <f>B22/$B$4</f>
        <v>6.7664019163898012E-2</v>
      </c>
      <c r="C23" s="76"/>
    </row>
    <row r="24" spans="1:4" x14ac:dyDescent="0.25">
      <c r="A24" s="286" t="s">
        <v>30</v>
      </c>
      <c r="B24" s="232">
        <v>22708591</v>
      </c>
      <c r="C24" s="76"/>
    </row>
    <row r="25" spans="1:4" x14ac:dyDescent="0.25">
      <c r="A25" s="286"/>
      <c r="B25" s="231">
        <f>B24/$B$4</f>
        <v>7.3551155255885833E-2</v>
      </c>
      <c r="C25" s="232">
        <f>B22+B24</f>
        <v>43599555</v>
      </c>
      <c r="D25" s="1">
        <f>C25/$B$4</f>
        <v>0.14121517441978385</v>
      </c>
    </row>
    <row r="26" spans="1:4" x14ac:dyDescent="0.25">
      <c r="A26" s="286" t="s">
        <v>31</v>
      </c>
      <c r="B26" s="232">
        <v>22298125</v>
      </c>
      <c r="C26" s="76"/>
    </row>
    <row r="27" spans="1:4" x14ac:dyDescent="0.25">
      <c r="A27" s="286"/>
      <c r="B27" s="231">
        <f>B26/$B$4</f>
        <v>7.2221691508299629E-2</v>
      </c>
      <c r="C27" s="76"/>
    </row>
    <row r="28" spans="1:4" x14ac:dyDescent="0.25">
      <c r="A28" s="286" t="s">
        <v>32</v>
      </c>
      <c r="B28" s="232">
        <v>19664805</v>
      </c>
      <c r="C28" s="76"/>
    </row>
    <row r="29" spans="1:4" x14ac:dyDescent="0.25">
      <c r="A29" s="286"/>
      <c r="B29" s="231">
        <f>B28/$B$4</f>
        <v>6.3692596587420158E-2</v>
      </c>
      <c r="C29" s="232">
        <f>B26+B28</f>
        <v>41962930</v>
      </c>
      <c r="D29" s="1">
        <f>C29/$B$4</f>
        <v>0.13591428809571979</v>
      </c>
    </row>
    <row r="30" spans="1:4" x14ac:dyDescent="0.25">
      <c r="A30" s="286" t="s">
        <v>33</v>
      </c>
      <c r="B30" s="232">
        <v>16817924</v>
      </c>
      <c r="C30" s="76"/>
    </row>
    <row r="31" spans="1:4" x14ac:dyDescent="0.25">
      <c r="A31" s="286"/>
      <c r="B31" s="231">
        <f>B30/$B$4</f>
        <v>5.4471796123576693E-2</v>
      </c>
      <c r="C31" s="77"/>
    </row>
    <row r="32" spans="1:4" x14ac:dyDescent="0.25">
      <c r="A32" s="286" t="s">
        <v>34</v>
      </c>
      <c r="B32" s="232">
        <v>12435263</v>
      </c>
      <c r="C32" s="76"/>
    </row>
    <row r="33" spans="1:4" x14ac:dyDescent="0.25">
      <c r="A33" s="286"/>
      <c r="B33" s="231">
        <f>B32/$B$4</f>
        <v>4.027673753782314E-2</v>
      </c>
      <c r="C33" s="232">
        <f>B30+B32</f>
        <v>29253187</v>
      </c>
      <c r="D33" s="1">
        <f>C33/$B$4</f>
        <v>9.4748533661399834E-2</v>
      </c>
    </row>
    <row r="34" spans="1:4" x14ac:dyDescent="0.25">
      <c r="A34" s="286" t="s">
        <v>35</v>
      </c>
      <c r="B34" s="232">
        <v>9278166</v>
      </c>
      <c r="C34" s="76"/>
    </row>
    <row r="35" spans="1:4" x14ac:dyDescent="0.25">
      <c r="A35" s="286"/>
      <c r="B35" s="231">
        <f>B34/$B$4</f>
        <v>3.0051174375190486E-2</v>
      </c>
      <c r="C35" s="76"/>
    </row>
    <row r="36" spans="1:4" x14ac:dyDescent="0.25">
      <c r="A36" s="286" t="s">
        <v>36</v>
      </c>
      <c r="B36" s="232">
        <v>7317795</v>
      </c>
      <c r="C36" s="76"/>
    </row>
    <row r="37" spans="1:4" x14ac:dyDescent="0.25">
      <c r="A37" s="286"/>
      <c r="B37" s="231">
        <f>B36/$B$4</f>
        <v>2.370170285667416E-2</v>
      </c>
      <c r="C37" s="232">
        <f>B34+B36</f>
        <v>16595961</v>
      </c>
      <c r="D37" s="1">
        <f>C37/$B$4</f>
        <v>5.3752877231864643E-2</v>
      </c>
    </row>
    <row r="38" spans="1:4" x14ac:dyDescent="0.25">
      <c r="A38" s="286" t="s">
        <v>37</v>
      </c>
      <c r="B38" s="232">
        <v>5743327</v>
      </c>
      <c r="C38" s="76"/>
    </row>
    <row r="39" spans="1:4" x14ac:dyDescent="0.25">
      <c r="A39" s="286"/>
      <c r="B39" s="231">
        <f>B38/$B$4</f>
        <v>1.8602137660690663E-2</v>
      </c>
      <c r="C39" s="76"/>
    </row>
    <row r="40" spans="1:4" x14ac:dyDescent="0.25">
      <c r="A40" s="286" t="s">
        <v>184</v>
      </c>
      <c r="B40" s="232">
        <v>5493433</v>
      </c>
      <c r="C40" s="76"/>
    </row>
    <row r="41" spans="1:4" x14ac:dyDescent="0.25">
      <c r="A41" s="286"/>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24:A25"/>
    <mergeCell ref="A2:A3"/>
    <mergeCell ref="A4:A5"/>
    <mergeCell ref="A6:A7"/>
    <mergeCell ref="A8:A9"/>
    <mergeCell ref="A10:A11"/>
    <mergeCell ref="A12:A13"/>
    <mergeCell ref="A14:A15"/>
    <mergeCell ref="A16:A17"/>
    <mergeCell ref="A18:A19"/>
    <mergeCell ref="A20:A21"/>
    <mergeCell ref="A22:A23"/>
    <mergeCell ref="A38:A39"/>
    <mergeCell ref="A40:A41"/>
    <mergeCell ref="A26:A27"/>
    <mergeCell ref="A28:A29"/>
    <mergeCell ref="A30:A31"/>
    <mergeCell ref="A32:A33"/>
    <mergeCell ref="A34:A35"/>
    <mergeCell ref="A36:A37"/>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187</v>
      </c>
    </row>
    <row r="2" spans="1:3" x14ac:dyDescent="0.25">
      <c r="A2" t="s">
        <v>188</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2020-04-26T08:29:01Z</dcterms:modified>
</cp:coreProperties>
</file>