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D:\Python\Aus COVID-19 Projections\Aus-COVID-19-Projections\"/>
    </mc:Choice>
  </mc:AlternateContent>
  <xr:revisionPtr revIDLastSave="0" documentId="13_ncr:1_{54E27386-D138-4F62-A913-055C1E94391A}" xr6:coauthVersionLast="45" xr6:coauthVersionMax="45"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Population by Age - Wikipedia" sheetId="2" r:id="rId4"/>
    <sheet name="AU Infection Rate by Age" sheetId="3" r:id="rId5"/>
    <sheet name="US COVID-19 pathology" sheetId="7" r:id="rId6"/>
    <sheet name="US Deaths"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Y393" i="1" l="1"/>
  <c r="AY366" i="1"/>
  <c r="AX393" i="1" l="1"/>
  <c r="AV366" i="1"/>
  <c r="AU366" i="1"/>
  <c r="BJ368" i="1" l="1"/>
  <c r="AV393" i="1"/>
  <c r="AW393" i="1"/>
  <c r="BM379" i="1" l="1"/>
  <c r="BL379" i="1"/>
  <c r="W379" i="1"/>
  <c r="X379" i="1"/>
  <c r="Y379" i="1"/>
  <c r="Z379" i="1"/>
  <c r="AA379" i="1"/>
  <c r="AB379" i="1"/>
  <c r="AC379" i="1"/>
  <c r="AD379" i="1"/>
  <c r="AE379" i="1"/>
  <c r="AF379" i="1"/>
  <c r="AG379" i="1"/>
  <c r="AH379" i="1"/>
  <c r="AI379" i="1"/>
  <c r="AJ379" i="1"/>
  <c r="AK379" i="1"/>
  <c r="AL379" i="1"/>
  <c r="AM379" i="1"/>
  <c r="AN379" i="1"/>
  <c r="AO379" i="1"/>
  <c r="AP379" i="1"/>
  <c r="AQ379" i="1"/>
  <c r="AR379" i="1"/>
  <c r="AS379" i="1"/>
  <c r="AT379" i="1"/>
  <c r="AU379" i="1"/>
  <c r="AV379" i="1"/>
  <c r="AW379" i="1"/>
  <c r="AX379" i="1"/>
  <c r="AY379" i="1"/>
  <c r="AZ379" i="1"/>
  <c r="BA379" i="1"/>
  <c r="BB379" i="1"/>
  <c r="BC379" i="1"/>
  <c r="BH379" i="1"/>
  <c r="V379" i="1"/>
  <c r="T379" i="1"/>
  <c r="U379" i="1"/>
  <c r="S379" i="1"/>
  <c r="R379" i="1"/>
  <c r="BM377" i="1"/>
  <c r="BL377" i="1"/>
  <c r="T377" i="1"/>
  <c r="U377" i="1"/>
  <c r="V377" i="1"/>
  <c r="W377" i="1"/>
  <c r="X377" i="1"/>
  <c r="Y377" i="1"/>
  <c r="Z377" i="1"/>
  <c r="AA377" i="1"/>
  <c r="AB377" i="1"/>
  <c r="AC377" i="1"/>
  <c r="AD377" i="1"/>
  <c r="AE377" i="1"/>
  <c r="AF377" i="1"/>
  <c r="AG377" i="1"/>
  <c r="AH377" i="1"/>
  <c r="AI377" i="1"/>
  <c r="AJ377" i="1"/>
  <c r="AK377" i="1"/>
  <c r="AL377" i="1"/>
  <c r="AM377" i="1"/>
  <c r="AN377" i="1"/>
  <c r="AO377" i="1"/>
  <c r="AP377" i="1"/>
  <c r="AQ377" i="1"/>
  <c r="AR377" i="1"/>
  <c r="AS377" i="1"/>
  <c r="AT377" i="1"/>
  <c r="AU377" i="1"/>
  <c r="AV377" i="1"/>
  <c r="AW377" i="1"/>
  <c r="AX377" i="1"/>
  <c r="AY377" i="1"/>
  <c r="AZ377" i="1"/>
  <c r="BA377" i="1"/>
  <c r="BB377" i="1"/>
  <c r="BC377" i="1"/>
  <c r="BH377" i="1"/>
  <c r="S377" i="1"/>
  <c r="R377" i="1"/>
  <c r="AU393" i="1" l="1"/>
  <c r="R5" i="7" l="1"/>
  <c r="R6" i="7"/>
  <c r="R7" i="7"/>
  <c r="R8" i="7"/>
  <c r="R9" i="7"/>
  <c r="R10" i="7"/>
  <c r="R11" i="7"/>
  <c r="R12" i="7"/>
  <c r="R4" i="7"/>
  <c r="M5" i="7"/>
  <c r="M6" i="7"/>
  <c r="M7" i="7"/>
  <c r="M8" i="7"/>
  <c r="M9" i="7"/>
  <c r="M10" i="7"/>
  <c r="M11" i="7"/>
  <c r="M12" i="7"/>
  <c r="M4" i="7"/>
  <c r="AT393" i="1"/>
  <c r="AS393" i="1"/>
  <c r="D38" i="6" l="1"/>
  <c r="L365" i="1"/>
  <c r="M365" i="1" s="1"/>
  <c r="AQ393" i="1"/>
  <c r="AR393" i="1"/>
  <c r="AP393" i="1" l="1"/>
  <c r="D17" i="7" l="1"/>
  <c r="D18" i="7"/>
  <c r="D19" i="7"/>
  <c r="D20" i="7"/>
  <c r="D21" i="7"/>
  <c r="C18" i="7"/>
  <c r="C19" i="7"/>
  <c r="C20" i="7"/>
  <c r="C21" i="7"/>
  <c r="C17" i="7"/>
  <c r="C6" i="7"/>
  <c r="C7" i="7"/>
  <c r="C8" i="7"/>
  <c r="C9" i="7"/>
  <c r="C10" i="7"/>
  <c r="C11" i="7"/>
  <c r="C12" i="7"/>
  <c r="C13" i="7"/>
  <c r="C5" i="7"/>
  <c r="AO393" i="1" l="1"/>
  <c r="C20" i="6" l="1"/>
  <c r="R8" i="6" l="1"/>
  <c r="C52" i="6"/>
  <c r="C53" i="6"/>
  <c r="C54" i="6"/>
  <c r="C55" i="6"/>
  <c r="C56" i="6"/>
  <c r="C57" i="6"/>
  <c r="C58" i="6"/>
  <c r="C59" i="6"/>
  <c r="C60" i="6"/>
  <c r="C61" i="6"/>
  <c r="C62" i="6"/>
  <c r="C63" i="6"/>
  <c r="C64" i="6"/>
  <c r="C65" i="6"/>
  <c r="C66" i="6"/>
  <c r="C67" i="6"/>
  <c r="C68" i="6"/>
  <c r="C38" i="6"/>
  <c r="C39" i="6"/>
  <c r="C40" i="6"/>
  <c r="C41" i="6"/>
  <c r="C42" i="6"/>
  <c r="C43" i="6"/>
  <c r="C44" i="6"/>
  <c r="C45" i="6"/>
  <c r="C46" i="6"/>
  <c r="C47" i="6"/>
  <c r="C48" i="6"/>
  <c r="AN393" i="1" l="1"/>
  <c r="N366" i="1" l="1"/>
  <c r="O366" i="1" s="1"/>
  <c r="P366" i="1" s="1"/>
  <c r="N365" i="1"/>
  <c r="O365" i="1" s="1"/>
  <c r="P365" i="1" s="1"/>
  <c r="D13" i="6"/>
  <c r="C13" i="6"/>
  <c r="D8" i="6" l="1"/>
  <c r="C8" i="6"/>
  <c r="D19" i="6"/>
  <c r="C19" i="6"/>
  <c r="R5" i="6" l="1"/>
  <c r="C18" i="6"/>
  <c r="D20" i="6"/>
  <c r="D18" i="6" l="1"/>
  <c r="D27" i="6" l="1"/>
  <c r="C27" i="6"/>
  <c r="AM393" i="1"/>
  <c r="D39" i="6" l="1"/>
  <c r="D42" i="6"/>
  <c r="D43" i="6"/>
  <c r="D46" i="6"/>
  <c r="D40" i="6"/>
  <c r="D41" i="6"/>
  <c r="D44" i="6"/>
  <c r="D45" i="6"/>
  <c r="D47" i="6"/>
  <c r="D48" i="6"/>
  <c r="P4" i="6"/>
  <c r="Q4" i="6" s="1"/>
  <c r="S4" i="6" s="1"/>
  <c r="T4" i="6" s="1"/>
  <c r="C24" i="6"/>
  <c r="C25" i="6"/>
  <c r="C26" i="6"/>
  <c r="C28" i="6"/>
  <c r="C29" i="6"/>
  <c r="C30" i="6"/>
  <c r="C31" i="6"/>
  <c r="C32" i="6"/>
  <c r="C33" i="6"/>
  <c r="C34" i="6"/>
  <c r="D25" i="6"/>
  <c r="D26" i="6"/>
  <c r="D28" i="6"/>
  <c r="D29" i="6"/>
  <c r="D30" i="6"/>
  <c r="D31" i="6"/>
  <c r="D32" i="6"/>
  <c r="D33" i="6"/>
  <c r="D34" i="6"/>
  <c r="D24" i="6"/>
  <c r="AM219" i="1" l="1"/>
  <c r="AJ152" i="1"/>
  <c r="B354" i="1" l="1"/>
  <c r="X371" i="1" l="1"/>
  <c r="BJ371" i="1"/>
  <c r="BI371" i="1"/>
  <c r="R371" i="1"/>
  <c r="AL393" i="1" l="1"/>
  <c r="AK393" i="1" l="1"/>
  <c r="AI393" i="1" l="1"/>
  <c r="AJ393" i="1"/>
  <c r="AH393" i="1" l="1"/>
  <c r="AG393" i="1" l="1"/>
  <c r="X79" i="1" l="1"/>
  <c r="BL367" i="1" l="1"/>
  <c r="S393" i="1"/>
  <c r="T393" i="1"/>
  <c r="U393" i="1"/>
  <c r="V393" i="1"/>
  <c r="W393" i="1"/>
  <c r="X393" i="1"/>
  <c r="Y393" i="1"/>
  <c r="Z393" i="1"/>
  <c r="AA393" i="1"/>
  <c r="AB393" i="1"/>
  <c r="AC393" i="1"/>
  <c r="AD393" i="1"/>
  <c r="AE393" i="1"/>
  <c r="AF393" i="1"/>
  <c r="R393" i="1"/>
  <c r="E34" i="4" l="1"/>
  <c r="C45" i="4"/>
  <c r="BN371" i="1" l="1"/>
  <c r="BN368" i="1"/>
  <c r="BN367" i="1" s="1"/>
  <c r="BN375" i="1" s="1"/>
  <c r="BK371" i="1"/>
  <c r="BL371" i="1"/>
  <c r="BN373" i="1" l="1"/>
  <c r="BN372" i="1"/>
  <c r="C5" i="5"/>
  <c r="C4" i="5"/>
  <c r="B414" i="1"/>
  <c r="B410" i="1"/>
  <c r="B412" i="1"/>
  <c r="B408" i="1"/>
  <c r="B406" i="1"/>
  <c r="B404" i="1"/>
  <c r="B402" i="1"/>
  <c r="B400" i="1"/>
  <c r="B398" i="1"/>
  <c r="C41" i="2"/>
  <c r="D41" i="2" s="1"/>
  <c r="C37" i="2"/>
  <c r="D37" i="2" s="1"/>
  <c r="C33" i="2"/>
  <c r="D33" i="2" s="1"/>
  <c r="C29" i="2"/>
  <c r="D29" i="2" s="1"/>
  <c r="C25" i="2"/>
  <c r="D25" i="2" s="1"/>
  <c r="C21" i="2"/>
  <c r="D21" i="2" s="1"/>
  <c r="C17" i="2"/>
  <c r="D17" i="2" s="1"/>
  <c r="C13" i="2"/>
  <c r="D13" i="2" s="1"/>
  <c r="D9" i="2"/>
  <c r="C9" i="2"/>
  <c r="B43" i="2"/>
  <c r="B44" i="2"/>
  <c r="B41" i="2"/>
  <c r="B39" i="2"/>
  <c r="B37" i="2"/>
  <c r="B35" i="2"/>
  <c r="B33" i="2"/>
  <c r="B31" i="2"/>
  <c r="B29" i="2"/>
  <c r="B27" i="2"/>
  <c r="B25" i="2"/>
  <c r="B23" i="2"/>
  <c r="B21" i="2"/>
  <c r="B19" i="2"/>
  <c r="B17" i="2"/>
  <c r="B15" i="2"/>
  <c r="B13" i="2"/>
  <c r="B11" i="2"/>
  <c r="B9" i="2"/>
  <c r="B7" i="2"/>
  <c r="S366" i="1"/>
  <c r="R389" i="1"/>
  <c r="T366" i="1" l="1"/>
  <c r="S391" i="1"/>
  <c r="U366" i="1" l="1"/>
  <c r="S389" i="1"/>
  <c r="R391" i="1"/>
  <c r="R388" i="1"/>
  <c r="V366" i="1" l="1"/>
  <c r="T389" i="1"/>
  <c r="R378" i="1"/>
  <c r="R380" i="1"/>
  <c r="W366" i="1" l="1"/>
  <c r="U389" i="1"/>
  <c r="R375" i="1"/>
  <c r="R376" i="1" s="1"/>
  <c r="R373" i="1"/>
  <c r="R374" i="1" s="1"/>
  <c r="C12" i="5"/>
  <c r="C7" i="5"/>
  <c r="C8" i="5" s="1"/>
  <c r="C9" i="5" s="1"/>
  <c r="C21" i="5"/>
  <c r="C18" i="5"/>
  <c r="C15" i="5"/>
  <c r="C24" i="5"/>
  <c r="C3" i="5"/>
  <c r="X366" i="1" l="1"/>
  <c r="C30" i="5"/>
  <c r="R372" i="1"/>
  <c r="V389" i="1"/>
  <c r="R369" i="1"/>
  <c r="C34" i="5"/>
  <c r="Y366" i="1" l="1"/>
  <c r="W389" i="1"/>
  <c r="C13" i="5"/>
  <c r="C14" i="5" s="1"/>
  <c r="BM367" i="1"/>
  <c r="R384" i="1"/>
  <c r="R382" i="1"/>
  <c r="R385" i="1"/>
  <c r="R383" i="1"/>
  <c r="BN390" i="1" l="1"/>
  <c r="BM390" i="1"/>
  <c r="Z366" i="1"/>
  <c r="BM423" i="1"/>
  <c r="BM424" i="1" s="1"/>
  <c r="BM421" i="1"/>
  <c r="BM427" i="1"/>
  <c r="BM428" i="1" s="1"/>
  <c r="BM431" i="1"/>
  <c r="BM425" i="1"/>
  <c r="BM426" i="1" s="1"/>
  <c r="BM429" i="1"/>
  <c r="BM430" i="1" s="1"/>
  <c r="X389" i="1"/>
  <c r="BM368" i="1"/>
  <c r="BN381" i="1"/>
  <c r="BN379" i="1"/>
  <c r="BN377" i="1"/>
  <c r="BM375" i="1"/>
  <c r="BM371" i="1"/>
  <c r="BM373" i="1" s="1"/>
  <c r="C22" i="5"/>
  <c r="C23" i="5" s="1"/>
  <c r="C35" i="5"/>
  <c r="C40" i="5" s="1"/>
  <c r="C25" i="5"/>
  <c r="C19" i="5"/>
  <c r="C20" i="5" s="1"/>
  <c r="C16" i="5"/>
  <c r="C17" i="5" s="1"/>
  <c r="C31" i="5"/>
  <c r="AP25" i="4"/>
  <c r="E31" i="4"/>
  <c r="B17" i="4" s="1"/>
  <c r="K20" i="4" l="1"/>
  <c r="B18" i="4"/>
  <c r="B19" i="4" s="1"/>
  <c r="AA366" i="1"/>
  <c r="BM422" i="1"/>
  <c r="BM434" i="1" s="1"/>
  <c r="BM433" i="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AB366" i="1"/>
  <c r="E18" i="4"/>
  <c r="K21" i="4" s="1"/>
  <c r="N20" i="4"/>
  <c r="H17" i="4"/>
  <c r="R421" i="1"/>
  <c r="R422" i="1" s="1"/>
  <c r="AC366" i="1" l="1"/>
  <c r="E19" i="4"/>
  <c r="Q20" i="4"/>
  <c r="H18" i="4"/>
  <c r="N22" i="4" s="1"/>
  <c r="K17" i="4"/>
  <c r="Y24" i="4"/>
  <c r="B14" i="3"/>
  <c r="AD366" i="1" l="1"/>
  <c r="H19" i="4"/>
  <c r="T20" i="4"/>
  <c r="K18" i="4"/>
  <c r="K19" i="4" s="1"/>
  <c r="N21" i="4"/>
  <c r="AB24" i="4" s="1"/>
  <c r="N17" i="4"/>
  <c r="AE366" i="1" l="1"/>
  <c r="Q17" i="4"/>
  <c r="T17" i="4" s="1"/>
  <c r="W20" i="4"/>
  <c r="N18" i="4"/>
  <c r="N19" i="4" s="1"/>
  <c r="Q21" i="4"/>
  <c r="AE24" i="4" s="1"/>
  <c r="Q22" i="4"/>
  <c r="AF366" i="1" l="1"/>
  <c r="T18" i="4"/>
  <c r="T19" i="4" s="1"/>
  <c r="AC20" i="4"/>
  <c r="Z20" i="4"/>
  <c r="Q18" i="4"/>
  <c r="Q19" i="4" s="1"/>
  <c r="T21" i="4"/>
  <c r="AH24" i="4" s="1"/>
  <c r="T22" i="4"/>
  <c r="T23" i="4"/>
  <c r="W17" i="4"/>
  <c r="W21" i="4" l="1"/>
  <c r="AK24" i="4" s="1"/>
  <c r="W23" i="4"/>
  <c r="AJ366" i="1"/>
  <c r="W18" i="4"/>
  <c r="W19" i="4" s="1"/>
  <c r="AF20" i="4"/>
  <c r="W22" i="4"/>
  <c r="Z21" i="4"/>
  <c r="AN24" i="4" s="1"/>
  <c r="Z23" i="4"/>
  <c r="Z22" i="4"/>
  <c r="Z17" i="4"/>
  <c r="C431" i="1"/>
  <c r="C429" i="1"/>
  <c r="C427" i="1"/>
  <c r="C425" i="1"/>
  <c r="C423" i="1"/>
  <c r="C421" i="1"/>
  <c r="R381" i="1"/>
  <c r="R370" i="1" s="1"/>
  <c r="C5" i="3"/>
  <c r="D400" i="1" s="1"/>
  <c r="AJ391" i="1" l="1"/>
  <c r="AI366" i="1"/>
  <c r="AG366" i="1"/>
  <c r="AH366" i="1"/>
  <c r="AN366" i="1"/>
  <c r="Z18" i="4"/>
  <c r="Z19" i="4" s="1"/>
  <c r="AI20" i="4"/>
  <c r="BM400" i="1"/>
  <c r="BM401" i="1"/>
  <c r="AC21" i="4"/>
  <c r="AC22" i="4"/>
  <c r="AC23" i="4"/>
  <c r="AC17" i="4"/>
  <c r="BM381" i="1"/>
  <c r="C7" i="3"/>
  <c r="D404" i="1" s="1"/>
  <c r="C4" i="3"/>
  <c r="D398" i="1" s="1"/>
  <c r="C12" i="3"/>
  <c r="D414" i="1" s="1"/>
  <c r="C11" i="3"/>
  <c r="D412" i="1" s="1"/>
  <c r="C10" i="3"/>
  <c r="D410" i="1" s="1"/>
  <c r="C9" i="3"/>
  <c r="D408" i="1" s="1"/>
  <c r="C8" i="3"/>
  <c r="D406" i="1" s="1"/>
  <c r="C6" i="3"/>
  <c r="D402" i="1" s="1"/>
  <c r="C356" i="1"/>
  <c r="C10" i="5" s="1"/>
  <c r="C26" i="5" s="1"/>
  <c r="C27" i="5" s="1"/>
  <c r="C357" i="1"/>
  <c r="C11" i="5" s="1"/>
  <c r="C28" i="5" s="1"/>
  <c r="C29" i="5" s="1"/>
  <c r="R401" i="1"/>
  <c r="R431" i="1"/>
  <c r="R429" i="1"/>
  <c r="R427" i="1"/>
  <c r="R428" i="1" s="1"/>
  <c r="R425" i="1"/>
  <c r="R426" i="1" s="1"/>
  <c r="R423" i="1"/>
  <c r="R424" i="1" s="1"/>
  <c r="C400" i="1"/>
  <c r="C402" i="1"/>
  <c r="C404" i="1"/>
  <c r="C406" i="1"/>
  <c r="C408" i="1"/>
  <c r="C410" i="1"/>
  <c r="C412" i="1"/>
  <c r="C414" i="1"/>
  <c r="C398" i="1"/>
  <c r="R368" i="1"/>
  <c r="S367" i="1"/>
  <c r="S381" i="1" l="1"/>
  <c r="AL366" i="1"/>
  <c r="AM366" i="1"/>
  <c r="AK366" i="1"/>
  <c r="AG388" i="1"/>
  <c r="AG389" i="1"/>
  <c r="AI389" i="1"/>
  <c r="AI388" i="1"/>
  <c r="AH389" i="1"/>
  <c r="AH388" i="1"/>
  <c r="AG391" i="1"/>
  <c r="AI391" i="1"/>
  <c r="AH391" i="1"/>
  <c r="AS366" i="1"/>
  <c r="BM398" i="1"/>
  <c r="BM399" i="1"/>
  <c r="AL20" i="4"/>
  <c r="AC18" i="4"/>
  <c r="AC19" i="4" s="1"/>
  <c r="BM410" i="1"/>
  <c r="BM411" i="1"/>
  <c r="BM403" i="1"/>
  <c r="BM402" i="1"/>
  <c r="BM406" i="1"/>
  <c r="BM407" i="1"/>
  <c r="BM413" i="1"/>
  <c r="BM412" i="1"/>
  <c r="BM405" i="1"/>
  <c r="BM404" i="1"/>
  <c r="BM409" i="1"/>
  <c r="BM408" i="1"/>
  <c r="R415" i="1"/>
  <c r="BM415" i="1"/>
  <c r="BM414" i="1"/>
  <c r="S380" i="1"/>
  <c r="S375" i="1"/>
  <c r="S376" i="1" s="1"/>
  <c r="S382" i="1"/>
  <c r="S385" i="1"/>
  <c r="S388" i="1"/>
  <c r="S383" i="1"/>
  <c r="S384" i="1"/>
  <c r="S371" i="1"/>
  <c r="AF22" i="4"/>
  <c r="AF23" i="4"/>
  <c r="AF21" i="4"/>
  <c r="AF17" i="4"/>
  <c r="R399" i="1"/>
  <c r="R398" i="1"/>
  <c r="R407" i="1"/>
  <c r="R406" i="1"/>
  <c r="R410" i="1"/>
  <c r="R409" i="1"/>
  <c r="R412" i="1"/>
  <c r="R402" i="1"/>
  <c r="T367" i="1"/>
  <c r="S425" i="1"/>
  <c r="S426" i="1" s="1"/>
  <c r="R403" i="1"/>
  <c r="S414" i="1"/>
  <c r="S423" i="1"/>
  <c r="S424" i="1" s="1"/>
  <c r="R411" i="1"/>
  <c r="S412" i="1"/>
  <c r="S431" i="1"/>
  <c r="R400" i="1"/>
  <c r="R408" i="1"/>
  <c r="S429" i="1"/>
  <c r="S430" i="1" s="1"/>
  <c r="S427" i="1"/>
  <c r="S428" i="1" s="1"/>
  <c r="S410" i="1"/>
  <c r="S403" i="1"/>
  <c r="S407" i="1"/>
  <c r="S411" i="1"/>
  <c r="S415" i="1"/>
  <c r="R433" i="1"/>
  <c r="S421" i="1"/>
  <c r="S422" i="1" s="1"/>
  <c r="R404" i="1"/>
  <c r="S400" i="1"/>
  <c r="R405" i="1"/>
  <c r="R413" i="1"/>
  <c r="S404" i="1"/>
  <c r="S401" i="1"/>
  <c r="S408" i="1"/>
  <c r="R414" i="1"/>
  <c r="S398" i="1"/>
  <c r="S405" i="1"/>
  <c r="S409" i="1"/>
  <c r="S413" i="1"/>
  <c r="S402" i="1"/>
  <c r="S399" i="1"/>
  <c r="S406" i="1"/>
  <c r="R430" i="1"/>
  <c r="R434" i="1" s="1"/>
  <c r="S368" i="1"/>
  <c r="T381" i="1" l="1"/>
  <c r="AR366" i="1"/>
  <c r="AP366" i="1"/>
  <c r="AQ366" i="1"/>
  <c r="AO366" i="1"/>
  <c r="AM389" i="1"/>
  <c r="AM388" i="1"/>
  <c r="AL388" i="1"/>
  <c r="AL389" i="1"/>
  <c r="AK388" i="1"/>
  <c r="AK389" i="1"/>
  <c r="T375" i="1"/>
  <c r="T376" i="1" s="1"/>
  <c r="AX366" i="1"/>
  <c r="AO20" i="4"/>
  <c r="AF18" i="4"/>
  <c r="AF19" i="4" s="1"/>
  <c r="BM417" i="1"/>
  <c r="BM416" i="1"/>
  <c r="T423" i="1"/>
  <c r="T424" i="1" s="1"/>
  <c r="T404" i="1"/>
  <c r="T380" i="1"/>
  <c r="T429" i="1"/>
  <c r="T430" i="1" s="1"/>
  <c r="T400" i="1"/>
  <c r="T399" i="1"/>
  <c r="T421" i="1"/>
  <c r="T422" i="1" s="1"/>
  <c r="T401" i="1"/>
  <c r="T368" i="1"/>
  <c r="S372" i="1"/>
  <c r="S373" i="1"/>
  <c r="S374" i="1" s="1"/>
  <c r="T391" i="1"/>
  <c r="U367" i="1"/>
  <c r="T371" i="1"/>
  <c r="T414" i="1"/>
  <c r="T413" i="1"/>
  <c r="T425" i="1"/>
  <c r="T426" i="1" s="1"/>
  <c r="T409" i="1"/>
  <c r="T408" i="1"/>
  <c r="T384" i="1"/>
  <c r="T382" i="1"/>
  <c r="T385" i="1"/>
  <c r="T388" i="1"/>
  <c r="T383" i="1"/>
  <c r="AI23" i="4"/>
  <c r="AI21" i="4"/>
  <c r="AI22" i="4"/>
  <c r="AI17" i="4"/>
  <c r="AI18" i="4" s="1"/>
  <c r="R417" i="1"/>
  <c r="S417" i="1"/>
  <c r="T411" i="1"/>
  <c r="T410" i="1"/>
  <c r="T406" i="1"/>
  <c r="T403" i="1"/>
  <c r="T405" i="1"/>
  <c r="T398" i="1"/>
  <c r="T407" i="1"/>
  <c r="T412" i="1"/>
  <c r="T431" i="1"/>
  <c r="T402" i="1"/>
  <c r="T427" i="1"/>
  <c r="T428" i="1" s="1"/>
  <c r="T415" i="1"/>
  <c r="S433" i="1"/>
  <c r="R416" i="1"/>
  <c r="S416" i="1"/>
  <c r="S434" i="1"/>
  <c r="U381" i="1" l="1"/>
  <c r="AT366" i="1"/>
  <c r="AU389" i="1"/>
  <c r="AO388" i="1"/>
  <c r="AO389" i="1"/>
  <c r="BC366" i="1"/>
  <c r="AR389" i="1"/>
  <c r="AR388" i="1"/>
  <c r="AQ389" i="1"/>
  <c r="AQ388" i="1"/>
  <c r="AP389" i="1"/>
  <c r="AP388" i="1"/>
  <c r="AW366" i="1"/>
  <c r="U375" i="1"/>
  <c r="U376" i="1" s="1"/>
  <c r="U415" i="1"/>
  <c r="U405" i="1"/>
  <c r="U403" i="1"/>
  <c r="U401" i="1"/>
  <c r="U423" i="1"/>
  <c r="U424" i="1" s="1"/>
  <c r="U411" i="1"/>
  <c r="U410" i="1"/>
  <c r="U402" i="1"/>
  <c r="U413" i="1"/>
  <c r="U408" i="1"/>
  <c r="U431" i="1"/>
  <c r="U398" i="1"/>
  <c r="U380" i="1"/>
  <c r="U409" i="1"/>
  <c r="U407" i="1"/>
  <c r="U400" i="1"/>
  <c r="U421" i="1"/>
  <c r="U422" i="1" s="1"/>
  <c r="U404" i="1"/>
  <c r="V367" i="1"/>
  <c r="U414" i="1"/>
  <c r="U412" i="1"/>
  <c r="U425" i="1"/>
  <c r="U426" i="1" s="1"/>
  <c r="T434" i="1"/>
  <c r="U399" i="1"/>
  <c r="U427" i="1"/>
  <c r="U428" i="1" s="1"/>
  <c r="U429" i="1"/>
  <c r="U430" i="1" s="1"/>
  <c r="U368" i="1"/>
  <c r="U406" i="1"/>
  <c r="U391" i="1"/>
  <c r="T372" i="1"/>
  <c r="T373" i="1"/>
  <c r="T374" i="1" s="1"/>
  <c r="U383" i="1"/>
  <c r="U384" i="1"/>
  <c r="U385" i="1"/>
  <c r="U388" i="1"/>
  <c r="U382" i="1"/>
  <c r="T433" i="1"/>
  <c r="U371" i="1"/>
  <c r="AL22" i="4"/>
  <c r="AL21" i="4"/>
  <c r="AL23" i="4"/>
  <c r="AL17" i="4"/>
  <c r="AL18" i="4" s="1"/>
  <c r="AI19" i="4"/>
  <c r="T416" i="1"/>
  <c r="T417" i="1"/>
  <c r="V381" i="1" l="1"/>
  <c r="BC389" i="1"/>
  <c r="AU388" i="1"/>
  <c r="BH366" i="1"/>
  <c r="BA366" i="1"/>
  <c r="AW389" i="1"/>
  <c r="AW388" i="1"/>
  <c r="AZ366" i="1"/>
  <c r="AT388" i="1"/>
  <c r="AT389" i="1"/>
  <c r="BB366" i="1"/>
  <c r="AV388" i="1"/>
  <c r="AV389" i="1"/>
  <c r="V410" i="1"/>
  <c r="V414" i="1"/>
  <c r="V411" i="1"/>
  <c r="V423" i="1"/>
  <c r="V424" i="1" s="1"/>
  <c r="V408" i="1"/>
  <c r="V409" i="1"/>
  <c r="V400" i="1"/>
  <c r="V406" i="1"/>
  <c r="V421" i="1"/>
  <c r="V422" i="1" s="1"/>
  <c r="U417" i="1"/>
  <c r="V407" i="1"/>
  <c r="V399" i="1"/>
  <c r="V429" i="1"/>
  <c r="V430" i="1" s="1"/>
  <c r="V413" i="1"/>
  <c r="V405" i="1"/>
  <c r="V412" i="1"/>
  <c r="V427" i="1"/>
  <c r="V428" i="1" s="1"/>
  <c r="U434" i="1"/>
  <c r="V375" i="1"/>
  <c r="V368" i="1"/>
  <c r="V401" i="1"/>
  <c r="V402" i="1"/>
  <c r="V425" i="1"/>
  <c r="V426" i="1" s="1"/>
  <c r="V371" i="1"/>
  <c r="V373" i="1" s="1"/>
  <c r="V404" i="1"/>
  <c r="W367" i="1"/>
  <c r="V415" i="1"/>
  <c r="U416" i="1"/>
  <c r="V403" i="1"/>
  <c r="V431" i="1"/>
  <c r="U433" i="1"/>
  <c r="V398" i="1"/>
  <c r="V391" i="1"/>
  <c r="U372" i="1"/>
  <c r="U373" i="1"/>
  <c r="U374" i="1" s="1"/>
  <c r="V383" i="1"/>
  <c r="V388" i="1"/>
  <c r="V384" i="1"/>
  <c r="V385" i="1"/>
  <c r="V382" i="1"/>
  <c r="AO21" i="4"/>
  <c r="AO22" i="4"/>
  <c r="AO23" i="4"/>
  <c r="AO17" i="4"/>
  <c r="AO18" i="4" s="1"/>
  <c r="AO19" i="4" s="1"/>
  <c r="AL19" i="4"/>
  <c r="AY389" i="1" l="1"/>
  <c r="BE366" i="1"/>
  <c r="BE388" i="1"/>
  <c r="BE389" i="1"/>
  <c r="BH388" i="1"/>
  <c r="BH389" i="1"/>
  <c r="BG366" i="1"/>
  <c r="BF366" i="1"/>
  <c r="BD366" i="1"/>
  <c r="AY388" i="1"/>
  <c r="W398" i="1"/>
  <c r="W381" i="1"/>
  <c r="AZ388" i="1"/>
  <c r="AZ389" i="1"/>
  <c r="BA389" i="1"/>
  <c r="BA388" i="1"/>
  <c r="W408" i="1"/>
  <c r="BB389" i="1"/>
  <c r="BB388" i="1"/>
  <c r="W411" i="1"/>
  <c r="BI366" i="1"/>
  <c r="W401" i="1"/>
  <c r="V416" i="1"/>
  <c r="V434" i="1"/>
  <c r="W414" i="1"/>
  <c r="X367" i="1"/>
  <c r="W403" i="1"/>
  <c r="W429" i="1"/>
  <c r="W430" i="1" s="1"/>
  <c r="W409" i="1"/>
  <c r="W410" i="1"/>
  <c r="V433" i="1"/>
  <c r="W406" i="1"/>
  <c r="V417" i="1"/>
  <c r="W368" i="1"/>
  <c r="W404" i="1"/>
  <c r="W427" i="1"/>
  <c r="W428" i="1" s="1"/>
  <c r="W375" i="1"/>
  <c r="W423" i="1"/>
  <c r="W424" i="1" s="1"/>
  <c r="W405" i="1"/>
  <c r="W371" i="1"/>
  <c r="W372" i="1" s="1"/>
  <c r="W413" i="1"/>
  <c r="W412" i="1"/>
  <c r="W407" i="1"/>
  <c r="W425" i="1"/>
  <c r="W426" i="1" s="1"/>
  <c r="W400" i="1"/>
  <c r="W421" i="1"/>
  <c r="W422" i="1" s="1"/>
  <c r="W431" i="1"/>
  <c r="W402" i="1"/>
  <c r="V372" i="1"/>
  <c r="W399" i="1"/>
  <c r="W415" i="1"/>
  <c r="W391" i="1"/>
  <c r="W383" i="1"/>
  <c r="W384" i="1"/>
  <c r="W382" i="1"/>
  <c r="W385" i="1"/>
  <c r="W388" i="1"/>
  <c r="BG389" i="1" l="1"/>
  <c r="BG388" i="1"/>
  <c r="BD389" i="1"/>
  <c r="BD388" i="1"/>
  <c r="BF389" i="1"/>
  <c r="BF388" i="1"/>
  <c r="X373" i="1"/>
  <c r="X381" i="1"/>
  <c r="X412" i="1"/>
  <c r="X375" i="1"/>
  <c r="BJ366" i="1"/>
  <c r="BI389" i="1"/>
  <c r="BI388" i="1"/>
  <c r="X409" i="1"/>
  <c r="X421" i="1"/>
  <c r="X422" i="1" s="1"/>
  <c r="X431" i="1"/>
  <c r="X406" i="1"/>
  <c r="X407" i="1"/>
  <c r="X399" i="1"/>
  <c r="X413" i="1"/>
  <c r="X400" i="1"/>
  <c r="X398" i="1"/>
  <c r="X403" i="1"/>
  <c r="X410" i="1"/>
  <c r="X411" i="1"/>
  <c r="X368" i="1"/>
  <c r="X423" i="1"/>
  <c r="X424" i="1" s="1"/>
  <c r="X408" i="1"/>
  <c r="X401" i="1"/>
  <c r="X427" i="1"/>
  <c r="X428" i="1" s="1"/>
  <c r="X425" i="1"/>
  <c r="X426" i="1" s="1"/>
  <c r="X405" i="1"/>
  <c r="X404" i="1"/>
  <c r="Y367" i="1"/>
  <c r="X415" i="1"/>
  <c r="X414" i="1"/>
  <c r="X429" i="1"/>
  <c r="X430" i="1" s="1"/>
  <c r="X402" i="1"/>
  <c r="W434" i="1"/>
  <c r="W417" i="1"/>
  <c r="W433" i="1"/>
  <c r="W416" i="1"/>
  <c r="W373" i="1"/>
  <c r="X391" i="1"/>
  <c r="X383" i="1"/>
  <c r="X384" i="1"/>
  <c r="X385" i="1"/>
  <c r="X382" i="1"/>
  <c r="X388" i="1"/>
  <c r="Y381" i="1" l="1"/>
  <c r="X372" i="1"/>
  <c r="Y408" i="1"/>
  <c r="BK366" i="1"/>
  <c r="BJ388" i="1"/>
  <c r="BJ389" i="1"/>
  <c r="Y411" i="1"/>
  <c r="Y423" i="1"/>
  <c r="Y424" i="1" s="1"/>
  <c r="Y398" i="1"/>
  <c r="Y421" i="1"/>
  <c r="Y422" i="1" s="1"/>
  <c r="Y409" i="1"/>
  <c r="Y414" i="1"/>
  <c r="Y431" i="1"/>
  <c r="Y403" i="1"/>
  <c r="Z367" i="1"/>
  <c r="Y410" i="1"/>
  <c r="Y415" i="1"/>
  <c r="Y399" i="1"/>
  <c r="X416" i="1"/>
  <c r="Y405" i="1"/>
  <c r="X417" i="1"/>
  <c r="X433" i="1"/>
  <c r="Y401" i="1"/>
  <c r="Y412" i="1"/>
  <c r="Y407" i="1"/>
  <c r="Y406" i="1"/>
  <c r="Y425" i="1"/>
  <c r="Y426" i="1" s="1"/>
  <c r="X434" i="1"/>
  <c r="Y371" i="1"/>
  <c r="Y372" i="1" s="1"/>
  <c r="Y427" i="1"/>
  <c r="Y428" i="1" s="1"/>
  <c r="Y375" i="1"/>
  <c r="Y368" i="1"/>
  <c r="Y400" i="1"/>
  <c r="Y402" i="1"/>
  <c r="Y413" i="1"/>
  <c r="Y429" i="1"/>
  <c r="Y430" i="1" s="1"/>
  <c r="Y404" i="1"/>
  <c r="Z391" i="1"/>
  <c r="Y391" i="1"/>
  <c r="Y389" i="1"/>
  <c r="Y388" i="1"/>
  <c r="Y383" i="1"/>
  <c r="Y385" i="1"/>
  <c r="Y384" i="1"/>
  <c r="Y382" i="1"/>
  <c r="Z381" i="1" l="1"/>
  <c r="Z375" i="1"/>
  <c r="BL366" i="1"/>
  <c r="BK388" i="1"/>
  <c r="BK389" i="1"/>
  <c r="Z411" i="1"/>
  <c r="Z414" i="1"/>
  <c r="Z415" i="1"/>
  <c r="Z368" i="1"/>
  <c r="Z429" i="1"/>
  <c r="Z430" i="1" s="1"/>
  <c r="Z427" i="1"/>
  <c r="Z428" i="1" s="1"/>
  <c r="Z425" i="1"/>
  <c r="Z426" i="1" s="1"/>
  <c r="Z406" i="1"/>
  <c r="Z423" i="1"/>
  <c r="Z424" i="1" s="1"/>
  <c r="Z409" i="1"/>
  <c r="Z401" i="1"/>
  <c r="Z399" i="1"/>
  <c r="Z398" i="1"/>
  <c r="Z407" i="1"/>
  <c r="Z413" i="1"/>
  <c r="Z400" i="1"/>
  <c r="Z408" i="1"/>
  <c r="Z412" i="1"/>
  <c r="Z421" i="1"/>
  <c r="Z422" i="1" s="1"/>
  <c r="Z405" i="1"/>
  <c r="Z410" i="1"/>
  <c r="Z404" i="1"/>
  <c r="Z403" i="1"/>
  <c r="AA367" i="1"/>
  <c r="Z402" i="1"/>
  <c r="Z431" i="1"/>
  <c r="Z371" i="1"/>
  <c r="Z372" i="1" s="1"/>
  <c r="Y417" i="1"/>
  <c r="Y373" i="1"/>
  <c r="Y416" i="1"/>
  <c r="Y433" i="1"/>
  <c r="Y434" i="1"/>
  <c r="Z388" i="1"/>
  <c r="Z389" i="1"/>
  <c r="Z383" i="1"/>
  <c r="Z385" i="1"/>
  <c r="Z382" i="1"/>
  <c r="Z384" i="1"/>
  <c r="AA431" i="1"/>
  <c r="AA427" i="1"/>
  <c r="AA428" i="1" s="1"/>
  <c r="AA404" i="1" l="1"/>
  <c r="AA381" i="1"/>
  <c r="AA371" i="1"/>
  <c r="AA373" i="1" s="1"/>
  <c r="AA368" i="1"/>
  <c r="BM366" i="1"/>
  <c r="BL388" i="1"/>
  <c r="BL389" i="1"/>
  <c r="Z434" i="1"/>
  <c r="Z433" i="1"/>
  <c r="Z417" i="1"/>
  <c r="Z416" i="1"/>
  <c r="AA401" i="1"/>
  <c r="AA403" i="1"/>
  <c r="AA411" i="1"/>
  <c r="AA398" i="1"/>
  <c r="AB367" i="1"/>
  <c r="AA412" i="1"/>
  <c r="AA425" i="1"/>
  <c r="AA426" i="1" s="1"/>
  <c r="AA421" i="1"/>
  <c r="AA422" i="1" s="1"/>
  <c r="AA414" i="1"/>
  <c r="AA423" i="1"/>
  <c r="AA424" i="1" s="1"/>
  <c r="AA409" i="1"/>
  <c r="AA405" i="1"/>
  <c r="AA410" i="1"/>
  <c r="AA400" i="1"/>
  <c r="AA375" i="1"/>
  <c r="AA408" i="1"/>
  <c r="AA406" i="1"/>
  <c r="AA399" i="1"/>
  <c r="AA415" i="1"/>
  <c r="AA407" i="1"/>
  <c r="AA429" i="1"/>
  <c r="AA430" i="1" s="1"/>
  <c r="AA413" i="1"/>
  <c r="AA402" i="1"/>
  <c r="Z373" i="1"/>
  <c r="AA391" i="1"/>
  <c r="AA389" i="1"/>
  <c r="AA388" i="1"/>
  <c r="AA384" i="1"/>
  <c r="AA385" i="1"/>
  <c r="AA382" i="1"/>
  <c r="AA383" i="1"/>
  <c r="AB381" i="1" l="1"/>
  <c r="AA372" i="1"/>
  <c r="AB375" i="1"/>
  <c r="AB403" i="1"/>
  <c r="AB408" i="1"/>
  <c r="AB406" i="1"/>
  <c r="AB423" i="1"/>
  <c r="AB424" i="1" s="1"/>
  <c r="AB410" i="1"/>
  <c r="AA416" i="1"/>
  <c r="AB414" i="1"/>
  <c r="AB421" i="1"/>
  <c r="AB422" i="1" s="1"/>
  <c r="AB400" i="1"/>
  <c r="AB407" i="1"/>
  <c r="AB425" i="1"/>
  <c r="AB426" i="1" s="1"/>
  <c r="AB412" i="1"/>
  <c r="AB409" i="1"/>
  <c r="AB415" i="1"/>
  <c r="AB401" i="1"/>
  <c r="AB405" i="1"/>
  <c r="AB427" i="1"/>
  <c r="AB428" i="1" s="1"/>
  <c r="AB413" i="1"/>
  <c r="AC367" i="1"/>
  <c r="AB398" i="1"/>
  <c r="AB371" i="1"/>
  <c r="AB373" i="1" s="1"/>
  <c r="AA417" i="1"/>
  <c r="AB411" i="1"/>
  <c r="AB404" i="1"/>
  <c r="AB429" i="1"/>
  <c r="AB430" i="1" s="1"/>
  <c r="AB399" i="1"/>
  <c r="AB402" i="1"/>
  <c r="AB431" i="1"/>
  <c r="AB368" i="1"/>
  <c r="AA433" i="1"/>
  <c r="AA434" i="1"/>
  <c r="AB391" i="1"/>
  <c r="AB389" i="1"/>
  <c r="AB388" i="1"/>
  <c r="AB385" i="1"/>
  <c r="AB382" i="1"/>
  <c r="AB384" i="1"/>
  <c r="AB383" i="1"/>
  <c r="AC412" i="1" l="1"/>
  <c r="AC381" i="1"/>
  <c r="AC425" i="1"/>
  <c r="AC426" i="1" s="1"/>
  <c r="AC410" i="1"/>
  <c r="AC368" i="1"/>
  <c r="AC403" i="1"/>
  <c r="AC429" i="1"/>
  <c r="AC430" i="1" s="1"/>
  <c r="AB372" i="1"/>
  <c r="AC431" i="1"/>
  <c r="AC415" i="1"/>
  <c r="AC405" i="1"/>
  <c r="AC406" i="1"/>
  <c r="AC404" i="1"/>
  <c r="AC401" i="1"/>
  <c r="AC414" i="1"/>
  <c r="AC398" i="1"/>
  <c r="AB433" i="1"/>
  <c r="AB416" i="1"/>
  <c r="AC408" i="1"/>
  <c r="AC413" i="1"/>
  <c r="AC411" i="1"/>
  <c r="AC375" i="1"/>
  <c r="AC402" i="1"/>
  <c r="AC400" i="1"/>
  <c r="AD367" i="1"/>
  <c r="AC399" i="1"/>
  <c r="AC371" i="1"/>
  <c r="AC373" i="1" s="1"/>
  <c r="AC409" i="1"/>
  <c r="AC427" i="1"/>
  <c r="AC428" i="1" s="1"/>
  <c r="AC407" i="1"/>
  <c r="AB417" i="1"/>
  <c r="AB434" i="1"/>
  <c r="AC423" i="1"/>
  <c r="AC424" i="1" s="1"/>
  <c r="AC421" i="1"/>
  <c r="AC422" i="1" s="1"/>
  <c r="AC389" i="1"/>
  <c r="AC391" i="1"/>
  <c r="AC382" i="1"/>
  <c r="AC384" i="1"/>
  <c r="AC388" i="1"/>
  <c r="AC383" i="1"/>
  <c r="AC385" i="1"/>
  <c r="AD431" i="1" l="1"/>
  <c r="AD381" i="1"/>
  <c r="AD406" i="1"/>
  <c r="AD423" i="1"/>
  <c r="AD424" i="1" s="1"/>
  <c r="AD412" i="1"/>
  <c r="AD405" i="1"/>
  <c r="AD402" i="1"/>
  <c r="AD375" i="1"/>
  <c r="AD408" i="1"/>
  <c r="AD425" i="1"/>
  <c r="AD426" i="1" s="1"/>
  <c r="AD410" i="1"/>
  <c r="AD409" i="1"/>
  <c r="AD413" i="1"/>
  <c r="AD400" i="1"/>
  <c r="AD371" i="1"/>
  <c r="AD372" i="1" s="1"/>
  <c r="AD427" i="1"/>
  <c r="AD428" i="1" s="1"/>
  <c r="AD368" i="1"/>
  <c r="AC417" i="1"/>
  <c r="AC416" i="1"/>
  <c r="AD398" i="1"/>
  <c r="AD399" i="1"/>
  <c r="AD407" i="1"/>
  <c r="AD403" i="1"/>
  <c r="AD401" i="1"/>
  <c r="AD404" i="1"/>
  <c r="AC372" i="1"/>
  <c r="AD414" i="1"/>
  <c r="AE367" i="1"/>
  <c r="AD429" i="1"/>
  <c r="AD430" i="1" s="1"/>
  <c r="AC433" i="1"/>
  <c r="AD421" i="1"/>
  <c r="AD422" i="1" s="1"/>
  <c r="AD411" i="1"/>
  <c r="AD415" i="1"/>
  <c r="AC434" i="1"/>
  <c r="AD389" i="1"/>
  <c r="AD391" i="1"/>
  <c r="AD382" i="1"/>
  <c r="AD384" i="1"/>
  <c r="AD385" i="1"/>
  <c r="AD388" i="1"/>
  <c r="AD383" i="1"/>
  <c r="AE381" i="1" l="1"/>
  <c r="AE375" i="1"/>
  <c r="AD373" i="1"/>
  <c r="AD417" i="1"/>
  <c r="AD416" i="1"/>
  <c r="AE399" i="1"/>
  <c r="AE400" i="1"/>
  <c r="AE412" i="1"/>
  <c r="AE415" i="1"/>
  <c r="AE398" i="1"/>
  <c r="AE409" i="1"/>
  <c r="AE431" i="1"/>
  <c r="AE407" i="1"/>
  <c r="AE404" i="1"/>
  <c r="AE402" i="1"/>
  <c r="AE423" i="1"/>
  <c r="AE424" i="1" s="1"/>
  <c r="AE405" i="1"/>
  <c r="AE401" i="1"/>
  <c r="AE411" i="1"/>
  <c r="AE408" i="1"/>
  <c r="AE403" i="1"/>
  <c r="AE368" i="1"/>
  <c r="AF367" i="1"/>
  <c r="AE371" i="1"/>
  <c r="AE372" i="1" s="1"/>
  <c r="AE425" i="1"/>
  <c r="AE426" i="1" s="1"/>
  <c r="AE410" i="1"/>
  <c r="AE414" i="1"/>
  <c r="AD434" i="1"/>
  <c r="AD433" i="1"/>
  <c r="AE421" i="1"/>
  <c r="AE422" i="1" s="1"/>
  <c r="AE406" i="1"/>
  <c r="AE413" i="1"/>
  <c r="AE429" i="1"/>
  <c r="AE430" i="1" s="1"/>
  <c r="AE427" i="1"/>
  <c r="AE428" i="1" s="1"/>
  <c r="AE389" i="1"/>
  <c r="AE391" i="1"/>
  <c r="AE385" i="1"/>
  <c r="AE384" i="1"/>
  <c r="AE382" i="1"/>
  <c r="AE388" i="1"/>
  <c r="AE383" i="1"/>
  <c r="AF381" i="1" l="1"/>
  <c r="AF375" i="1"/>
  <c r="AF405" i="1"/>
  <c r="AF404" i="1"/>
  <c r="AF406" i="1"/>
  <c r="AF410" i="1"/>
  <c r="AJ367" i="1"/>
  <c r="AF401" i="1"/>
  <c r="AF403" i="1"/>
  <c r="AF429" i="1"/>
  <c r="AF430" i="1" s="1"/>
  <c r="AF409" i="1"/>
  <c r="AF368" i="1"/>
  <c r="AF407" i="1"/>
  <c r="AF423" i="1"/>
  <c r="AF424" i="1" s="1"/>
  <c r="AF371" i="1"/>
  <c r="AF372" i="1" s="1"/>
  <c r="AF399" i="1"/>
  <c r="AF431" i="1"/>
  <c r="AF425" i="1"/>
  <c r="AF426" i="1" s="1"/>
  <c r="AF427" i="1"/>
  <c r="AF428" i="1" s="1"/>
  <c r="AF411" i="1"/>
  <c r="AE417" i="1"/>
  <c r="AF413" i="1"/>
  <c r="AF412" i="1"/>
  <c r="AF414" i="1"/>
  <c r="AF408" i="1"/>
  <c r="AF398" i="1"/>
  <c r="AF415" i="1"/>
  <c r="AE416" i="1"/>
  <c r="AE373" i="1"/>
  <c r="AE434" i="1"/>
  <c r="AE433" i="1"/>
  <c r="AF400" i="1"/>
  <c r="AF402" i="1"/>
  <c r="AF421" i="1"/>
  <c r="AF422" i="1" s="1"/>
  <c r="AF389" i="1"/>
  <c r="AF391" i="1"/>
  <c r="AF385" i="1"/>
  <c r="AF382" i="1"/>
  <c r="AF384" i="1"/>
  <c r="AF388" i="1"/>
  <c r="AF383" i="1"/>
  <c r="AJ410" i="1" l="1"/>
  <c r="AJ381" i="1"/>
  <c r="AJ407" i="1"/>
  <c r="AJ405" i="1"/>
  <c r="AJ400" i="1"/>
  <c r="AG367" i="1"/>
  <c r="AI367" i="1"/>
  <c r="AH367" i="1"/>
  <c r="AJ427" i="1"/>
  <c r="AJ428" i="1" s="1"/>
  <c r="AJ401" i="1"/>
  <c r="AJ429" i="1"/>
  <c r="AJ430" i="1" s="1"/>
  <c r="AJ398" i="1"/>
  <c r="AJ408" i="1"/>
  <c r="AJ413" i="1"/>
  <c r="AJ423" i="1"/>
  <c r="AJ424" i="1" s="1"/>
  <c r="AJ412" i="1"/>
  <c r="AJ415" i="1"/>
  <c r="AJ402" i="1"/>
  <c r="AJ414" i="1"/>
  <c r="AJ368" i="1"/>
  <c r="AJ375" i="1"/>
  <c r="AJ399" i="1"/>
  <c r="AJ411" i="1"/>
  <c r="AJ403" i="1"/>
  <c r="AJ371" i="1"/>
  <c r="AJ372" i="1" s="1"/>
  <c r="AJ409" i="1"/>
  <c r="AJ425" i="1"/>
  <c r="AJ426" i="1" s="1"/>
  <c r="AJ431" i="1"/>
  <c r="AJ404" i="1"/>
  <c r="AN367" i="1"/>
  <c r="AJ406" i="1"/>
  <c r="AJ421" i="1"/>
  <c r="AJ422" i="1" s="1"/>
  <c r="AF434" i="1"/>
  <c r="AF417" i="1"/>
  <c r="AF373" i="1"/>
  <c r="AF416" i="1"/>
  <c r="AF433" i="1"/>
  <c r="AJ389" i="1"/>
  <c r="AJ382" i="1"/>
  <c r="AJ384" i="1"/>
  <c r="AJ388" i="1"/>
  <c r="AJ383" i="1"/>
  <c r="AJ385" i="1"/>
  <c r="AI381" i="1" l="1"/>
  <c r="AH381" i="1"/>
  <c r="AG381" i="1"/>
  <c r="AK367" i="1"/>
  <c r="AN381" i="1"/>
  <c r="AL367" i="1"/>
  <c r="AM367" i="1"/>
  <c r="AN411" i="1"/>
  <c r="AN401" i="1"/>
  <c r="AN413" i="1"/>
  <c r="AS367" i="1"/>
  <c r="AN412" i="1"/>
  <c r="AJ373" i="1"/>
  <c r="AN415" i="1"/>
  <c r="AN427" i="1"/>
  <c r="AN428" i="1" s="1"/>
  <c r="AN402" i="1"/>
  <c r="AN398" i="1"/>
  <c r="AN423" i="1"/>
  <c r="AN424" i="1" s="1"/>
  <c r="AN406" i="1"/>
  <c r="AN408" i="1"/>
  <c r="AN368" i="1"/>
  <c r="AN429" i="1"/>
  <c r="AN430" i="1" s="1"/>
  <c r="AN425" i="1"/>
  <c r="AN426" i="1" s="1"/>
  <c r="AN431" i="1"/>
  <c r="AN414" i="1"/>
  <c r="AN399" i="1"/>
  <c r="AN400" i="1"/>
  <c r="AN407" i="1"/>
  <c r="AN375" i="1"/>
  <c r="AN421" i="1"/>
  <c r="AN422" i="1" s="1"/>
  <c r="AN404" i="1"/>
  <c r="AJ416" i="1"/>
  <c r="AJ417" i="1"/>
  <c r="AN410" i="1"/>
  <c r="AJ433" i="1"/>
  <c r="AN371" i="1"/>
  <c r="AN372" i="1" s="1"/>
  <c r="AN403" i="1"/>
  <c r="AN405" i="1"/>
  <c r="AN409" i="1"/>
  <c r="AJ434" i="1"/>
  <c r="AH423" i="1"/>
  <c r="AH424" i="1" s="1"/>
  <c r="AH429" i="1"/>
  <c r="AH430" i="1" s="1"/>
  <c r="AH425" i="1"/>
  <c r="AH426" i="1" s="1"/>
  <c r="AH368" i="1"/>
  <c r="AH371" i="1"/>
  <c r="AH421" i="1"/>
  <c r="AH375" i="1"/>
  <c r="AH431" i="1"/>
  <c r="AH427" i="1"/>
  <c r="AH428" i="1" s="1"/>
  <c r="AH401" i="1"/>
  <c r="AH400" i="1"/>
  <c r="AH409" i="1"/>
  <c r="AH402" i="1"/>
  <c r="AH406" i="1"/>
  <c r="AH408" i="1"/>
  <c r="AH412" i="1"/>
  <c r="AH403" i="1"/>
  <c r="AH407" i="1"/>
  <c r="AH413" i="1"/>
  <c r="AH414" i="1"/>
  <c r="AH410" i="1"/>
  <c r="AH398" i="1"/>
  <c r="AH404" i="1"/>
  <c r="AH415" i="1"/>
  <c r="AH411" i="1"/>
  <c r="AH405" i="1"/>
  <c r="AH399" i="1"/>
  <c r="AI423" i="1"/>
  <c r="AI424" i="1" s="1"/>
  <c r="AI429" i="1"/>
  <c r="AI430" i="1" s="1"/>
  <c r="AI371" i="1"/>
  <c r="AI425" i="1"/>
  <c r="AI426" i="1" s="1"/>
  <c r="AI427" i="1"/>
  <c r="AI428" i="1" s="1"/>
  <c r="AI421" i="1"/>
  <c r="AI375" i="1"/>
  <c r="AI431" i="1"/>
  <c r="AI368" i="1"/>
  <c r="AI400" i="1"/>
  <c r="AI401" i="1"/>
  <c r="AI412" i="1"/>
  <c r="AI413" i="1"/>
  <c r="AI402" i="1"/>
  <c r="AI406" i="1"/>
  <c r="AI398" i="1"/>
  <c r="AI409" i="1"/>
  <c r="AI408" i="1"/>
  <c r="AI403" i="1"/>
  <c r="AI407" i="1"/>
  <c r="AI405" i="1"/>
  <c r="AI414" i="1"/>
  <c r="AI410" i="1"/>
  <c r="AI404" i="1"/>
  <c r="AI415" i="1"/>
  <c r="AI411" i="1"/>
  <c r="AI399" i="1"/>
  <c r="AG368" i="1"/>
  <c r="AG375" i="1"/>
  <c r="AG421" i="1"/>
  <c r="AG371" i="1"/>
  <c r="AG431" i="1"/>
  <c r="AG427" i="1"/>
  <c r="AG428" i="1" s="1"/>
  <c r="AG423" i="1"/>
  <c r="AG424" i="1" s="1"/>
  <c r="AG429" i="1"/>
  <c r="AG430" i="1" s="1"/>
  <c r="AG425" i="1"/>
  <c r="AG426" i="1" s="1"/>
  <c r="AG400" i="1"/>
  <c r="AG401" i="1"/>
  <c r="AG402" i="1"/>
  <c r="AG406" i="1"/>
  <c r="AG408" i="1"/>
  <c r="AG412" i="1"/>
  <c r="AG403" i="1"/>
  <c r="AG407" i="1"/>
  <c r="AG413" i="1"/>
  <c r="AG409" i="1"/>
  <c r="AG410" i="1"/>
  <c r="AG398" i="1"/>
  <c r="AG404" i="1"/>
  <c r="AG415" i="1"/>
  <c r="AG411" i="1"/>
  <c r="AG399" i="1"/>
  <c r="AG414" i="1"/>
  <c r="AG405" i="1"/>
  <c r="AN391" i="1"/>
  <c r="AN389" i="1"/>
  <c r="AN388" i="1"/>
  <c r="AN383" i="1"/>
  <c r="AN382" i="1"/>
  <c r="AN384" i="1"/>
  <c r="AN385" i="1"/>
  <c r="AL381" i="1" l="1"/>
  <c r="AM381" i="1"/>
  <c r="AK381" i="1"/>
  <c r="AS391" i="1"/>
  <c r="AS402" i="1"/>
  <c r="Y374" i="1"/>
  <c r="AB376" i="1"/>
  <c r="Y380" i="1"/>
  <c r="X374" i="1"/>
  <c r="W374" i="1"/>
  <c r="AD374" i="1"/>
  <c r="AG376" i="1"/>
  <c r="X378" i="1"/>
  <c r="V378" i="1"/>
  <c r="AG380" i="1"/>
  <c r="X380" i="1"/>
  <c r="AA378" i="1"/>
  <c r="AC374" i="1"/>
  <c r="AA376" i="1"/>
  <c r="S378" i="1"/>
  <c r="S369" i="1" s="1"/>
  <c r="S370" i="1" s="1"/>
  <c r="AE374" i="1"/>
  <c r="X376" i="1"/>
  <c r="W376" i="1"/>
  <c r="V374" i="1"/>
  <c r="W378" i="1"/>
  <c r="Z380" i="1"/>
  <c r="W380" i="1"/>
  <c r="V376" i="1"/>
  <c r="U378" i="1"/>
  <c r="U369" i="1" s="1"/>
  <c r="U370" i="1" s="1"/>
  <c r="AB374" i="1"/>
  <c r="AA380" i="1"/>
  <c r="T378" i="1"/>
  <c r="T369" i="1" s="1"/>
  <c r="T370" i="1" s="1"/>
  <c r="Y378" i="1"/>
  <c r="AB378" i="1"/>
  <c r="Z376" i="1"/>
  <c r="V380" i="1"/>
  <c r="Y376" i="1"/>
  <c r="AA374" i="1"/>
  <c r="Z374" i="1"/>
  <c r="AB380" i="1"/>
  <c r="Z378" i="1"/>
  <c r="AS375" i="1"/>
  <c r="AS427" i="1"/>
  <c r="AS428" i="1" s="1"/>
  <c r="AP367" i="1"/>
  <c r="AS421" i="1"/>
  <c r="AS422" i="1" s="1"/>
  <c r="AO367" i="1"/>
  <c r="AQ367" i="1"/>
  <c r="AR367" i="1"/>
  <c r="AS371" i="1"/>
  <c r="AS373" i="1" s="1"/>
  <c r="AX367" i="1"/>
  <c r="AS405" i="1"/>
  <c r="AS381" i="1"/>
  <c r="AS414" i="1"/>
  <c r="AS411" i="1"/>
  <c r="AS404" i="1"/>
  <c r="AS406" i="1"/>
  <c r="AS415" i="1"/>
  <c r="AS409" i="1"/>
  <c r="AS431" i="1"/>
  <c r="AS399" i="1"/>
  <c r="AS407" i="1"/>
  <c r="AS400" i="1"/>
  <c r="AS413" i="1"/>
  <c r="AS425" i="1"/>
  <c r="AS426" i="1" s="1"/>
  <c r="AS429" i="1"/>
  <c r="AS430" i="1" s="1"/>
  <c r="AM371" i="1"/>
  <c r="AM425" i="1"/>
  <c r="AM426" i="1" s="1"/>
  <c r="AM429" i="1"/>
  <c r="AM430" i="1" s="1"/>
  <c r="AM398" i="1"/>
  <c r="AM402" i="1"/>
  <c r="AM406" i="1"/>
  <c r="AM410" i="1"/>
  <c r="AM414" i="1"/>
  <c r="AM421" i="1"/>
  <c r="AM405" i="1"/>
  <c r="AM399" i="1"/>
  <c r="AM403" i="1"/>
  <c r="AM407" i="1"/>
  <c r="AM411" i="1"/>
  <c r="AM415" i="1"/>
  <c r="AM413" i="1"/>
  <c r="AM423" i="1"/>
  <c r="AM424" i="1" s="1"/>
  <c r="AM427" i="1"/>
  <c r="AM428" i="1" s="1"/>
  <c r="AM431" i="1"/>
  <c r="AM400" i="1"/>
  <c r="AM404" i="1"/>
  <c r="AM408" i="1"/>
  <c r="AM412" i="1"/>
  <c r="AM409" i="1"/>
  <c r="AM401" i="1"/>
  <c r="AM375" i="1"/>
  <c r="AM368" i="1"/>
  <c r="AS403" i="1"/>
  <c r="AS368" i="1"/>
  <c r="AL375" i="1"/>
  <c r="AL425" i="1"/>
  <c r="AL426" i="1" s="1"/>
  <c r="AL429" i="1"/>
  <c r="AL430" i="1" s="1"/>
  <c r="AL398" i="1"/>
  <c r="AL402" i="1"/>
  <c r="AL406" i="1"/>
  <c r="AL410" i="1"/>
  <c r="AL414" i="1"/>
  <c r="AL427" i="1"/>
  <c r="AL428" i="1" s="1"/>
  <c r="AL404" i="1"/>
  <c r="AL401" i="1"/>
  <c r="AL421" i="1"/>
  <c r="AL423" i="1"/>
  <c r="AL424" i="1" s="1"/>
  <c r="AL400" i="1"/>
  <c r="AL412" i="1"/>
  <c r="AL409" i="1"/>
  <c r="AL399" i="1"/>
  <c r="AL403" i="1"/>
  <c r="AL407" i="1"/>
  <c r="AL411" i="1"/>
  <c r="AL415" i="1"/>
  <c r="AL431" i="1"/>
  <c r="AL408" i="1"/>
  <c r="AL405" i="1"/>
  <c r="AL413" i="1"/>
  <c r="AL368" i="1"/>
  <c r="AL371" i="1"/>
  <c r="AS410" i="1"/>
  <c r="AS401" i="1"/>
  <c r="AS408" i="1"/>
  <c r="AS398" i="1"/>
  <c r="AS412" i="1"/>
  <c r="AS423" i="1"/>
  <c r="AS424" i="1" s="1"/>
  <c r="AK421" i="1"/>
  <c r="AK409" i="1"/>
  <c r="AK402" i="1"/>
  <c r="AK406" i="1"/>
  <c r="AK399" i="1"/>
  <c r="AK403" i="1"/>
  <c r="AK407" i="1"/>
  <c r="AK411" i="1"/>
  <c r="AK415" i="1"/>
  <c r="AK401" i="1"/>
  <c r="AK425" i="1"/>
  <c r="AK426" i="1" s="1"/>
  <c r="AK410" i="1"/>
  <c r="AK414" i="1"/>
  <c r="AK423" i="1"/>
  <c r="AK424" i="1" s="1"/>
  <c r="AK427" i="1"/>
  <c r="AK428" i="1" s="1"/>
  <c r="AK431" i="1"/>
  <c r="AK400" i="1"/>
  <c r="AK404" i="1"/>
  <c r="AK408" i="1"/>
  <c r="AK412" i="1"/>
  <c r="AK413" i="1"/>
  <c r="AK398" i="1"/>
  <c r="AK405" i="1"/>
  <c r="AK429" i="1"/>
  <c r="AK430" i="1" s="1"/>
  <c r="AK368" i="1"/>
  <c r="AK375" i="1"/>
  <c r="AK371" i="1"/>
  <c r="AN373" i="1"/>
  <c r="AN433" i="1"/>
  <c r="AN416" i="1"/>
  <c r="AN434" i="1"/>
  <c r="AN417" i="1"/>
  <c r="AI417" i="1"/>
  <c r="AG417" i="1"/>
  <c r="AG372" i="1"/>
  <c r="AG373" i="1"/>
  <c r="AG374" i="1" s="1"/>
  <c r="AG433" i="1"/>
  <c r="AG422" i="1"/>
  <c r="AG434" i="1" s="1"/>
  <c r="AH416" i="1"/>
  <c r="AI422" i="1"/>
  <c r="AI434" i="1" s="1"/>
  <c r="AI433" i="1"/>
  <c r="AI416" i="1"/>
  <c r="AI372" i="1"/>
  <c r="AI373" i="1"/>
  <c r="AH422" i="1"/>
  <c r="AH434" i="1" s="1"/>
  <c r="AH433" i="1"/>
  <c r="AG416" i="1"/>
  <c r="AH372" i="1"/>
  <c r="AH373" i="1"/>
  <c r="AH417" i="1"/>
  <c r="AF374" i="1"/>
  <c r="AD376" i="1"/>
  <c r="AE376" i="1"/>
  <c r="AF376" i="1"/>
  <c r="AC376" i="1"/>
  <c r="AC380" i="1"/>
  <c r="AC378" i="1"/>
  <c r="AD378" i="1"/>
  <c r="AD380" i="1"/>
  <c r="AE380" i="1"/>
  <c r="AE378" i="1"/>
  <c r="AF380" i="1"/>
  <c r="AS389" i="1"/>
  <c r="AS383" i="1"/>
  <c r="AS384" i="1"/>
  <c r="AS382" i="1"/>
  <c r="AS385" i="1"/>
  <c r="AS388" i="1"/>
  <c r="AR391" i="1" l="1"/>
  <c r="AQ391" i="1"/>
  <c r="AX381" i="1"/>
  <c r="AX391" i="1"/>
  <c r="AO381" i="1"/>
  <c r="AO391" i="1"/>
  <c r="AP391" i="1"/>
  <c r="AP381" i="1"/>
  <c r="X369" i="1"/>
  <c r="X370" i="1" s="1"/>
  <c r="W369" i="1"/>
  <c r="W370" i="1" s="1"/>
  <c r="V369" i="1"/>
  <c r="V370" i="1" s="1"/>
  <c r="Y369" i="1"/>
  <c r="Y370" i="1" s="1"/>
  <c r="AX402" i="1"/>
  <c r="AA369" i="1"/>
  <c r="AA370" i="1" s="1"/>
  <c r="Z369" i="1"/>
  <c r="Z370" i="1" s="1"/>
  <c r="AB369" i="1"/>
  <c r="AB370" i="1" s="1"/>
  <c r="AP423" i="1"/>
  <c r="AP424" i="1" s="1"/>
  <c r="AP427" i="1"/>
  <c r="AP428" i="1" s="1"/>
  <c r="AP431" i="1"/>
  <c r="AP399" i="1"/>
  <c r="AP402" i="1"/>
  <c r="AP405" i="1"/>
  <c r="AP408" i="1"/>
  <c r="AP411" i="1"/>
  <c r="AP414" i="1"/>
  <c r="AP403" i="1"/>
  <c r="AP415" i="1"/>
  <c r="AP400" i="1"/>
  <c r="AP409" i="1"/>
  <c r="AP412" i="1"/>
  <c r="AP421" i="1"/>
  <c r="AP425" i="1"/>
  <c r="AP426" i="1" s="1"/>
  <c r="AP406" i="1"/>
  <c r="AP429" i="1"/>
  <c r="AP430" i="1" s="1"/>
  <c r="AP398" i="1"/>
  <c r="AP401" i="1"/>
  <c r="AP404" i="1"/>
  <c r="AP407" i="1"/>
  <c r="AP410" i="1"/>
  <c r="AP413" i="1"/>
  <c r="AO414" i="1"/>
  <c r="AO407" i="1"/>
  <c r="AO410" i="1"/>
  <c r="AO423" i="1"/>
  <c r="AO424" i="1" s="1"/>
  <c r="AO427" i="1"/>
  <c r="AO428" i="1" s="1"/>
  <c r="AO431" i="1"/>
  <c r="AO399" i="1"/>
  <c r="AO402" i="1"/>
  <c r="AO405" i="1"/>
  <c r="AO408" i="1"/>
  <c r="AO411" i="1"/>
  <c r="AO401" i="1"/>
  <c r="AO404" i="1"/>
  <c r="AO421" i="1"/>
  <c r="AO425" i="1"/>
  <c r="AO426" i="1" s="1"/>
  <c r="AO400" i="1"/>
  <c r="AO403" i="1"/>
  <c r="AO406" i="1"/>
  <c r="AO409" i="1"/>
  <c r="AO412" i="1"/>
  <c r="AO415" i="1"/>
  <c r="AO413" i="1"/>
  <c r="AO429" i="1"/>
  <c r="AO430" i="1" s="1"/>
  <c r="AO398" i="1"/>
  <c r="AV367" i="1"/>
  <c r="AT367" i="1"/>
  <c r="AW367" i="1"/>
  <c r="AR403" i="1"/>
  <c r="AR429" i="1"/>
  <c r="AR430" i="1" s="1"/>
  <c r="AR398" i="1"/>
  <c r="AR401" i="1"/>
  <c r="AR404" i="1"/>
  <c r="AR407" i="1"/>
  <c r="AR410" i="1"/>
  <c r="AR413" i="1"/>
  <c r="AR409" i="1"/>
  <c r="AR400" i="1"/>
  <c r="AR421" i="1"/>
  <c r="AR425" i="1"/>
  <c r="AR426" i="1" s="1"/>
  <c r="AR423" i="1"/>
  <c r="AR424" i="1" s="1"/>
  <c r="AR427" i="1"/>
  <c r="AR428" i="1" s="1"/>
  <c r="AR431" i="1"/>
  <c r="AR399" i="1"/>
  <c r="AR402" i="1"/>
  <c r="AR405" i="1"/>
  <c r="AR408" i="1"/>
  <c r="AR411" i="1"/>
  <c r="AR414" i="1"/>
  <c r="AR406" i="1"/>
  <c r="AR415" i="1"/>
  <c r="AR412" i="1"/>
  <c r="AU367" i="1"/>
  <c r="AQ429" i="1"/>
  <c r="AQ430" i="1" s="1"/>
  <c r="AQ398" i="1"/>
  <c r="AQ401" i="1"/>
  <c r="AQ404" i="1"/>
  <c r="AQ407" i="1"/>
  <c r="AQ410" i="1"/>
  <c r="AQ413" i="1"/>
  <c r="AQ403" i="1"/>
  <c r="AQ409" i="1"/>
  <c r="AQ423" i="1"/>
  <c r="AQ424" i="1" s="1"/>
  <c r="AQ427" i="1"/>
  <c r="AQ428" i="1" s="1"/>
  <c r="AQ431" i="1"/>
  <c r="AQ399" i="1"/>
  <c r="AQ402" i="1"/>
  <c r="AQ405" i="1"/>
  <c r="AQ408" i="1"/>
  <c r="AQ411" i="1"/>
  <c r="AQ414" i="1"/>
  <c r="AQ412" i="1"/>
  <c r="AQ406" i="1"/>
  <c r="AQ415" i="1"/>
  <c r="AQ421" i="1"/>
  <c r="AQ425" i="1"/>
  <c r="AQ426" i="1" s="1"/>
  <c r="AQ400" i="1"/>
  <c r="AX404" i="1"/>
  <c r="AX406" i="1"/>
  <c r="AX410" i="1"/>
  <c r="AX408" i="1"/>
  <c r="AX398" i="1"/>
  <c r="AX400" i="1"/>
  <c r="BC367" i="1"/>
  <c r="AX368" i="1"/>
  <c r="AS372" i="1"/>
  <c r="AX401" i="1"/>
  <c r="AK391" i="1"/>
  <c r="AL391" i="1"/>
  <c r="AX431" i="1"/>
  <c r="AR368" i="1"/>
  <c r="AR381" i="1"/>
  <c r="AR371" i="1"/>
  <c r="AR375" i="1"/>
  <c r="AX405" i="1"/>
  <c r="AX414" i="1"/>
  <c r="AX409" i="1"/>
  <c r="AX403" i="1"/>
  <c r="AX425" i="1"/>
  <c r="AX426" i="1" s="1"/>
  <c r="AQ368" i="1"/>
  <c r="AQ381" i="1"/>
  <c r="AQ371" i="1"/>
  <c r="AQ375" i="1"/>
  <c r="AM391" i="1"/>
  <c r="AO368" i="1"/>
  <c r="AO371" i="1"/>
  <c r="AO375" i="1"/>
  <c r="AX407" i="1"/>
  <c r="AX429" i="1"/>
  <c r="AX430" i="1" s="1"/>
  <c r="AX411" i="1"/>
  <c r="AX399" i="1"/>
  <c r="AX427" i="1"/>
  <c r="AX428" i="1" s="1"/>
  <c r="AX375" i="1"/>
  <c r="AX423" i="1"/>
  <c r="AX424" i="1" s="1"/>
  <c r="AX412" i="1"/>
  <c r="AX415" i="1"/>
  <c r="AX421" i="1"/>
  <c r="AX371" i="1"/>
  <c r="AX373" i="1" s="1"/>
  <c r="AP368" i="1"/>
  <c r="AP371" i="1"/>
  <c r="AP375" i="1"/>
  <c r="AX413" i="1"/>
  <c r="AM416" i="1"/>
  <c r="AS416" i="1"/>
  <c r="AS433" i="1"/>
  <c r="AS417" i="1"/>
  <c r="AS434" i="1"/>
  <c r="AK373" i="1"/>
  <c r="AK372" i="1"/>
  <c r="AL373" i="1"/>
  <c r="AL372" i="1"/>
  <c r="AL416" i="1"/>
  <c r="AM417" i="1"/>
  <c r="AK417" i="1"/>
  <c r="AK422" i="1"/>
  <c r="AK434" i="1" s="1"/>
  <c r="AK433" i="1"/>
  <c r="AM422" i="1"/>
  <c r="AM434" i="1" s="1"/>
  <c r="AM433" i="1"/>
  <c r="AM373" i="1"/>
  <c r="AM372" i="1"/>
  <c r="AL422" i="1"/>
  <c r="AL434" i="1" s="1"/>
  <c r="AL433" i="1"/>
  <c r="AK416" i="1"/>
  <c r="AL417" i="1"/>
  <c r="AE369" i="1"/>
  <c r="AE370" i="1" s="1"/>
  <c r="AD369" i="1"/>
  <c r="AD370" i="1" s="1"/>
  <c r="AC369" i="1"/>
  <c r="AC370" i="1" s="1"/>
  <c r="AX389" i="1"/>
  <c r="AX384" i="1"/>
  <c r="AX383" i="1"/>
  <c r="AX382" i="1"/>
  <c r="AX385" i="1"/>
  <c r="AX388" i="1"/>
  <c r="AW391" i="1" l="1"/>
  <c r="AV391" i="1"/>
  <c r="AT391" i="1"/>
  <c r="AU391" i="1"/>
  <c r="BC390" i="1"/>
  <c r="D363" i="1"/>
  <c r="BC404" i="1"/>
  <c r="BC421" i="1"/>
  <c r="BC399" i="1"/>
  <c r="BC427" i="1"/>
  <c r="BC428" i="1" s="1"/>
  <c r="BC425" i="1"/>
  <c r="BC426" i="1" s="1"/>
  <c r="BC410" i="1"/>
  <c r="BC371" i="1"/>
  <c r="BC373" i="1" s="1"/>
  <c r="AZ367" i="1"/>
  <c r="BA367" i="1"/>
  <c r="BB367" i="1"/>
  <c r="AY367" i="1"/>
  <c r="BC407" i="1"/>
  <c r="BC414" i="1"/>
  <c r="BC409" i="1"/>
  <c r="BC412" i="1"/>
  <c r="BC423" i="1"/>
  <c r="BC424" i="1" s="1"/>
  <c r="AO416" i="1"/>
  <c r="AO417" i="1"/>
  <c r="BC408" i="1"/>
  <c r="BC405" i="1"/>
  <c r="BC411" i="1"/>
  <c r="BC375" i="1"/>
  <c r="BC413" i="1"/>
  <c r="BC403" i="1"/>
  <c r="BC415" i="1"/>
  <c r="BC400" i="1"/>
  <c r="BC398" i="1"/>
  <c r="BC431" i="1"/>
  <c r="BC381" i="1"/>
  <c r="BC368" i="1"/>
  <c r="BC429" i="1"/>
  <c r="BC430" i="1" s="1"/>
  <c r="AQ416" i="1"/>
  <c r="AU421" i="1"/>
  <c r="AU425" i="1"/>
  <c r="AU426" i="1" s="1"/>
  <c r="AU400" i="1"/>
  <c r="AU403" i="1"/>
  <c r="AU406" i="1"/>
  <c r="AU409" i="1"/>
  <c r="AU412" i="1"/>
  <c r="AU415" i="1"/>
  <c r="AU429" i="1"/>
  <c r="AU430" i="1" s="1"/>
  <c r="AU398" i="1"/>
  <c r="AU401" i="1"/>
  <c r="AU404" i="1"/>
  <c r="AU407" i="1"/>
  <c r="AU410" i="1"/>
  <c r="AU413" i="1"/>
  <c r="AU368" i="1"/>
  <c r="AU381" i="1"/>
  <c r="AU423" i="1"/>
  <c r="AU424" i="1" s="1"/>
  <c r="AU427" i="1"/>
  <c r="AU428" i="1" s="1"/>
  <c r="AU431" i="1"/>
  <c r="AU399" i="1"/>
  <c r="AU402" i="1"/>
  <c r="AU405" i="1"/>
  <c r="AU408" i="1"/>
  <c r="AU411" i="1"/>
  <c r="AU414" i="1"/>
  <c r="AU371" i="1"/>
  <c r="AU375" i="1"/>
  <c r="AR417" i="1"/>
  <c r="AW375" i="1"/>
  <c r="AW421" i="1"/>
  <c r="AW425" i="1"/>
  <c r="AW426" i="1" s="1"/>
  <c r="AW400" i="1"/>
  <c r="AW403" i="1"/>
  <c r="AW406" i="1"/>
  <c r="AW409" i="1"/>
  <c r="AW412" i="1"/>
  <c r="AW415" i="1"/>
  <c r="AW429" i="1"/>
  <c r="AW430" i="1" s="1"/>
  <c r="AW398" i="1"/>
  <c r="AW401" i="1"/>
  <c r="AW404" i="1"/>
  <c r="AW407" i="1"/>
  <c r="AW410" i="1"/>
  <c r="AW413" i="1"/>
  <c r="AW368" i="1"/>
  <c r="AW381" i="1"/>
  <c r="AW423" i="1"/>
  <c r="AW424" i="1" s="1"/>
  <c r="AW427" i="1"/>
  <c r="AW428" i="1" s="1"/>
  <c r="AW431" i="1"/>
  <c r="AW399" i="1"/>
  <c r="AW402" i="1"/>
  <c r="AW405" i="1"/>
  <c r="AW408" i="1"/>
  <c r="AW411" i="1"/>
  <c r="AW414" i="1"/>
  <c r="AW371" i="1"/>
  <c r="AP433" i="1"/>
  <c r="AP422" i="1"/>
  <c r="AP434" i="1" s="1"/>
  <c r="AQ422" i="1"/>
  <c r="AQ434" i="1" s="1"/>
  <c r="AQ433" i="1"/>
  <c r="AR422" i="1"/>
  <c r="AR434" i="1" s="1"/>
  <c r="AR433" i="1"/>
  <c r="AT421" i="1"/>
  <c r="AT425" i="1"/>
  <c r="AT426" i="1" s="1"/>
  <c r="AT400" i="1"/>
  <c r="AT403" i="1"/>
  <c r="AT406" i="1"/>
  <c r="AT409" i="1"/>
  <c r="AT412" i="1"/>
  <c r="AT415" i="1"/>
  <c r="AT429" i="1"/>
  <c r="AT430" i="1" s="1"/>
  <c r="AT398" i="1"/>
  <c r="AT401" i="1"/>
  <c r="AT404" i="1"/>
  <c r="AT407" i="1"/>
  <c r="AT410" i="1"/>
  <c r="AT413" i="1"/>
  <c r="AT368" i="1"/>
  <c r="AT381" i="1"/>
  <c r="AT423" i="1"/>
  <c r="AT424" i="1" s="1"/>
  <c r="AT427" i="1"/>
  <c r="AT428" i="1" s="1"/>
  <c r="AT431" i="1"/>
  <c r="AT399" i="1"/>
  <c r="AT402" i="1"/>
  <c r="AT405" i="1"/>
  <c r="AT408" i="1"/>
  <c r="AT411" i="1"/>
  <c r="AT414" i="1"/>
  <c r="AT371" i="1"/>
  <c r="AT375" i="1"/>
  <c r="AT376" i="1" s="1"/>
  <c r="AO433" i="1"/>
  <c r="AO422" i="1"/>
  <c r="AO434" i="1" s="1"/>
  <c r="AR416" i="1"/>
  <c r="AV405" i="1"/>
  <c r="AV371" i="1"/>
  <c r="AV411" i="1"/>
  <c r="AV421" i="1"/>
  <c r="AV425" i="1"/>
  <c r="AV426" i="1" s="1"/>
  <c r="AV400" i="1"/>
  <c r="AV403" i="1"/>
  <c r="AV406" i="1"/>
  <c r="AV409" i="1"/>
  <c r="AV412" i="1"/>
  <c r="AV415" i="1"/>
  <c r="AV427" i="1"/>
  <c r="AV428" i="1" s="1"/>
  <c r="AV399" i="1"/>
  <c r="AV402" i="1"/>
  <c r="AV408" i="1"/>
  <c r="AV429" i="1"/>
  <c r="AV430" i="1" s="1"/>
  <c r="AV398" i="1"/>
  <c r="AV401" i="1"/>
  <c r="AV404" i="1"/>
  <c r="AV407" i="1"/>
  <c r="AV410" i="1"/>
  <c r="AV413" i="1"/>
  <c r="AV368" i="1"/>
  <c r="AV423" i="1"/>
  <c r="AV424" i="1" s="1"/>
  <c r="AV381" i="1"/>
  <c r="AV414" i="1"/>
  <c r="AV375" i="1"/>
  <c r="AV431" i="1"/>
  <c r="AP417" i="1"/>
  <c r="AX433" i="1"/>
  <c r="AQ417" i="1"/>
  <c r="AP416" i="1"/>
  <c r="BC406" i="1"/>
  <c r="BH367" i="1"/>
  <c r="AX416" i="1"/>
  <c r="BC402" i="1"/>
  <c r="BC401" i="1"/>
  <c r="AX372" i="1"/>
  <c r="AP376" i="1"/>
  <c r="AX417" i="1"/>
  <c r="AQ373" i="1"/>
  <c r="AQ374" i="1" s="1"/>
  <c r="AQ372" i="1"/>
  <c r="AP373" i="1"/>
  <c r="AP372" i="1"/>
  <c r="AR372" i="1"/>
  <c r="AR373" i="1"/>
  <c r="AX422" i="1"/>
  <c r="AX434" i="1" s="1"/>
  <c r="AK376" i="1"/>
  <c r="AP380" i="1"/>
  <c r="AO380" i="1"/>
  <c r="AO376" i="1"/>
  <c r="AO373" i="1"/>
  <c r="AO374" i="1" s="1"/>
  <c r="AO372" i="1"/>
  <c r="AL380" i="1"/>
  <c r="AK380" i="1"/>
  <c r="AM380" i="1"/>
  <c r="AL374" i="1"/>
  <c r="AK374" i="1"/>
  <c r="AM374" i="1"/>
  <c r="AL376" i="1"/>
  <c r="AM376" i="1"/>
  <c r="AQ380" i="1"/>
  <c r="BC385" i="1"/>
  <c r="BC382" i="1"/>
  <c r="BC388" i="1"/>
  <c r="BC383" i="1"/>
  <c r="BC384" i="1"/>
  <c r="BC422" i="1"/>
  <c r="AY391" i="1" l="1"/>
  <c r="BA390" i="1"/>
  <c r="BA391" i="1" s="1"/>
  <c r="AZ390" i="1"/>
  <c r="AZ391" i="1" s="1"/>
  <c r="BH390" i="1"/>
  <c r="BH391" i="1" s="1"/>
  <c r="BB390" i="1"/>
  <c r="BB391" i="1" s="1"/>
  <c r="BC376" i="1" s="1"/>
  <c r="BD367" i="1"/>
  <c r="BF367" i="1"/>
  <c r="BG367" i="1"/>
  <c r="BE367" i="1"/>
  <c r="BH404" i="1"/>
  <c r="BH427" i="1"/>
  <c r="BH428" i="1" s="1"/>
  <c r="BH429" i="1"/>
  <c r="BH430" i="1" s="1"/>
  <c r="BC391" i="1"/>
  <c r="BC372" i="1"/>
  <c r="BC434" i="1"/>
  <c r="BH381" i="1"/>
  <c r="BH401" i="1"/>
  <c r="BH399" i="1"/>
  <c r="BH368" i="1"/>
  <c r="AV376" i="1"/>
  <c r="AW376" i="1"/>
  <c r="AY421" i="1"/>
  <c r="AY425" i="1"/>
  <c r="AY426" i="1" s="1"/>
  <c r="AY429" i="1"/>
  <c r="AY430" i="1" s="1"/>
  <c r="AY368" i="1"/>
  <c r="AY423" i="1"/>
  <c r="AY424" i="1" s="1"/>
  <c r="AY381" i="1"/>
  <c r="AY427" i="1"/>
  <c r="AY428" i="1" s="1"/>
  <c r="AY431" i="1"/>
  <c r="AY371" i="1"/>
  <c r="AY375" i="1"/>
  <c r="AY376" i="1" s="1"/>
  <c r="AY401" i="1"/>
  <c r="AY400" i="1"/>
  <c r="AY403" i="1"/>
  <c r="AY406" i="1"/>
  <c r="AY411" i="1"/>
  <c r="AY398" i="1"/>
  <c r="AY414" i="1"/>
  <c r="AY399" i="1"/>
  <c r="AY415" i="1"/>
  <c r="AY408" i="1"/>
  <c r="AY410" i="1"/>
  <c r="AY413" i="1"/>
  <c r="AY404" i="1"/>
  <c r="AY407" i="1"/>
  <c r="AY402" i="1"/>
  <c r="AY409" i="1"/>
  <c r="AY412" i="1"/>
  <c r="AY405" i="1"/>
  <c r="BB427" i="1"/>
  <c r="BB428" i="1" s="1"/>
  <c r="BB421" i="1"/>
  <c r="BB425" i="1"/>
  <c r="BB426" i="1" s="1"/>
  <c r="BB381" i="1"/>
  <c r="BB371" i="1"/>
  <c r="BB429" i="1"/>
  <c r="BB430" i="1" s="1"/>
  <c r="BB368" i="1"/>
  <c r="BB431" i="1"/>
  <c r="BB375" i="1"/>
  <c r="BB423" i="1"/>
  <c r="BB424" i="1" s="1"/>
  <c r="BB401" i="1"/>
  <c r="BB400" i="1"/>
  <c r="BB415" i="1"/>
  <c r="BB407" i="1"/>
  <c r="BB413" i="1"/>
  <c r="BB410" i="1"/>
  <c r="BB405" i="1"/>
  <c r="BB414" i="1"/>
  <c r="BB409" i="1"/>
  <c r="BB398" i="1"/>
  <c r="BB411" i="1"/>
  <c r="BB412" i="1"/>
  <c r="BB403" i="1"/>
  <c r="BB408" i="1"/>
  <c r="BB399" i="1"/>
  <c r="BB406" i="1"/>
  <c r="BB404" i="1"/>
  <c r="BB402" i="1"/>
  <c r="BA375" i="1"/>
  <c r="BA421" i="1"/>
  <c r="BA425" i="1"/>
  <c r="BA426" i="1" s="1"/>
  <c r="BA431" i="1"/>
  <c r="BA429" i="1"/>
  <c r="BA430" i="1" s="1"/>
  <c r="BA368" i="1"/>
  <c r="BA371" i="1"/>
  <c r="BA381" i="1"/>
  <c r="BA423" i="1"/>
  <c r="BA424" i="1" s="1"/>
  <c r="BA427" i="1"/>
  <c r="BA428" i="1" s="1"/>
  <c r="BA401" i="1"/>
  <c r="BA400" i="1"/>
  <c r="BA410" i="1"/>
  <c r="BA402" i="1"/>
  <c r="BA415" i="1"/>
  <c r="BA405" i="1"/>
  <c r="BA411" i="1"/>
  <c r="BA398" i="1"/>
  <c r="BA412" i="1"/>
  <c r="BA404" i="1"/>
  <c r="BA414" i="1"/>
  <c r="BA409" i="1"/>
  <c r="BA413" i="1"/>
  <c r="BA403" i="1"/>
  <c r="BA406" i="1"/>
  <c r="BA408" i="1"/>
  <c r="BA399" i="1"/>
  <c r="BA407" i="1"/>
  <c r="AZ421" i="1"/>
  <c r="AZ425" i="1"/>
  <c r="AZ426" i="1" s="1"/>
  <c r="AZ429" i="1"/>
  <c r="AZ430" i="1" s="1"/>
  <c r="AZ368" i="1"/>
  <c r="AZ375" i="1"/>
  <c r="AZ376" i="1" s="1"/>
  <c r="AZ381" i="1"/>
  <c r="AZ431" i="1"/>
  <c r="AZ371" i="1"/>
  <c r="AZ427" i="1"/>
  <c r="AZ428" i="1" s="1"/>
  <c r="AZ423" i="1"/>
  <c r="AZ424" i="1" s="1"/>
  <c r="AZ400" i="1"/>
  <c r="AZ401" i="1"/>
  <c r="AZ402" i="1"/>
  <c r="AZ405" i="1"/>
  <c r="AZ407" i="1"/>
  <c r="AZ409" i="1"/>
  <c r="AZ412" i="1"/>
  <c r="AZ414" i="1"/>
  <c r="AZ411" i="1"/>
  <c r="AZ403" i="1"/>
  <c r="AZ398" i="1"/>
  <c r="AZ406" i="1"/>
  <c r="AZ408" i="1"/>
  <c r="AZ413" i="1"/>
  <c r="AZ399" i="1"/>
  <c r="AZ404" i="1"/>
  <c r="AZ415" i="1"/>
  <c r="AZ410" i="1"/>
  <c r="BH402" i="1"/>
  <c r="BH400" i="1"/>
  <c r="BC417" i="1"/>
  <c r="AO378" i="1"/>
  <c r="AO369" i="1" s="1"/>
  <c r="AO370" i="1" s="1"/>
  <c r="AT380" i="1"/>
  <c r="AT378" i="1" s="1"/>
  <c r="AT369" i="1" s="1"/>
  <c r="AT370" i="1" s="1"/>
  <c r="AU376" i="1"/>
  <c r="AU380" i="1"/>
  <c r="AQ376" i="1"/>
  <c r="AP374" i="1"/>
  <c r="BC416" i="1"/>
  <c r="AR376" i="1"/>
  <c r="BC433" i="1"/>
  <c r="AR380" i="1"/>
  <c r="AQ378" i="1"/>
  <c r="AR374" i="1"/>
  <c r="AV416" i="1"/>
  <c r="BH375" i="1"/>
  <c r="BH431" i="1"/>
  <c r="BH398" i="1"/>
  <c r="AV433" i="1"/>
  <c r="AV422" i="1"/>
  <c r="AV434" i="1" s="1"/>
  <c r="BI367" i="1"/>
  <c r="BH421" i="1"/>
  <c r="BH422" i="1" s="1"/>
  <c r="BH425" i="1"/>
  <c r="BH426" i="1" s="1"/>
  <c r="AV372" i="1"/>
  <c r="AV373" i="1"/>
  <c r="AV374" i="1" s="1"/>
  <c r="AU372" i="1"/>
  <c r="AU373" i="1"/>
  <c r="AU374" i="1" s="1"/>
  <c r="AU416" i="1"/>
  <c r="BH415" i="1"/>
  <c r="BH423" i="1"/>
  <c r="BH424" i="1" s="1"/>
  <c r="BH371" i="1"/>
  <c r="BH373" i="1" s="1"/>
  <c r="AT433" i="1"/>
  <c r="AT422" i="1"/>
  <c r="AT434" i="1" s="1"/>
  <c r="AU433" i="1"/>
  <c r="AU422" i="1"/>
  <c r="AU434" i="1" s="1"/>
  <c r="AU417" i="1"/>
  <c r="BH412" i="1"/>
  <c r="AW417" i="1"/>
  <c r="BH413" i="1"/>
  <c r="BH411" i="1"/>
  <c r="BH410" i="1"/>
  <c r="AW372" i="1"/>
  <c r="AW373" i="1"/>
  <c r="AW416" i="1"/>
  <c r="BH414" i="1"/>
  <c r="BH409" i="1"/>
  <c r="BH407" i="1"/>
  <c r="BH408" i="1"/>
  <c r="AT417" i="1"/>
  <c r="AW433" i="1"/>
  <c r="AW422" i="1"/>
  <c r="AW434" i="1" s="1"/>
  <c r="BH405" i="1"/>
  <c r="BH406" i="1"/>
  <c r="BH403" i="1"/>
  <c r="AV417" i="1"/>
  <c r="AT372" i="1"/>
  <c r="AT373" i="1"/>
  <c r="AT374" i="1" s="1"/>
  <c r="AT416" i="1"/>
  <c r="AP378" i="1"/>
  <c r="AP369" i="1" s="1"/>
  <c r="AP370" i="1" s="1"/>
  <c r="AM378" i="1"/>
  <c r="AM369" i="1" s="1"/>
  <c r="AM370" i="1" s="1"/>
  <c r="AK378" i="1"/>
  <c r="AK369" i="1" s="1"/>
  <c r="AK370" i="1" s="1"/>
  <c r="AL378" i="1"/>
  <c r="AL369" i="1" s="1"/>
  <c r="AL370" i="1" s="1"/>
  <c r="AH380" i="1"/>
  <c r="AH376" i="1"/>
  <c r="AH374" i="1"/>
  <c r="AJ376" i="1"/>
  <c r="AN376" i="1"/>
  <c r="AS376" i="1"/>
  <c r="AI376" i="1"/>
  <c r="AS374" i="1"/>
  <c r="AI374" i="1"/>
  <c r="AI380" i="1"/>
  <c r="AJ374" i="1"/>
  <c r="AN374" i="1"/>
  <c r="AJ380" i="1"/>
  <c r="AF378" i="1"/>
  <c r="BM389" i="1"/>
  <c r="BM391" i="1"/>
  <c r="BM385" i="1"/>
  <c r="BM382" i="1"/>
  <c r="BM388" i="1"/>
  <c r="BN366" i="1"/>
  <c r="BM384" i="1"/>
  <c r="BM383" i="1"/>
  <c r="BE379" i="1" l="1"/>
  <c r="BE377" i="1"/>
  <c r="BG379" i="1"/>
  <c r="BG377" i="1"/>
  <c r="BF379" i="1"/>
  <c r="BF377" i="1"/>
  <c r="BD379" i="1"/>
  <c r="BD380" i="1" s="1"/>
  <c r="BD377" i="1"/>
  <c r="BI377" i="1"/>
  <c r="BI379" i="1"/>
  <c r="BI415" i="1"/>
  <c r="AQ369" i="1"/>
  <c r="AQ370" i="1" s="1"/>
  <c r="BE371" i="1"/>
  <c r="BE423" i="1"/>
  <c r="BE424" i="1" s="1"/>
  <c r="BE427" i="1"/>
  <c r="BE428" i="1" s="1"/>
  <c r="BE400" i="1"/>
  <c r="BE403" i="1"/>
  <c r="BE406" i="1"/>
  <c r="BE409" i="1"/>
  <c r="BE412" i="1"/>
  <c r="BE415" i="1"/>
  <c r="BE431" i="1"/>
  <c r="BE390" i="1"/>
  <c r="BE391" i="1" s="1"/>
  <c r="BE405" i="1"/>
  <c r="BE425" i="1"/>
  <c r="BE426" i="1" s="1"/>
  <c r="BE402" i="1"/>
  <c r="BE421" i="1"/>
  <c r="BE381" i="1"/>
  <c r="BE399" i="1"/>
  <c r="BE368" i="1"/>
  <c r="BE429" i="1"/>
  <c r="BE430" i="1" s="1"/>
  <c r="BE398" i="1"/>
  <c r="BE401" i="1"/>
  <c r="BE404" i="1"/>
  <c r="BE407" i="1"/>
  <c r="BE410" i="1"/>
  <c r="BE413" i="1"/>
  <c r="BE414" i="1"/>
  <c r="BE408" i="1"/>
  <c r="BE411" i="1"/>
  <c r="BE375" i="1"/>
  <c r="BG375" i="1"/>
  <c r="BG431" i="1"/>
  <c r="BG399" i="1"/>
  <c r="BG402" i="1"/>
  <c r="BG405" i="1"/>
  <c r="BG408" i="1"/>
  <c r="BG411" i="1"/>
  <c r="BG414" i="1"/>
  <c r="BG423" i="1"/>
  <c r="BG424" i="1" s="1"/>
  <c r="BG427" i="1"/>
  <c r="BG428" i="1" s="1"/>
  <c r="BG400" i="1"/>
  <c r="BG403" i="1"/>
  <c r="BG406" i="1"/>
  <c r="BG409" i="1"/>
  <c r="BG412" i="1"/>
  <c r="BG415" i="1"/>
  <c r="BG390" i="1"/>
  <c r="BG391" i="1" s="1"/>
  <c r="BG425" i="1"/>
  <c r="BG426" i="1" s="1"/>
  <c r="BG421" i="1"/>
  <c r="BG429" i="1"/>
  <c r="BG430" i="1" s="1"/>
  <c r="BG398" i="1"/>
  <c r="BG401" i="1"/>
  <c r="BG404" i="1"/>
  <c r="BG407" i="1"/>
  <c r="BG410" i="1"/>
  <c r="BG413" i="1"/>
  <c r="BG368" i="1"/>
  <c r="BG381" i="1"/>
  <c r="BG371" i="1"/>
  <c r="BF375" i="1"/>
  <c r="BF376" i="1" s="1"/>
  <c r="BF413" i="1"/>
  <c r="BF414" i="1"/>
  <c r="BF423" i="1"/>
  <c r="BF424" i="1" s="1"/>
  <c r="BF427" i="1"/>
  <c r="BF428" i="1" s="1"/>
  <c r="BF368" i="1"/>
  <c r="BF411" i="1"/>
  <c r="BF410" i="1"/>
  <c r="BF400" i="1"/>
  <c r="BF403" i="1"/>
  <c r="BF406" i="1"/>
  <c r="BF409" i="1"/>
  <c r="BF412" i="1"/>
  <c r="BF415" i="1"/>
  <c r="BF390" i="1"/>
  <c r="BF391" i="1" s="1"/>
  <c r="BF425" i="1"/>
  <c r="BF426" i="1" s="1"/>
  <c r="BF421" i="1"/>
  <c r="BF371" i="1"/>
  <c r="BF429" i="1"/>
  <c r="BF430" i="1" s="1"/>
  <c r="BF398" i="1"/>
  <c r="BF401" i="1"/>
  <c r="BF404" i="1"/>
  <c r="BF407" i="1"/>
  <c r="BF405" i="1"/>
  <c r="BF431" i="1"/>
  <c r="BF399" i="1"/>
  <c r="BF402" i="1"/>
  <c r="BF408" i="1"/>
  <c r="BF381" i="1"/>
  <c r="BD371" i="1"/>
  <c r="BD406" i="1"/>
  <c r="BD412" i="1"/>
  <c r="BD400" i="1"/>
  <c r="BD403" i="1"/>
  <c r="BD409" i="1"/>
  <c r="BD415" i="1"/>
  <c r="BD402" i="1"/>
  <c r="BD390" i="1"/>
  <c r="BD391" i="1" s="1"/>
  <c r="BD399" i="1"/>
  <c r="BD425" i="1"/>
  <c r="BD426" i="1" s="1"/>
  <c r="BD411" i="1"/>
  <c r="BD421" i="1"/>
  <c r="BD405" i="1"/>
  <c r="BD429" i="1"/>
  <c r="BD430" i="1" s="1"/>
  <c r="BD398" i="1"/>
  <c r="BD401" i="1"/>
  <c r="BD404" i="1"/>
  <c r="BD407" i="1"/>
  <c r="BD410" i="1"/>
  <c r="BD413" i="1"/>
  <c r="BD431" i="1"/>
  <c r="BD414" i="1"/>
  <c r="BD408" i="1"/>
  <c r="BD423" i="1"/>
  <c r="BD424" i="1" s="1"/>
  <c r="BD427" i="1"/>
  <c r="BD428" i="1" s="1"/>
  <c r="BD368" i="1"/>
  <c r="BD381" i="1"/>
  <c r="BD375" i="1"/>
  <c r="BD376" i="1" s="1"/>
  <c r="BI390" i="1"/>
  <c r="AZ380" i="1"/>
  <c r="AZ378" i="1" s="1"/>
  <c r="AZ369" i="1" s="1"/>
  <c r="AZ370" i="1" s="1"/>
  <c r="AX374" i="1"/>
  <c r="AY380" i="1"/>
  <c r="AY378" i="1" s="1"/>
  <c r="AY369" i="1" s="1"/>
  <c r="AY370" i="1" s="1"/>
  <c r="BI368" i="1"/>
  <c r="BI407" i="1"/>
  <c r="AV380" i="1"/>
  <c r="AW380" i="1"/>
  <c r="BA376" i="1"/>
  <c r="AR378" i="1"/>
  <c r="AR369" i="1" s="1"/>
  <c r="AR370" i="1" s="1"/>
  <c r="BC374" i="1"/>
  <c r="AW374" i="1"/>
  <c r="AX376" i="1"/>
  <c r="BI412" i="1"/>
  <c r="BI410" i="1"/>
  <c r="BI406" i="1"/>
  <c r="BI413" i="1"/>
  <c r="BI411" i="1"/>
  <c r="BB376" i="1"/>
  <c r="AY416" i="1"/>
  <c r="BA372" i="1"/>
  <c r="BA373" i="1"/>
  <c r="BA374" i="1" s="1"/>
  <c r="BA416" i="1"/>
  <c r="AZ417" i="1"/>
  <c r="AZ433" i="1"/>
  <c r="AZ422" i="1"/>
  <c r="AZ434" i="1" s="1"/>
  <c r="BB416" i="1"/>
  <c r="BA417" i="1"/>
  <c r="AY433" i="1"/>
  <c r="AY422" i="1"/>
  <c r="AY434" i="1" s="1"/>
  <c r="BA433" i="1"/>
  <c r="BA422" i="1"/>
  <c r="BA434" i="1" s="1"/>
  <c r="BB372" i="1"/>
  <c r="BB373" i="1"/>
  <c r="BB374" i="1" s="1"/>
  <c r="AZ372" i="1"/>
  <c r="AZ373" i="1"/>
  <c r="AZ374" i="1" s="1"/>
  <c r="BB380" i="1"/>
  <c r="AY373" i="1"/>
  <c r="AY374" i="1" s="1"/>
  <c r="AY372" i="1"/>
  <c r="BB433" i="1"/>
  <c r="BB422" i="1"/>
  <c r="BB434" i="1" s="1"/>
  <c r="BA380" i="1"/>
  <c r="BH416" i="1"/>
  <c r="AZ416" i="1"/>
  <c r="BB417" i="1"/>
  <c r="AY417" i="1"/>
  <c r="BH417" i="1"/>
  <c r="AU378" i="1"/>
  <c r="AU369" i="1" s="1"/>
  <c r="AU370" i="1" s="1"/>
  <c r="BH372" i="1"/>
  <c r="BI408" i="1"/>
  <c r="BI409" i="1"/>
  <c r="BI404" i="1"/>
  <c r="BI405" i="1"/>
  <c r="BH433" i="1"/>
  <c r="BI401" i="1"/>
  <c r="BH434" i="1"/>
  <c r="BI398" i="1"/>
  <c r="BI399" i="1"/>
  <c r="BI400" i="1"/>
  <c r="BI427" i="1"/>
  <c r="BI428" i="1" s="1"/>
  <c r="BI429" i="1"/>
  <c r="BI430" i="1" s="1"/>
  <c r="BI431" i="1"/>
  <c r="BI403" i="1"/>
  <c r="BJ367" i="1"/>
  <c r="BI421" i="1"/>
  <c r="BI422" i="1" s="1"/>
  <c r="BI425" i="1"/>
  <c r="BI426" i="1" s="1"/>
  <c r="BI402" i="1"/>
  <c r="BI375" i="1"/>
  <c r="BI376" i="1" s="1"/>
  <c r="BI373" i="1"/>
  <c r="BI374" i="1" s="1"/>
  <c r="BI423" i="1"/>
  <c r="BI424" i="1" s="1"/>
  <c r="BI381" i="1"/>
  <c r="BI414" i="1"/>
  <c r="AI378" i="1"/>
  <c r="AI369" i="1" s="1"/>
  <c r="AI370" i="1" s="1"/>
  <c r="AH378" i="1"/>
  <c r="AH369" i="1" s="1"/>
  <c r="AH370" i="1" s="1"/>
  <c r="AF369" i="1"/>
  <c r="AF370" i="1" s="1"/>
  <c r="BC380" i="1"/>
  <c r="AJ378" i="1"/>
  <c r="AX380" i="1"/>
  <c r="AN380" i="1"/>
  <c r="AS380" i="1"/>
  <c r="BN389" i="1"/>
  <c r="BN388" i="1"/>
  <c r="BN391" i="1"/>
  <c r="BJ379" i="1" l="1"/>
  <c r="BJ377" i="1"/>
  <c r="BJ413" i="1"/>
  <c r="BD378" i="1"/>
  <c r="BD369" i="1" s="1"/>
  <c r="BD370" i="1" s="1"/>
  <c r="BH374" i="1"/>
  <c r="BE380" i="1"/>
  <c r="BF417" i="1"/>
  <c r="BE376" i="1"/>
  <c r="BG416" i="1"/>
  <c r="BE416" i="1"/>
  <c r="BF373" i="1"/>
  <c r="BF374" i="1" s="1"/>
  <c r="BF372" i="1"/>
  <c r="BG417" i="1"/>
  <c r="BF433" i="1"/>
  <c r="BF422" i="1"/>
  <c r="BF434" i="1" s="1"/>
  <c r="BG380" i="1"/>
  <c r="BE433" i="1"/>
  <c r="BE422" i="1"/>
  <c r="BE434" i="1" s="1"/>
  <c r="BE417" i="1"/>
  <c r="BD417" i="1"/>
  <c r="BG433" i="1"/>
  <c r="BG422" i="1"/>
  <c r="BG434" i="1" s="1"/>
  <c r="BE373" i="1"/>
  <c r="BE374" i="1" s="1"/>
  <c r="BE372" i="1"/>
  <c r="BG373" i="1"/>
  <c r="BG374" i="1" s="1"/>
  <c r="BG372" i="1"/>
  <c r="BH380" i="1"/>
  <c r="BF380" i="1"/>
  <c r="BH376" i="1"/>
  <c r="BD416" i="1"/>
  <c r="BF416" i="1"/>
  <c r="BC378" i="1"/>
  <c r="BC369" i="1" s="1"/>
  <c r="BC370" i="1" s="1"/>
  <c r="BD422" i="1"/>
  <c r="BD434" i="1" s="1"/>
  <c r="BD433" i="1"/>
  <c r="BD373" i="1"/>
  <c r="BD374" i="1" s="1"/>
  <c r="BD372" i="1"/>
  <c r="BG376" i="1"/>
  <c r="AV378" i="1"/>
  <c r="AV369" i="1" s="1"/>
  <c r="AV370" i="1" s="1"/>
  <c r="BI380" i="1"/>
  <c r="BJ390" i="1"/>
  <c r="BI391" i="1"/>
  <c r="AW378" i="1"/>
  <c r="AW369" i="1" s="1"/>
  <c r="AW370" i="1" s="1"/>
  <c r="BA378" i="1"/>
  <c r="BA369" i="1" s="1"/>
  <c r="BA370" i="1" s="1"/>
  <c r="BJ400" i="1"/>
  <c r="BJ404" i="1"/>
  <c r="BI417" i="1"/>
  <c r="BB378" i="1"/>
  <c r="BB369" i="1" s="1"/>
  <c r="BB370" i="1" s="1"/>
  <c r="BJ429" i="1"/>
  <c r="BJ430" i="1" s="1"/>
  <c r="BJ402" i="1"/>
  <c r="BJ411" i="1"/>
  <c r="BJ415" i="1"/>
  <c r="BJ409" i="1"/>
  <c r="BJ407" i="1"/>
  <c r="BJ375" i="1"/>
  <c r="BJ376" i="1" s="1"/>
  <c r="BJ405" i="1"/>
  <c r="BI416" i="1"/>
  <c r="BI434" i="1"/>
  <c r="BJ403" i="1"/>
  <c r="BJ410" i="1"/>
  <c r="BJ401" i="1"/>
  <c r="BJ423" i="1"/>
  <c r="BJ424" i="1" s="1"/>
  <c r="BJ399" i="1"/>
  <c r="BJ425" i="1"/>
  <c r="BJ426" i="1" s="1"/>
  <c r="BJ431" i="1"/>
  <c r="BK367" i="1"/>
  <c r="BJ406" i="1"/>
  <c r="BJ412" i="1"/>
  <c r="BJ381" i="1"/>
  <c r="BJ398" i="1"/>
  <c r="BI433" i="1"/>
  <c r="BJ414" i="1"/>
  <c r="BJ427" i="1"/>
  <c r="BJ428" i="1" s="1"/>
  <c r="BI372" i="1"/>
  <c r="BJ421" i="1"/>
  <c r="BJ422" i="1" s="1"/>
  <c r="BJ408" i="1"/>
  <c r="AG378" i="1"/>
  <c r="AG369" i="1" s="1"/>
  <c r="AG370" i="1" s="1"/>
  <c r="AX378" i="1"/>
  <c r="AX369" i="1" s="1"/>
  <c r="AX370" i="1" s="1"/>
  <c r="BJ372" i="1"/>
  <c r="BJ373" i="1"/>
  <c r="AJ369" i="1"/>
  <c r="AJ370" i="1" s="1"/>
  <c r="AS378" i="1"/>
  <c r="AS369" i="1" s="1"/>
  <c r="AS370" i="1" s="1"/>
  <c r="AN378" i="1"/>
  <c r="AN369" i="1" s="1"/>
  <c r="AN370" i="1" s="1"/>
  <c r="BK379" i="1" l="1"/>
  <c r="BK377" i="1"/>
  <c r="BK425" i="1"/>
  <c r="BK426" i="1" s="1"/>
  <c r="BH378" i="1"/>
  <c r="BH369" i="1" s="1"/>
  <c r="BH370" i="1" s="1"/>
  <c r="BE378" i="1"/>
  <c r="BE369" i="1" s="1"/>
  <c r="BE370" i="1" s="1"/>
  <c r="BF378" i="1"/>
  <c r="BF369" i="1" s="1"/>
  <c r="BF370" i="1" s="1"/>
  <c r="BG378" i="1"/>
  <c r="BG369" i="1" s="1"/>
  <c r="BG370" i="1" s="1"/>
  <c r="BJ374" i="1"/>
  <c r="BJ380" i="1"/>
  <c r="BJ391" i="1"/>
  <c r="BK390" i="1"/>
  <c r="BI378" i="1"/>
  <c r="BI369" i="1" s="1"/>
  <c r="BI370" i="1" s="1"/>
  <c r="BK410" i="1"/>
  <c r="BJ417" i="1"/>
  <c r="BK408" i="1"/>
  <c r="BK403" i="1"/>
  <c r="BK406" i="1"/>
  <c r="BK405" i="1"/>
  <c r="BK401" i="1"/>
  <c r="BK399" i="1"/>
  <c r="BK400" i="1"/>
  <c r="BK421" i="1"/>
  <c r="BK422" i="1" s="1"/>
  <c r="BK431" i="1"/>
  <c r="BK375" i="1"/>
  <c r="BK368" i="1"/>
  <c r="BK415" i="1"/>
  <c r="BK413" i="1"/>
  <c r="BK423" i="1"/>
  <c r="BK424" i="1" s="1"/>
  <c r="BK411" i="1"/>
  <c r="BK404" i="1"/>
  <c r="BK402" i="1"/>
  <c r="BK427" i="1"/>
  <c r="BK428" i="1" s="1"/>
  <c r="BK429" i="1"/>
  <c r="BK430" i="1" s="1"/>
  <c r="BK414" i="1"/>
  <c r="BK409" i="1"/>
  <c r="BK412" i="1"/>
  <c r="BK407" i="1"/>
  <c r="BJ416" i="1"/>
  <c r="BK381" i="1"/>
  <c r="BK398" i="1"/>
  <c r="BJ434" i="1"/>
  <c r="BJ433" i="1"/>
  <c r="BL423" i="1"/>
  <c r="BL424" i="1" s="1"/>
  <c r="BL421" i="1"/>
  <c r="BL427" i="1"/>
  <c r="BL428" i="1" s="1"/>
  <c r="BL431" i="1"/>
  <c r="BL399" i="1"/>
  <c r="BL401" i="1"/>
  <c r="BL403" i="1"/>
  <c r="BL405" i="1"/>
  <c r="BL407" i="1"/>
  <c r="BL409" i="1"/>
  <c r="BL411" i="1"/>
  <c r="BL413" i="1"/>
  <c r="BL415" i="1"/>
  <c r="BL425" i="1"/>
  <c r="BL426" i="1" s="1"/>
  <c r="BL429" i="1"/>
  <c r="BL430" i="1" s="1"/>
  <c r="BL398" i="1"/>
  <c r="BL400" i="1"/>
  <c r="BL402" i="1"/>
  <c r="BL404" i="1"/>
  <c r="BL406" i="1"/>
  <c r="BL408" i="1"/>
  <c r="BL410" i="1"/>
  <c r="BL412" i="1"/>
  <c r="BL414" i="1"/>
  <c r="BK373" i="1"/>
  <c r="BK372" i="1"/>
  <c r="BL381" i="1"/>
  <c r="BL368" i="1"/>
  <c r="BL375" i="1"/>
  <c r="BK376" i="1" l="1"/>
  <c r="BK374" i="1"/>
  <c r="BL390" i="1"/>
  <c r="BL391" i="1" s="1"/>
  <c r="BK391" i="1"/>
  <c r="BK380" i="1"/>
  <c r="BJ378" i="1"/>
  <c r="BJ369" i="1" s="1"/>
  <c r="BJ370" i="1" s="1"/>
  <c r="BK417" i="1"/>
  <c r="BK416" i="1"/>
  <c r="BK434" i="1"/>
  <c r="BK433" i="1"/>
  <c r="BL416" i="1"/>
  <c r="BL417" i="1"/>
  <c r="BL372" i="1"/>
  <c r="BL373" i="1"/>
  <c r="BL422" i="1"/>
  <c r="BL434" i="1" s="1"/>
  <c r="BL433" i="1"/>
  <c r="BL374" i="1" l="1"/>
  <c r="BK378" i="1"/>
  <c r="BK369" i="1" s="1"/>
  <c r="BK370" i="1" s="1"/>
  <c r="BL380" i="1"/>
  <c r="BM380" i="1"/>
  <c r="BM378" i="1" s="1"/>
  <c r="BM374" i="1"/>
  <c r="BM376" i="1"/>
  <c r="BL376" i="1"/>
  <c r="BL378" i="1" l="1"/>
  <c r="BL369" i="1" s="1"/>
  <c r="BL370" i="1" s="1"/>
  <c r="BM369" i="1"/>
  <c r="BM370" i="1" s="1"/>
</calcChain>
</file>

<file path=xl/sharedStrings.xml><?xml version="1.0" encoding="utf-8"?>
<sst xmlns="http://schemas.openxmlformats.org/spreadsheetml/2006/main" count="925" uniqueCount="680">
  <si>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</si>
  <si>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</si>
  <si>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</si>
  <si>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</si>
  <si>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</si>
  <si>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</si>
  <si>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</si>
  <si>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</si>
  <si>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</si>
  <si>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</si>
  <si>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</si>
  <si>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</si>
  <si>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</si>
  <si>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</si>
  <si>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</si>
  <si>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</si>
  <si>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</si>
  <si>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</si>
  <si>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</si>
  <si>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</si>
  <si>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</si>
  <si>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</si>
  <si>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</si>
  <si>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</si>
  <si>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</si>
  <si>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</si>
  <si>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</si>
  <si>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</si>
  <si>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</si>
  <si>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</si>
  <si>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</si>
  <si>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</si>
  <si>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</si>
  <si>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</si>
  <si>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</si>
  <si>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</si>
  <si>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</si>
  <si>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80–84</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</si>
  <si>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</si>
  <si>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</si>
  <si>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</si>
  <si>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</si>
  <si>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</si>
  <si>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</si>
  <si>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</si>
  <si>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Infections</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</si>
  <si>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</si>
  <si>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</si>
  <si>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</si>
  <si>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</si>
  <si>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</si>
  <si>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</si>
  <si>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</si>
  <si>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</si>
  <si>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</si>
  <si>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</si>
  <si>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</si>
  <si>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</si>
  <si>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</si>
  <si>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</si>
  <si>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</si>
  <si>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</si>
  <si>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</si>
  <si>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</si>
  <si>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</si>
  <si>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</si>
  <si>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</si>
  <si>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</si>
  <si>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</si>
  <si>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</si>
  <si>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</si>
  <si>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</si>
  <si>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</si>
  <si>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</si>
  <si>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</si>
  <si>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</si>
  <si>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</si>
  <si>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</si>
  <si>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</si>
  <si>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</si>
  <si>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</si>
  <si>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</si>
  <si>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</si>
  <si>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</si>
  <si>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</si>
  <si>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</si>
  <si>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</si>
  <si>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</si>
  <si>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</si>
  <si>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</si>
  <si>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</si>
  <si>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</si>
  <si>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</si>
  <si>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</si>
  <si>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</si>
  <si>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</si>
  <si>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</si>
  <si>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</si>
  <si>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</si>
  <si>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</si>
  <si>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</si>
  <si>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</si>
  <si>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</si>
  <si>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</si>
  <si>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</si>
  <si>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</si>
  <si>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</si>
  <si>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</si>
  <si>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</si>
  <si>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</si>
  <si>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</si>
  <si>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</si>
  <si>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</si>
  <si>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</si>
  <si>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</si>
  <si>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</si>
  <si>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</si>
  <si>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</si>
  <si>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</si>
  <si>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</si>
  <si>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</si>
  <si>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</si>
  <si>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</si>
  <si>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</si>
  <si>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</si>
  <si>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</si>
  <si>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</si>
  <si>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</si>
  <si>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</si>
  <si>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</si>
  <si>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</si>
  <si>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</si>
  <si>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</si>
  <si>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</si>
  <si>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</si>
  <si>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</si>
  <si>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</si>
  <si>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</si>
  <si>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</si>
  <si>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</si>
  <si>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</si>
  <si>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</si>
  <si>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</si>
  <si>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</si>
  <si>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</si>
  <si>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</si>
  <si>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</si>
  <si>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</si>
  <si>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</si>
  <si>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</si>
  <si>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</si>
  <si>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</si>
  <si>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</si>
  <si>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</si>
  <si>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</si>
  <si>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</si>
  <si>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</si>
  <si>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</si>
  <si>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</si>
  <si>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</si>
  <si>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</si>
  <si>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</si>
  <si>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</si>
  <si>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</si>
  <si>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</si>
  <si>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</si>
  <si>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</si>
  <si>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</si>
  <si>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</si>
  <si>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</si>
  <si>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Travel from the European Schengen Area blocked</t>
  </si>
  <si>
    <t>Canada travel restricted</t>
  </si>
  <si>
    <t>Mexico travel restricted</t>
  </si>
  <si>
    <t>UK and Ireland travel restricted</t>
  </si>
  <si>
    <t>Iran travel blocked</t>
  </si>
  <si>
    <t>State of Emergency declared by Trump</t>
  </si>
  <si>
    <t>Public Hospital Beds in US / 1,000</t>
  </si>
  <si>
    <t>ICU Beds in US / 100,000</t>
  </si>
  <si>
    <t>85+</t>
  </si>
  <si>
    <t>Age group</t>
  </si>
  <si>
    <t>Total (of population)</t>
  </si>
  <si>
    <t>Using Australian rates as testing more comprehensive and cultures are similar</t>
  </si>
  <si>
    <t>Rates as of 8/4/2020</t>
  </si>
  <si>
    <t>Undetected Cases</t>
  </si>
  <si>
    <t>Undetected</t>
  </si>
  <si>
    <t xml:space="preserve"> of total (assumed for US situation)</t>
  </si>
  <si>
    <t>Worst case numbers</t>
  </si>
  <si>
    <t>USA Population</t>
  </si>
  <si>
    <t>American CFR</t>
  </si>
  <si>
    <t>Actual Active Confirmed Infections</t>
  </si>
  <si>
    <t>CDC begins to issue travel advisory warnings to China</t>
  </si>
  <si>
    <t>CDC states that they will begin to screen travellers from Wuhan</t>
  </si>
  <si>
    <t>First US confirmed case in Washington state</t>
  </si>
  <si>
    <t>Trump states "totally under control. It's one person coming in from China, and we have it under control. It's going to be just fine."</t>
  </si>
  <si>
    <t>US coronavirus taskforce created</t>
  </si>
  <si>
    <t>In response to stockmarket falls, Trump tweets that the virus "is very much under control" and the stock market "starting to look very good to me!"</t>
  </si>
  <si>
    <t>Trump issues executive order - China travel restricted</t>
  </si>
  <si>
    <t>FDA eases testing guidelines</t>
  </si>
  <si>
    <t>House passes $8.3bn emerg bill, Trump incorrectly criticises Obama admin for not doing anything about Swine Flu on Fox News</t>
  </si>
  <si>
    <t>Trump asks "everyone to work from home, and limit social gatherings to no more than 10 people", also stating that he has "always known this is a real, this is a pandemic.  I've felt it was a pandemic long before it was called a pandemic."</t>
  </si>
  <si>
    <t>WHO declares coronavirus a pandemic</t>
  </si>
  <si>
    <t>Health Secretary, Alex Azar briefs Trump on the coronavirus threat, during which Trump spent much of the conversation talking about vaping</t>
  </si>
  <si>
    <t>Joe Grogan, head of WH domestic policy council, warns WH to take the virus seriously or it could cost the president his re-election</t>
  </si>
  <si>
    <t>Economic adivsor, Peter Navarro warns the NSC in a memo that the virus could kill half a million Americans and cause a $5.7tn hit to the economy</t>
  </si>
  <si>
    <t>Azar again warns Trump of the looming threat which Trump dismisses as "alarmist" and tweets "Only 5 people in US, all in good recovery"</t>
  </si>
  <si>
    <t>Jan - Feb</t>
  </si>
  <si>
    <t>US Intelligence agencies file classified reports warning about global destabilisation from the pending coronavirus pandemic</t>
  </si>
  <si>
    <t>WH coronavirus taskforce models pandemic response and concludes that aggressive social distancing is necessary</t>
  </si>
  <si>
    <t>Economics Advisor, Navarro warns that a Covid-19 pandemic could infect as many as 100m Americans with a loss of 1-2m lives</t>
  </si>
  <si>
    <t>Director of the Center for the National Center for Immunization and Respiratory Diseases, Nancy Messonnier says "Ultimately, we expect we will see community spread in this country" and "disruption to everyday life may be severe. But these are things that people need to start thinking about now."</t>
  </si>
  <si>
    <t>Trump while in India states "is very well under control in our country", complains to Azar that Messonnier is scaring the stock market, and tweets "doing a GREAT job of handling Coronavirus including the very early closing of our borders… It was opposed by the Dems..."</t>
  </si>
  <si>
    <t>Director of the National Economics Council, Larry Kudlow states "We have contained this, I won't say airtight, but it's pretty close to airtight"</t>
  </si>
  <si>
    <t>WH states US will have tested 1m people by that week, and then 4m tests per week, by 12/3 the CDC had only completed 4,000 tests</t>
  </si>
  <si>
    <t>Trump states "When people need a test, they can get a test. When the professionals need a test, when they need tests for people, they can get the test. It’s gone really well."</t>
  </si>
  <si>
    <t>Dr Anthony Fauci tells Congress that there is not sufficient testing or capacity to do so "That is a failing. Let's admit it."  Trump states that there are a "million tests out now.  If you go to the right agency, if you go to the right area, you get the test"</t>
  </si>
  <si>
    <t>Trump warns against those without symptoms being tested, "It's totally unecessary.  This will pass". He also states "We’ve been in discussions with pharmacies and retailers to make drive-through tests available in the critical locations identified by public health professionals" and announces a Google site under development but that was not correct.</t>
  </si>
  <si>
    <t>Trump states "I don't take responsibility at all"</t>
  </si>
  <si>
    <t>CDC begins screening arrivals of travellers from Wuhan at 3 airports</t>
  </si>
  <si>
    <t>Trump announces ban on travel from Europe, incorrectly suggesting also cargo would be subject to the ban and that health insurance providers to waive all co-pays for coronavirus treatment, the waiver only applied to the test, not the treatment</t>
  </si>
  <si>
    <t>Trump signs $2.2tn emergency spending bill</t>
  </si>
  <si>
    <t>Trump recommends people wear non-medical masks but states "I don't think I'm going to be doing it"</t>
  </si>
  <si>
    <t>Fauci states that masks could help limit spread, but would not provide the protection people hoped</t>
  </si>
  <si>
    <t>Trump pushes hydroxychloroquine again while Fauci states that the data is at best suggestive and can't definitely say it works</t>
  </si>
  <si>
    <t>Trump claims total authority over governors on opening back up, and retweets a tweet containing #FireFauci after Fauci admitted that if controls had been introduced earlier, more lives could have been saved</t>
  </si>
  <si>
    <t>WHO begins ongoing briefings to US and other national govts</t>
  </si>
  <si>
    <t>WHO distributes guidance to member states for their own risk assessments and planning</t>
  </si>
  <si>
    <t>Trump tweets "China has been working very hard to contain the coronavirus… The United States greatly appreciates their efforts and transparency"</t>
  </si>
  <si>
    <t>WHO team finally permitted to visit Wuhan after obstruction by the Chinese govt</t>
  </si>
  <si>
    <t>Early Feb</t>
  </si>
  <si>
    <t>WHO distributes a Covid-19 test worldwide, but CDC chose to not use this test but to develop their own which proved faulty, with the US not having any testing capability/capacity until the end of Feb with limited availability of testing kits</t>
  </si>
  <si>
    <t>WHO confirms human to human transmission and the global risk was high following a brief field visit to Wuhan</t>
  </si>
  <si>
    <t>Trump claims COVID-19 has gotten too brilliant for antibiotics to work against the virus, not understanding the difference between virus' and bacteria</t>
  </si>
  <si>
    <t>Chinese scientists publicly release the genetic sequence of Covid-19</t>
  </si>
  <si>
    <t>WHO declares a global health emergency while praising China for its efforts to contain the virus including its commitment to transparency and discouraging again the closing down of borders</t>
  </si>
  <si>
    <t>Trump at the CDC calls the pandemic "an unforeseen problem. What a problem, came out of nowhere." Stockmarkets begin to plunge in earnest</t>
  </si>
  <si>
    <t>Trump tweets "cure can't be worse than the problem itself" and states he would "love to have the country opened up, and just raring to go by Easter" and claimed that he instituted a travel ban against everyone’s wishes and that “nobody,” not even doctors, wanted him to restrict travel. But “probably tens of thousands” of people would be dead now if he hadn’t done so</t>
  </si>
  <si>
    <t>Biden tweets “We are in the midst of a crisis with the coronavirus. We need to lead the way with science — not Donald Trump’s record of hysteria, xenophobia, and fear-mongering. He is the worst possible person to lead our country through a global health emergency.”, which Trump then uses multiple times to claim that Biden had called him racist for stopping people arriving from China</t>
  </si>
  <si>
    <t>Biden states that the United States should not be overly dismissive of the outbreak, “but neither should we panic or fall back on xenophobia, labeling COVID-19 a foreign virus does not displace accountability for the misjudgments that have been taken thus far by the Trump administration.”</t>
  </si>
  <si>
    <t>Trump tweeted: “I always treated the Chinese Virus very seriously, and have done a very good job from the beginning, including my very early decision to close the ‘borders’ from China - against the wishes of almost all. Many lives were saved. The Fake News new narrative is disgraceful &amp; false!”. Biden replied the same day: “Stop the xenophobic fear-mongering. Be honest. Take responsibility. Do your job.”</t>
  </si>
  <si>
    <t>Azar declares a public health emergency</t>
  </si>
  <si>
    <t>Biden accuses Trump of xenophobia in dealing with the coronavirus pandemic at a rally</t>
  </si>
  <si>
    <t>Senate briefed by WH, expresses concern that WH not taking the threat seriously enough, while three Democrats at a House subcommittee questioned the travel restrictions with China</t>
  </si>
  <si>
    <t>Trump announces a "travel ban" on entry to the US from foreign nationals who recently visited China, which Trump claims he decided against advice of "experts", but Azar states it was based on a uniform recommendation from experts in his department.  Trump also claims he was the first country to do so, when some 38-45 countries had already done so.</t>
  </si>
  <si>
    <t>WHO fails to acknowledge Taiwan in a video call with a HK journalist, subsequently used as one of the reasons to justify accusation that WHO is too heavily influenced by China</t>
  </si>
  <si>
    <t>Trump retweets a post referring to the virus as the China Virus to justify the wall with Mexico, ramping up the racialisation of the epidemic</t>
  </si>
  <si>
    <t>Pompeo refers to the virus as the Wuhan Virus, ratcheting up the racialisation from the Republican party in relation to the pandemic</t>
  </si>
  <si>
    <t>When Trump was asked what he wanted state governors to do in their attemps to source medical supplies, Trump said "very simple: I want them to be appreciative" singling out 2 Democratic governors for not being appreciative enough of him and also saying "when they’re not appreciative to me, they’re not appreciative to the Army Corps, they’re not appreciative to FEMA, it’s not right," setting up a ongoing public dispute over aid provisioning to Michigan and Washington with the implication that Trump would not provide Federal assistance until they became more "appreciative" of him.  "If they don't treat you right, I don't call," echoing his approach with Ukraine that got him impeached, seeking praise before unlocking aid.</t>
  </si>
  <si>
    <t>Washington Post revealed a visit by US diplomatic officials to the Wuhan Institute of Virology in 2018 found lack of training and safety procedures in the lab and recommended that the US provide assistance to improve standards.  It is unclear if this was ever done.</t>
  </si>
  <si>
    <t>Trump cited the theory that the coronavirus was accidentally leaked from China's Wuhan Institute of Virology, despite overwhelming weight of scientific research pointing to it originally coming from animals, prompting responses from WHO and China and many science researchers and journals such as The Lancet</t>
  </si>
  <si>
    <t>Trump falsely states that he "inherited a broken test" for COVID-19 (COVID-19 is a new virus, not one that had occurred during previous presidencies), tells nation to prepare for hard days</t>
  </si>
  <si>
    <t>In response to protests and Fox News Trump further attacks Democratic governors tweeting: "LIBERATE MINNESOTA", "LIBERATE MICHIGAN", "LIBERATE VIRGINIA and save your great 2nd Amendment. It is under siege!". Trump stated "These are people expressing their views, I see where they are and I see the way they're working.  They seem to be very responsible people to me, but they've been treated a little bit rough"</t>
  </si>
  <si>
    <t>Trump tweets "Tell the Democrat Governors that “Mutiny On The Bounty” was one of my all time favorite movies. A good old fashioned mutiny every now and then is an exciting and invigorating thing to watch, especially when the mutineers need so much from the Captain. Too easy!".  Death threat to governors for not praising him?</t>
  </si>
  <si>
    <t>Zhao Lijian, a Chinese foreign ministry official tweets a conspiracy theory that Coronavirus originated in US soldiers visiting China in October, presumably a response to the racialisation of the virus by Republicans</t>
  </si>
  <si>
    <t>Trump announces halt to funding of WHO stating that the WHO had "failed in its basic duty and it must be held accountable", mainly based on WHO stating early Jan that China had not found human to human transmission at that point in time, after Taiwan had apparently told WHO otherwise.  There is no evidence that Taiwan had conveyed this information at that point in time.</t>
  </si>
  <si>
    <t>WHO raises first alert over Wuhan outbreak, WHO states that the information they have from China showed there was no evidence of significant human to human transmission</t>
  </si>
  <si>
    <t>Trump warned that Beijing would face consequences if it was "knowingly responsible" for the spread of Covid-19 but he didn’t say what sort of consequences he had in mind. Trump questioned whether it was a "mistake that got out of control" or a crisis that was started deliberately in China</t>
  </si>
  <si>
    <t>Dr Li dies from coronavirus</t>
  </si>
  <si>
    <t>In December, Dr Li was accused of spreading rumours by Chinese police and summoned to a government Public Security Bureau, where he was warned that he should not continue to make comments that "disturb the social order". "We solemnly warn you: If you keep being stubborn, with such impertinence, and continue this illegal activity, you will be brought to justice – is that understood?" an official letter given to the doctor said.</t>
  </si>
  <si>
    <t>Ophthalmologist Dr Li Wenliang notices some asymptomatic flu symptoms that are SARS like and asks other doctors on WeChat social media in a private message if they have noticed these cases as well and to be alert and protect themselves.  He is one of 8 whistleblowers who tried to send warnings to other medics in Dec.</t>
  </si>
  <si>
    <t>Dr Li admitted to intensive care</t>
  </si>
  <si>
    <t>Dr Li tests positive to coronavirus following being tested several times through January, he was diagnosed with the infection 1/2/2020</t>
  </si>
  <si>
    <t>Reports that China is investigating respiratory illness in Wuhan after Taiwan sent an alert to the WHO in Geneva and began quarantining arrivals from China.  When WHO forwarded the alert to China, the Chinese regime told the WHO there was no problem</t>
  </si>
  <si>
    <t>Dr Li contracts coronavirus</t>
  </si>
  <si>
    <t>New cases peaked 4/4</t>
  </si>
  <si>
    <t>US Dept of Health and Human Services (HHS) extended screening of international arrivals from China to 20 U.S. airports</t>
  </si>
  <si>
    <t>US and China sign phase one trade deal, potentially complicating Trump's following actions with respect to coronavirus and China</t>
  </si>
  <si>
    <t>Trump announces that VP Mike Pence to coordinate US govt response to the coronavirus outbreak, both men stating that the risk to American people remained very low</t>
  </si>
  <si>
    <t>Trump states "It's going to disappear, One day it's like a miracle, it will disappear", and that researchers were rapidly developing a vaccine</t>
  </si>
  <si>
    <t>WHO states that a vaccine for coronavirus would be available in 18 months</t>
  </si>
  <si>
    <t>Trump states that "anyone who wants a test can get one", but this was a false claim</t>
  </si>
  <si>
    <t>Trump promises a vaccine would be available soon "Now they have it, they have studied it, they know very much, in fact, we're very close to a vaccine", meanwhile Dr Fauci estimated that a vaccine would be at least 12 - 18 months away</t>
  </si>
  <si>
    <t>Trump proposes huge cuts to both the CDC and the National Institutes of Health</t>
  </si>
  <si>
    <t>Trump fires the govt's entire pandemic response chain of command, including the WH mgmt infrastructure</t>
  </si>
  <si>
    <t>Trump's 2018 budget requests a cut of $1.2 billion from the CDC</t>
  </si>
  <si>
    <t>Trump claims "You can call it a germ, you can call it a flu, you can call it a virus, you know you can call it many different names. I’m not sure anybody even knows what it is"</t>
  </si>
  <si>
    <t>Trump gets corrected in front of cameras in relation to vaccine timelines and asked whether the flu vaccine could be used to prevent the coronavirus</t>
  </si>
  <si>
    <t>Trump states "We have a very little problem in this country at this moment"</t>
  </si>
  <si>
    <t>Trump states "Now the virus that we’re talking about, a lot of people think that goes away in April, with the heat".  Robert Redfield, director of Centres of Disease Control and Prevention responded "It looks like this virus is probably with us beyond this season and beyond this year"</t>
  </si>
  <si>
    <t>Trump at a rally "The Democrats are politicizing the coronavirus.  This is their new hoax"</t>
  </si>
  <si>
    <t>Trump states that a vaccine would be available very quickly and very rapidly</t>
  </si>
  <si>
    <t>Trump at a press conference, "On average, you lose from 26,000 to 70,000 or so, and even some cases more, from the flu. We lose – we have deaths of that per year, and here, we’re talking about a much smaller range."</t>
  </si>
  <si>
    <t>Trump states "We pretty much shut it down coming in from China.  It's going to be fine."</t>
  </si>
  <si>
    <t>Trump "I like this stuff. I really get it. People are surprised that I understand it. Every one of these doctors said, 'How do you know so much about this?' Maybe I have a natural ability. Maybe I should have done that instead of running for president."</t>
  </si>
  <si>
    <t>Trump "I don't need to have the numbers double b/c of 1 ship that wasn't our fault" in response to allowing a cruise ship to dock with coronavirus infected passengers/crew</t>
  </si>
  <si>
    <t>Trump "We have a perfectly coordinated and fine tuned plan at the White House for our attack on Coronavirus"</t>
  </si>
  <si>
    <t>Trump "It will go away. Just stay calm. It will go away."</t>
  </si>
  <si>
    <t>Trump begins pushing hydroxychloroquine and azithromycin, media outlets point out that Trump has shares in a pharmaceutical that makes hydroxychloroquine, this after Trump had previously stated that he does not do shares, only hotels</t>
  </si>
  <si>
    <t>Trump falsely states "We have one of the most successful, if you can call it, mortality rates. Our mortality rate remains roughly half that of other countries, one of the lowest in any other country in the world... One person is too many, but we’ve tested more than any other country in the world, put together" - wrong on both counts. Dr Birx also falsely stated that the US has one of the lowest mortality rates worldwide.</t>
  </si>
  <si>
    <t>Deaths peaked 21/4</t>
  </si>
  <si>
    <t>Hydroxychloroquine and azithromycin in initial trial results from France and US show either no positive effect, or even a negative effect. Results yet to be peer reviewed but advice is now not to use in treatment regimes of COVID-19. Scientists in Brazil had aborted a study of the drug earlier in April after heart rhythm problems developed in 1/4 of patients.</t>
  </si>
  <si>
    <t>Trump "We may not even have corona come back, and if it did, it would just be in pockets and embers".  Fauci stated that he was "convinced we will have coronavirus in the fall"</t>
  </si>
  <si>
    <t>After attacking Democrat governors for not opening up sooner, Trump criticizes a Republican governor for his decision to begin reopening Friday. "I told the governor of Georgia, Brian Kemp, that I disagree strongly with his decision to open certain facilities which are in violation of the phase one guidelines for the incredible people of Georgia they're incredible people. It's just too soon. I think it's too soon. Safety has to predominate. I told the governor very simply that I disagree with his decision, but he has to do what he thinks is right."</t>
  </si>
  <si>
    <t>AG Bill Barr "These are unprecedented burdens on civil liberties right now. You know, the idea that you have to stay in your house is disturbingly close to house arrest… We’re looking carefully at a number of these rules that are being put into place. And if we think one goes too far, we initially try to jawbone the governors into rolling them back or adjusting them."</t>
  </si>
  <si>
    <t>Trump backs down on his total authority claim, outlining a 3 step process to open states back up again and stating that it will be up to the states when and how they open back up, wanting some states to be open again before May 1 with his "Open Up America Again" slogan/plan</t>
  </si>
  <si>
    <t xml:space="preserve">An Arizona couple are admitted to hospital after consuming chloroquine phosphate used to clean fish tanks as she trusted what she had thought was the president's advice to avoid getting sick, "Trump kept saying it was basically pretty much a cure", although they were Democrats. The 68 yo male died and the 61 yo female survived. </t>
  </si>
  <si>
    <t>WHO published advice recommending no international restrictions, stating that restricting the movement of people and goods during public health emergencies is ineffective in most situations and can hide actual movements.</t>
  </si>
  <si>
    <t>First Detected Infection in US</t>
  </si>
  <si>
    <t>First identified death from coronavirus 29/2 in Washington state</t>
  </si>
  <si>
    <t>23/4 blood samples from 3,300 volunteers in Santa Clara County showed actual cases may be more than 50 times confirmed cases</t>
  </si>
  <si>
    <t>New cases peaked 24/4</t>
  </si>
  <si>
    <t>Trump states that he can't understand why there has been an increase in people asking about using disenfectants for treating coronavirus and when asked if he took responsibility, he responded "no, I don't."</t>
  </si>
  <si>
    <t>Trump states in reference to the initial trial results of Hydroxychloroquine and azithromycin "Obviously, there have been some very good reports and perhaps this one is not a good report. But we'll be looking at it".</t>
  </si>
  <si>
    <t>Trump says that states need to work out competing bids for medical equipment among themselves…  "We're a backup, we’re not an ordering clerk, we're a backup, and we've done an unbelievable job"</t>
  </si>
  <si>
    <t>Trump tweets that he will impose a temporary immigration ban for 60 days via executive order in bid to tackle coronavirus and protect American jobs, what was signed a couple of days later only affected about 1/3 of green card applications,</t>
  </si>
  <si>
    <t>Trump "So supposing we hit the body with a tremendous, whether it’s ultraviolet or just very powerful light and I think you said that hasn’t been checked but you’re going to test it. And then I said supposing you brought the light inside the body, which you can do either through the skin or in some other way. And I think you’re going to test that too? I would like you to speak to the medical doctors to see if there’s any way that you can apply light and heat to cure. And then I see the disinfectant where it knocks it out in a minute, one minute! And is there a way we can do something, by an injection inside or almost a cleaning? Because you see it gets in the lungs and it does a tremendous number on the lungs, so it’d be interesting to check that. So, that you’re going to have to use medical doctors with, but it sounds interesting to me."  He subsequently claimed he was being sarcastic to the press to see what would happen.</t>
  </si>
  <si>
    <t>A 57 yo female in California died on 6/2, following postmortem results released 23/4 showing she had a COVID-19 infection at the time of death, indicating that infections had been present in Jan earlier than previously thought</t>
  </si>
  <si>
    <t>States begin reporting increase in enquiries to COVID-19 support services regarding the use of disenfectants and UV light for treating COVID-19 infections</t>
  </si>
  <si>
    <t>Trump suggests that he may seek damages from China over the coronavirus outbreak, and following a German newspaper editorial calling on China to pay Germany several million in reparations because of economic damage, Trump said "We are talking about a lot more money than Germany's talking about. We haven't determined the final amount yet. It's very substantial."</t>
  </si>
  <si>
    <t>Trump tweets "Just finished a very good conversation with President Xi of China. Discussed in great detail the CoronaVirus that is ravaging large parts of our Planet. China has been through much &amp; has developed a strong understanding of the Virus. We are working closely together. Much respect!"</t>
  </si>
  <si>
    <t>It emerges that Trump owes a Chinese state-owned bank tens of millions which comes due in the next term, complicating matters for Trump in attacking either China or Biden's dealings with China</t>
  </si>
  <si>
    <t>WHO director-general Tedros Adhanom Ghebreyesus stated that the agency had sounded the highest level of alarm over the novel coronavirus early on, declaring a "Public Health Emergency of International Concern" on January 30, when there were no deaths and only 82 cases registered outside China.  "We advised the whole world to implement a comprehensive public health approach, and we said find, test, isolate, and do contact tracing. You can check for yourselves: countries who followed that are in a better position than others. This is fact."</t>
  </si>
  <si>
    <t>The WHO warned that there is no evidence that people who have recovered from COVID-19 and have antibodies are protected from a second coronavirus infection, warning against coutries issueing "immunity passports" or "risk-free certificates" to people who have been infected.</t>
  </si>
  <si>
    <t>World leaders hold a virtual meeting to work on a global initiate to accelerate the fight on COVID-19  coordinated by the WHO to speed up the development of improved tests, treatment protocols and medication trials, and vaccination development.  The US did not participate and has flagged that it will go it alone.</t>
  </si>
  <si>
    <t>Trump states in an interview "China will do anything they can to have me lose this race", referring to the Nov presidential elections, citing China's handling of the COVID-19 crises as proof. In a WH presentation the following day, Trump implies that the coronavirus may have been used by China to wreck the US economy and a trade deal between the two countries.</t>
  </si>
  <si>
    <t>Trump claims that he has seen evidence that links the novel coronavirus to the Wuhan Institute of Virology, but claimed that he's not allowed to say what the evidence is.</t>
  </si>
  <si>
    <t>WH announces operation warp speed, a program to accelerate the development of a vaccine with a target for mass deployment by January, a timeline that would be unprecedented in vaccine development timelines.  The US taxpayer to pick up the bill, rather than drug companies.</t>
  </si>
  <si>
    <t>The office of the director of national intelligence said that the intelligence community does not believe coronavirus was man made.</t>
  </si>
  <si>
    <t>Pence visits the Mayo clinic without a mask, despite being informed that it was a requirement for all visitors.  Pence claims that as he did not have an infection, he did not need to wear a mask and wanted people to see his eys, sparking a backlash from healthcare workers and the press.  His wife later claimed that they had not been told.  Pence later threatens retaliatory action against a reporter in the party who provided evidence that everyone had been instructed to wear masks prior to attending.</t>
  </si>
  <si>
    <t>Rick Bright, director of Biomedical Advanced Research and Development Authority  (BARDA) and deputy assistant secretary for preparedness and response has been ousted according to him for not promoting hydroxychloroquine.  He was transferred to a post at the National Institutes of Health.</t>
  </si>
  <si>
    <t>Right wing protests begin in some states against lockdown laws, ironically with many of the protestors wearing some form of PPE</t>
  </si>
  <si>
    <t>More than half of the US states are to begin lifting restrictions by the end of the week, even though no states have as yet met the original criteria set by the WH for lifting restrictions.  In Michigan, protestors, some armed and wearing bullet proof vests, many with some form of PPE (obviously oblivious to the irony), entered the state Capitol building.</t>
  </si>
  <si>
    <t>Trump "And so, if we could hold that down, as we’re saying, to 100,000 – it’s a horrible number, maybe even less, but to 100,000, so we have between 100 [thousand] and 200,000 – we altogether have done a very good job", extends shutdown for an additional month, predicts peak to occur in 2 weeks, states "We can expect by June 1st we will be well on our way to recovery," and accuses health care workers of stealing masks without providing any evidence to support the accusation</t>
  </si>
  <si>
    <t>Trump "Our country wasn’t built to be shut down.  This is not a country that was built for this.  It was not built to be shut down ... Our country was at its strongest financial point.  We’ve never had an economy like we had just a few weeks ago, and then it got hit with something that nobody could have ever thought possible ... People get tremendous anxiety and depression, and you have suicides over things like this when you have terrible economies.  You have death.  Probably and — I mean, definitely would be in far greater numbers than the numbers that we’re talking about with regard to the virus."  The US has 45,000 - 50,000 suicides per year, COVID-19 deaths hit that by mid-late April.  There were more than 10,000 deaths across Europe and North Ameria attributed to the GFC.  Even adding another 10,000 to this, the US had 60,000 deaths to coronavirus by the end of April.</t>
  </si>
  <si>
    <t>Jarrod Kushner has been made the WH pointman of the coronavirus response in a vaguely defined role working with the Federal Emergency Management Agency to oversee distribution of medical supplies and to assist Pence and "reinvigorate" the team struggling with the dire challenge of battling the pandemic.  From JK "The notion of the federal stockpile was it's supposed to be our stockpile. It's not supposed to be state stockpiles that they then use."</t>
  </si>
  <si>
    <t>Trump contradicts public health expert estimates of death rate of COVID-19 of confirmed cases as less than 1% based on a hunch, and suggests that those infected can still go to work, comparing it with the flu and referring to it as the corona flu</t>
  </si>
  <si>
    <t>Trump tweets "Gallup just gave us the highest rating ever for the way we are handling the CoronaVirus situation. The April 2009-10 Swine Flu, where nearly 13,000 people died in the U.S., was poorly handled. Ask MSDNC &amp; lightweight Washington failure @RonaldKlain, who the President was then?".  Deaths from COVID-19 hit 13,000 6/4</t>
  </si>
  <si>
    <t>Trump "The Fake News Media &amp; their partner, the Democrat Party, is doing everything within its semi-considerable power to inflame the Coronavirus situation"</t>
  </si>
  <si>
    <t>Projections less meaningful as rates begin to decrease</t>
  </si>
  <si>
    <t>Trump states that he would wear a mask if it was an environment that required a mask, but while touring a mask making factory where instructions everywhere were to wear a mask and all the staff were wearing masks, he only wore goggles, claiming Honeywell had told the WH that Trump didn't need to wear a mask.</t>
  </si>
  <si>
    <t>Pence flags that the coronavirus taskforce would be winding up by 25/5, to be replaced by a transition/opening up taskforce</t>
  </si>
  <si>
    <t>Rick Bright lodges a whistleblower complaint against the WH, painting the WH response to the novel coronavirus in an unfavourable light</t>
  </si>
  <si>
    <t>A personal valet to Trump, a member of the US Navy, has tested positive to coronavirus</t>
  </si>
  <si>
    <t>Katie Miller, Pence's press secretary has tested positive to coronavirus. Her husband, Stephen Miller is a senior advisor to Trump.</t>
  </si>
  <si>
    <t>The Office of Special Counsel has determined that there were reasonable grounds to believe Rick Bright was removed for reliatory reasons, and will recommend that he is reinstated to the Department of Health and Human Services while it investigates.</t>
  </si>
  <si>
    <t>Trump confirms that he is pushing ahead with attempts to abolish health care, without promising any details of what would go in its place.</t>
  </si>
  <si>
    <t>US unemployment hits 14.7%, the steepest plunge since the great depression, coming off a five decade low of 3.5% in Feb, and unemployment figures not seen since 1982.  Underemployment hits 22.8%, a record high.</t>
  </si>
  <si>
    <t>Jared Kushner "We're on the other side of the medical aspect of this, and I think that we've achieved all the different milestones that are needed. The federal government rose to the challenge, and this is a great success story. And I think that that's really, you know, what needs to be told. May will be a transition month. I think you will see by June, a lot of the country should be back to normal, and the hope is that by July the country is really rocking again. The eternal lockdown crowd can make jokes on late-night television but the reality is that the data's on our side," as the death toll surpasses 60,000 and the rate of new cases has remained fairly steady for the last month</t>
  </si>
  <si>
    <t xml:space="preserve"> Trump states that "testing isn't necessary" and is an imperfect guide and makes the United States "look bad".  Although he and Pence will in the coming days start to be tested daily themselves.  Birx in response states in an interview when asked about testing, states the need for testing and that such efforts are essential and should be stepped up.</t>
  </si>
  <si>
    <t>Members of the Coronavirus Taskforce, including Fauci and Pence self quarantine</t>
  </si>
  <si>
    <t>Trump tweeted: "We are getting great marks for the handling of the CoronaVirus pandemic, especially the very early BAN of people from China, the infectious source, entering the USA"</t>
  </si>
  <si>
    <t>Trump in relation to Katie Miller testing positive: "This is why the whole concept of tests aren’t necessarily great. The tests are perfect but something can happen between a test where it’s good and then something happens." He also said "The media likes to say we have the most cases, but we do, by far, the most testing. If we did very little testing, we wouldn’t have the most cases. So, in a way, by doing all of this testing, we make ourselves look bad."</t>
  </si>
  <si>
    <t>Barack Obama describes Trump handling of the coronavirus pandemic as "an absolute chaotic disaster."</t>
  </si>
  <si>
    <t>The WH has ordered everyone entering the West Wing to wear a face mask, other than for Trump who is exempt.</t>
  </si>
  <si>
    <t>Trump tweets: "Coronavirus numbers are looking MUCH better, going down almost everywhere. Big progress being made!"</t>
  </si>
  <si>
    <t>Trump signals that he is looking ahead to reopening the country, with no intent of extending the federal guidelines aimed to limit the spread of the coronavirus that are to expire 1/5.  He also suggested that the virus may just go away without the need of a vaccine and everything will return to normal after "It's gonna go, it's gonna leave, it's be gonna be eradicated" somehow magically. "We did all the right moves. This is going away. I see the new normal being what it was three months ago. Hopefully in the not too distant future, we'll have some massive rallies and people will be sitting next to each other." He also stated that he believes the U.S. can never declare “total victory” over the coronavirus because too many people have died. But he added that he will count it a win when the virus is gone and the economy fully reopened.</t>
  </si>
  <si>
    <t>Trump "Thanks to the courage of our citizens and our aggressive strategy, hundreds of thousands of lives have been saved. In every generation, through every challenge and hardship and danger, America has risen to the task, we have met the moment and we have prevailed."  he also continued to encourage states to lift lockdown measures, saying "people are dying in the lockdown position too."</t>
  </si>
  <si>
    <t>Dr Thomas R Frieden, former director of the Centers for Disease Control and Prevention "We're not reopening based on science, we're reopening based on politics, ideology, and public pressure. And I think it's going to end badly."</t>
  </si>
  <si>
    <t>Trump tweets: "The great people of Pennsylvania want their freedom now, and they are fully aware of what that entails. The Democrats are moving slowly, all over the USA, for political purposes. They would wait until November 3rd if it were up to them. Don't play politics. Be safe, move quickly!"</t>
  </si>
  <si>
    <t>Fauci, in an email to a news outlet discussing his forthcoming Congress appearance on 12/5, stated ""If we skip over the checkpoints in the guidelines to 'Open America Again', then we risk the danger of multiple outbreaks throughout the country. This will not only result in needless suffering and death, but would actually set us back on our quest to return to normal."</t>
  </si>
  <si>
    <t>Trump in response to Fauci's warnings to congress about really serious consequences if states moving too quickly to reopen or restarting schools too soon, "I was surprised by his answer, actually, because, you know, it’s just, to me, it’s not an acceptable answer, especially when it comes to schools."  Trump also said "The state is not open if the schools are not open."</t>
  </si>
  <si>
    <t>Trump tweets "So last year 37,000 Americans died from the common Flu. It averages between 27,000 and 70,000 per year. Nothing is shut down, life &amp; the economy go on. At this moment there are 546 confirmed cases of CoronaVirus, with 22 deaths. Think about that!" Deaths from COVID-19 passed 70,000 by 5/5</t>
  </si>
  <si>
    <t>Trump defending his tweets "I think some things are too tough, and if you look at some of the states you just mentioned, it's too tough, not only in reference to this but what they've done in Virginia with respect to the second amendment is just a horrible thing... When you see what other states have done, I think I feel very comfortable." When asked if the 3 states should lift their stay at home orders "I think elements of what they've done are too much... What they've done in Virginia is just incredible" this despite these states following Federal guidelines for their stay at home orders.</t>
  </si>
  <si>
    <t>-</t>
  </si>
  <si>
    <t>CDC confirms first case of person to person transmission in the US</t>
  </si>
  <si>
    <t>+</t>
  </si>
  <si>
    <t>Cases</t>
  </si>
  <si>
    <t>14 Day lead time before expect to begin seeing results</t>
  </si>
  <si>
    <t>Pence travels to Iowa, signalling to religious leaders that they should reopen their houses of worship, claiming "for most healthy Americans, the risks that the coronavirus poses remains very low," and thanked them for stepping "forward back into the exercise of your faith."</t>
  </si>
  <si>
    <t>CDC was to release guidelines for reopening the previous Friday, but WH has now stated that it is to be shelved and will not see the light of day, due in part because of a "religious freedom" concern in placing restrictions on churches.  However Birx states that "No one has stopped those guidelines.  We're still in editing."</t>
  </si>
  <si>
    <t xml:space="preserve"> By 16/3 all states had declared a State of Emergency.  States progressively began implementing stay at home orders.  Seven states did not end up implementing any stay at home orders - Arkansas, Iowa, Nebraska, North Dakota, Oklahoma, Utah, and Wyoming, although some cities in these states issued their own local lockdowns</t>
  </si>
  <si>
    <t>Trump claims that state and local government officials were treating Christians worse than Muslims during the pandemic. "Our politicians seem to treat different faiths very differently. … The Christian faith is treated much differently."  At least 20 states include exemptions on large gatherings to allow church congregations to meet, putting themselves and the wider communities at greater risk and despite coronavirus not discriminating on the grounds of religion or seculism</t>
  </si>
  <si>
    <t>Only two states have yet to begin reopening - Connecticut and Massachusetts</t>
  </si>
  <si>
    <t>In response to Rick Bright testifying to Congress that the WH still had no pandemic plan, WH Press Secretary (No. 4) Kayleigh McEnany pushed back against reports that the WH admin threw out the Obama admin pandemic response plan, saying that the Trump admin had simply replaced it saying it was insufficient and it wasn't going to work, after previously saying that the Obama admin had not left any pandemic plan.  Holding up two binders, one a 2018 pandemic crisis action plan and the other a "Crimson Contagion 2019 after-action report" which gamed out the pandemic crisis action plan, "Some have erroneously suggested that the Trump administration threw out the pandemic response playbook left by the Obama-Biden administration.  What the critics failed to note, however, is that this thin packet of paper was replaced by two detailed, robust pandemic response reports commissioned by the Trump administration."  Asked about the action report she answered "What it basically did was say to us, look, some of the previous iterations of plans have put HHS in the lead, HHS of course plays a critical role in our response, but one of the things that was identified was you need a whole of government response from the highest levels".  It does not appear that any recommendations in the action report which apparently savaged the pandemic crises action plan were actioned before COVID-19 hit.</t>
  </si>
  <si>
    <t>After the UK alerted doctors to a new syndrome in April and Cuomo flagging a number of children in NY with inflammatory 'Kawasaki like' responses from COVID-19 over the previous days, the CDC has issued a health advisory on the new syndrome in children under 10</t>
  </si>
  <si>
    <t>Trump announces that his administration is working on a plan to manufacture in bulk the leading vaccine contenders to be ready for mass distribution once any of them are approved, targeting the end of the year.</t>
  </si>
  <si>
    <t>Trump flags that he is considering restoring 10% of funding of previous levels back to the WHO, matching current Chinese payment levels, but also stating "Have not made final decision. All funds are frozen. Thanks!"</t>
  </si>
  <si>
    <t>Trump "We’re looking at vaccines, we’re looking at cures and we are very, very far down the line. I think that’s not going to be in the very distant future. But even before that, I think we’ll be back to normal. … We want to get it back to where it was. We want big, big stadiums loaded with people, we want to get sports back. We miss sports. We need sports in terms of the psyche, the psyche of our country."</t>
  </si>
  <si>
    <t>Leaked projections from the CDC forecasts that the US will be recording 200,000 new cases each day and up to 3,000 deaths each day from COVID-10 by the end of May.  In a separate model, The Institute of Health Metrics and Evaluation now projects that 135,000 people will die from COVID-19, up from its previous estimate of 72,433 deaths</t>
  </si>
  <si>
    <t>Trump tweets contents of letter sent to the WHO which included "If the World Health Organisation does not commit to major substantive improvements within the next 30 days, I will make my temporary freeze of United States funding to the World Health Organisation permanent and reconsider our membership in the organisation."</t>
  </si>
  <si>
    <t>In defending the use of hydroxychloroquine, Trump states "If you look at the one survey, the only bad survey, they were giving it to people that were in very bad shape. They were very old. Almost dead. It was a Trump enemy statement." presumably referring to a study of hundreds of patients treated by the Department of Veterans Affairs in which more of those in a group who were administered hydroxychloroquine died than among those who weren’t.</t>
  </si>
  <si>
    <t>Trump states that he has been taking hydroxychloroquine for about a week and a half, following the positive COVID-19 tests of WH staff. "You'd be surprised at how many people are taking it, especially the frontline workers before you catch it, the frontline workers, many, many are taking it, I happen to be taking it. Here's my evidence: I get a lot of positive calls about it. I've heard a lot of good stories and if it's not good, I'll tell you right I'm not going to get hurt by it."  He added that he was taking a daily zinc supplement and received a single does of the antibiotic azithromycin, saying that he had requested the medication.</t>
  </si>
  <si>
    <t>Trump "You know when you say that we lead in cases, that's because we have more testing than anybody else. It's a great tribute to the testing and all of the work that a lot of of professionals have done."  Trump also suggested he might close the border with Brazil, "I don't want people coming over here and infecting our people.  I don't want people over there sick either."</t>
  </si>
  <si>
    <t>Donald Trump's son and executive VP of the Trump Organisation, Eric Trump: "They think they are taking away Donald Trump's greatest tool, which is being able to go into an arena and fill it with 50,000 people every single time. Joe Biden can't get 10 people in a room. My father is getting 50,000 in a room. And they want to do everything they can to stop it. You watch, they'll milk it every single day between now and Nov. 3. And guess what, after Nov. 3, coronavirus will magically all of a sudden go away and disappear and everybody will be able to reopen. ... This is a very cognizant strategy that they're trying to employ. It's no different than the mail-in voting that they want to do all these places. It's no different than wanting illegal immigrants to vote in our country. It is a cognizant strategy. And it's sad. And, again, it's not going to be allowed to happen and we're going to win in November." His brother, Trump Jr also stated that coronavirus was invented by the Democrats to cancel his father's campaign.</t>
  </si>
  <si>
    <t>Speaker Nancy Pelosi "As far as the President is concerned, he's our President and I would rather he not be taking something that has not been approved by the scientists, especially in his age group and in his, shall we say, weight group, morbidly obese, they say. So I think it's not a good idea."  To be fair to Trump, his BMI suggests that he is obese, rather than morbidly obese.  Trump responded "Pelosi is a sick woman. She’s got a lot of problems, a lot of mental problems."</t>
  </si>
  <si>
    <t>American biotech company Moderna announce findings from a Phase I trial of 8 people who received 2 doses of an experimental vaccine, showing no ill side effects and production of antibodies.</t>
  </si>
  <si>
    <t>The CDC finally releases its guidelines on how to reopen the US with little fanfare, after changes were made to remove specific guidance on religious practices as directed by the WH. The release comes as tensions between the WH and the CDC continue to rise and Birx accusing the CDC of antiquated processes, including the gathering and reporting of cases and deaths.</t>
  </si>
  <si>
    <t>Baltimore's Mayor requests that Trump sets an example with the stay-at-home order and not visit the state but Trump has said that he would still visit.</t>
  </si>
  <si>
    <t>Trump states "We are opening our churches again. I think the CDC is going to put something out very soon, spoke to them today. I think they are going to put something out very soon. We got to open our churches. I said you better put it out and they’re doing it and they’re going to be issuing something today or tomorrow and churches are going to get our churches open."  He also said "This country is poised for an epic comeback, this is going to be an incredible comeback.  Just watch.  It's already happening."</t>
  </si>
  <si>
    <t xml:space="preserve">Michigan AG warns Ford of letting Trump visit factory without a mask, and Ford released a statement that they had requested Trump to wear a mask during his visit, but Trump doesn't wear a mask anyway, claiming he had worn one "in the back area" but did not want to give reporters the pleasure of seeing him wear it.  During the Ford plant visit where the factory had been repurposed to produce ventilators, Trump praises the Ford companies "bloodlines" and Henry Ford's "good blood", which given Henry Ford's notorious anti-Semitism was interesting... </t>
  </si>
  <si>
    <t>Trump the previous day threatened to withhold funding from Michigan over mail-in ballots "We don’t want them to do mail-in ballots. We don’t want anyone to do mail-in ballots."  He repeated similar today "We don’t want them to do mail-in ballots because it’s going to lead to total election fraud. We don’t want to take any chances with fraud in our elections."</t>
  </si>
  <si>
    <t>COVID-19 base CFR</t>
  </si>
  <si>
    <t>Based on difference from base CFR, does not account for lag between detection and deaths</t>
  </si>
  <si>
    <t>The Lancet takes the unusual step to publish an article refuting Trump's claims regarding the Lancet and China with regard to Dec 2019, Jan 2020 timelines and recommended that Trump should not be voted back in. "Americans must put a president in the White House come January, 2021, who will understand that public health should not be guided by partisan politics."</t>
  </si>
  <si>
    <t>CDC  admits that its testing kits are faulty</t>
  </si>
  <si>
    <t>The last remaining CDC officer recalled home from the China CDC, leaving an intelligence vacuum when COVID-19 subsequently began to emerge</t>
  </si>
  <si>
    <t>Trump "Some governors have deemed liquor stores and abortion clinics essential, but have left out churches and houses of worship. It's not right. So I'm correcting this injustice and calling houses of worship essential. The governors need to do the right thing and allow these very important essential places of faith to open right now, this weekend. If they don't do it, I will override the governors. If there's any question, they're going to have to call me, but they're not going to be successful in that call. In America, we need more prayer not less."</t>
  </si>
  <si>
    <t>The CDC release a report of an Arkansas case study where church gatherings resulted in significant COVID-19 outbreaks, impacting not just the congregation, but the wider community as well.  From 2 initial infections who attended church events over 3 days, 38% of the congregation (35 of 92) became infected, and an additional 26 infections occured in the wider community from the infected congregation - resulting in 4 deaths.  The CDC highlight that the total number of infected from this one incident is likely underreported.</t>
  </si>
  <si>
    <t>The CDC releases an interim guidance for communities of faith, "The information offered is non-binding public health guidance for consideration only."</t>
  </si>
  <si>
    <t>Trump Jr referring to Democrats: "... like you said, we've seen this play out for four years. Anything that they can use to try to hurt Trump, they will. Anything he does in a positive sense, like you heard from the reporter that was just suspended from ABC, they will not give him credit for. The playbook is old at this point. But for them to try to take a pandemic and seemingly hope that it comes here, and kills millions of people so that they could end Donald Trump's streak of winning, is a new level of sickness. You know, I don't know if this is coronavirus or Trump derangement syndrome, but these people are infected badly."</t>
  </si>
  <si>
    <t>Trump regarding his morning coronavirus test "And I tested very positively in another sense. So this morning. I tested positively toward negative, right? So no, I tested perfectly this morning. Meaning I tested negative. But that's a way of saying it. Positively toward the negative."</t>
  </si>
  <si>
    <t>The federal DOJ sends letter to the governer of California stating that their reopening plan discriminates against churches.</t>
  </si>
  <si>
    <t>People around the US flout social distancing and mask laws to enjoy the Memorial Day w/e in large crowds at outdoor attractions.</t>
  </si>
  <si>
    <t>Trump tweets that schools "should be opened ASAP", at odds with advice from Fauci.</t>
  </si>
  <si>
    <t>77 Nobel prize-winning US scientists sent an open letter to the Trump administration stating that they are "gravely concernced" about the recent abrupt funding cancellation to EcoHealth Alliance, saying it "sets a dangerous precedent by interfering in the conduct of science, ...deprives the nation and the world of highly regarded science that could help control one of the greatest health crises in modern history and those that may arised in the future."</t>
  </si>
  <si>
    <t>The NIH removes funding from a US non-profit research group EcoHealth Alliance that had been trapping bats throughout China and the world to collect blood and saliva samples to understand potential virus pandemic risks.  It is assumed that because they are partnered with the Wuhan Institute of Virology, and the US government is buying into the leaked virus from the lab conspiracy/myth, that the funding cancellation has been political.</t>
  </si>
  <si>
    <t xml:space="preserve">Delays in implementing lockdown measures in the US had lead to at least 36,000 more deaths, </t>
  </si>
  <si>
    <t>Mike Pompeo scuttles joint G7 communique referring to the COVID-19 virus, insisting that it was called the "Wuhan virus" in the communique.</t>
  </si>
  <si>
    <t>Trump "I wish -- again, our relationship with China is a very good relationship. I wish they told us three months sooner that this was a problem. We didn't know about it. They knew about it and they should have told us. We could have saved a lot of lives throughout the world. If you look at what's happening in Italy and Spain and a lot of other countries, we could have saved a lot of lives throughout the world.  ... as much as I like President Xi and as much as I respect the country and admire the country -- I have great admiration for the country, what they've done in a short period of time. Of course, our presidents, our previous presidents allowed that to happen; you should say "thank you very much" to all of them. But they should have told us about this. And I did ask him whether or not we could send some people, and they didn't want that -- out of pride. I think, really, out of pride. They don't want -- they don't want us sending people into China, to help them. You know, China is a strong country. They have -- they have their scientists and they have their doctors -- very smart."</t>
  </si>
  <si>
    <t>Trump when asked if used the expression Chinese Virus was racist: "It's not racist at all.  No it's not at all. It's from China. That's why. It comes from China. I want to be accurate."  Asked if his aides were comfortable with the term "No, I have a great -- I have great love for all of the people from our country. But, as you know, China tried to say at one point -- maybe they stopped now -- that it was caused by American soldiers. That can't happen. It's not going to happen -- not as long as I'm President. It comes from China."</t>
  </si>
  <si>
    <t>Trump "I just spoke to President Xi last night, and, you know, we're working on the -- the problem, the virus. It's a -- it's a very tough situation. But I think he's going to handle it. I think he's handled it really well. We're helping wherever we can. But we have a great relationship. It's incredible. ...They respect us again and we respect them. And we think -- I think we have the best relationship we've had with China. But it's really incredible."</t>
  </si>
  <si>
    <t>Trump "I have great respect for President Xi and great respect for China, frankly"</t>
  </si>
  <si>
    <t>Trump when asked how confident China was in being 100 percent honest regarding coronavirus "Well, I'm confident that they're trying very hard. I mean, I know President Xi -- I get along with him very well. We've just made a great trade deal, which is going to be a lot of business for Arizona and every other place. But, they are trying very, very hard, and I think the numbers are going to get progressively better as we go along. They're working it -- they built they built a hospital in seven days, and now they're building another one. I think it's going to work out fine. I think when we get into April, in the warmer weather, that has a very negative effect on that and that type of a virus. So let's see what happens, but I think it's going to work out fine."</t>
  </si>
  <si>
    <t>Trump when asked if he trusted the data coming out of China "Look, I know this: President Xi loves the people of China, he loves his country, and he's doing a very good job with a very, very tough situation."</t>
  </si>
  <si>
    <t>Trump on coronavirus "Yeah, we're very much involved. We're very -- very cognizant of everything going on. We have it very much under control in this country. … Well, it's a big -- it's a big situation going on throughout the world. And I can say, the United States, we've very much closed our doors in certain areas, in about certain areas, through certain areas. And we'll see what happens. But we have the greatest doctors in the world. We have it very much under control. We accepted a few people -- a small number of people. They're very well confined and they should be getting better fairly soon. Very interestingly, we've had no deaths. We have a -- I mean, you know, we've had a great practice. We had 12, at one point. And now they've gotten very much better. Many of them are fully recovered."</t>
  </si>
  <si>
    <t>Trump on whether President Xi should be doing anything different: "No, I think President Xi is working very, very hard. I spoke to him. He's working very hard. I think he's doing a very good job. It's a big problem. But President Xi loves his country. He's working very hard to solve the problem and he will solve the problem. Okay?"</t>
  </si>
  <si>
    <t>Trump "Well, we're working on it very closely. I spoke to President Xi two days ago. They're working on it very professionally. It's a problem, we think and we hope, based on all signs that the problem goes away in April because -- which is not too far down the road, because heat kills this virus. We think, now we're going to find out, Geraldo, but we think, and they are having difficulty in China but they're working very, very hard. We're working with them. We're sending a lot of people and CDC has been great but it is -- it's a problem in China. Has not been spreading very much. In our country, we only have, basically, 12 cases and most of those people are recovering and some cases fully recovered. So it's actually less."  On whether the Chinese is telling the truth "Well, you never know. I think they want to put the best face on it. So you know, I mean, if somebody -- if you were running it, you'd probably -- you wouldn't want to run out to the world and go crazy and start saying whatever it is because you don't want to create a panic. But, no, I think they've handled it professionally and I think they're extremely capable and I think President Xi is extremely capable and I hope that it's going to be resolved. Again, the April date is very important. But you know this is a big thing. The April date is very, very important because if that's the case, if he does, in fact, kill that's when it starts getting hot and this virus reacts very poorly to heat and dies. So we'll see what happens."</t>
  </si>
  <si>
    <t>Trump tweets "Low Ratings Fake News MSDNC (Comcast) &amp; @CNN are doing everything possible to make the Caronavirus look as bad as possible, including panicking markets, if possible. Likewise their incompetent Do Nothing Democrat comrades are all talk, no action. USA in great shape!"</t>
  </si>
  <si>
    <t xml:space="preserve">First community spread case documented, Trump states "Now, at the same time, you do have some outbreaks in some countries. Italy and various countries are having some difficulty. China, you know about it, where it started. I spoke with President Xi. We had a great talk. He's working very hard, I have to say. He's working very, very hard. And if you can count on the reports coming out of China, that spread has gone down quite a bit. The infection seems to have gone down over the last two days. As opposed to getting larger, it's actually gotten smaller. In one instance where we think we can be -- it's somewhat reliable, it seems to have gotten quite a bit smaller... We’re going to be pretty soon at only five people. And we could be at just one or two people over the next short period of time. ... I want you to understand something that shocked me when I saw it that -- and I spoke with Dr. Fauci on this, and I was really amazed, and I think most people are amazed to hear it: The flu, in our country, kills from 25,000 people to 69,000 people a year. That was shocking to me. And, so far, if you look at what we have with the 15 people and their recovery, one is -- one is pretty sick but hopefully will recover, but the others are in great shape. But think of that: 25,000 to 69,000. Over the last 10 years, we've lost 360,000. These are people that have died from the flu -- from what we call the flu. "Hey, did you get your flu shot?" And that's something. Now, what we've done is we've stopped non-U.S. citizens from coming into America from China. That was done very early on. We're screening people, and we have been, at a very high level -- screening people coming into the country from infected areas. We have in quarantine those infected and those at risk. We have a lot of great quarantine facilities. We're rapidly developing a vaccine, and they can speak to you -- the professionals can speak to you about that. The vaccine is coming along well. And in speaking to the doctors, we think this is something that we can develop fairly rapidly, a vaccine for the future, and coordinate with the support of our partners. We have great relationships with all of the countries that we're talking about. Some fairly large number of countries. Some it's one person, and many countries have no problem whatsoever. And we'll see what happens. But we're very, very ready for this, for anything -- whether it's going to be a breakout of larger proportions or whether or not we're -- you know, we're at that very low level, and we want to keep it that way. So we're at the low level. As they get better, we take them off the list, so that we're going to be pretty soon at only five people. And we could be at just one or two people over the next short period of time. So we've had very good luck. The Johns Hopkins, I guess -- is a highly respected, great place -- they did a study, comprehensive: "The Countries Best and Worst Prepared for an Epidemic." And the United States is now -- we're rated number one. We're rated number one for being prepared. This is a list of different countries. I don't want to get in your way, especially since you do such a good job. This is a list of the different countries. The United States is rated number one most prepared. United Kingdom, Netherlands, Australia, Canada, Thailand, Sweden, Denmark, South Korea, Finland.  ...  And what I've done is I'm going to be announcing, exactly right now, that I'm going to be putting our Vice President, Mike Pence, in charge. And Mike will be working with the professionals, doctors, and everybody else that's working. The team is brilliant. I spent a lot of time with the team over the last couple of weeks, but they're totally brilliant, and we're doing really well. And Mike is going to be in charge, and Mike will report back to me. But he's got a certain talent for this. ... We do have plans of a much -- on a much larger scale, should we need that. We're working with states, we're working with virtually every state. And we do have plans on a larger scale if we need it. We don't think we're going to need it, but, you know, you always have to be prepared. ... No, because we're ready for it. It is what it is. We're ready for it. We're really prepared. We have -- as I said, we've had -- we have the greatest people in the world. We're very ready for it. We hope it doesn't spread. There's a chance that it won't spread too, and there's a chance that it will, and then it's a question of at what level. So far, we've done a great job. When you have 15 people, with this whole world coming into the United States, and the 15 people are either better or close to being better, that's pretty good." </t>
  </si>
  <si>
    <t>On whether the Chinese communist party and President Xi has been forthcoming about coronavirus "Well, I can tell you this: I speak to him; I had a talk with him recently. And he is working so hard on this problem. He is working so hard. And they're very tough and very smart. And it's a significant -- it's a significant group of very talented people that are working. And they're calling up Dr. Fauci. They're calling up our people. We're dealing with them. We're giving them certain advice. We actually have -- through World Health, we have them over there also. And we have a lot of our people making up that group that went over there. No, he's working very hard. It would be very easy for me to say, you know -- it doesn't matter what I say, really. I can tell you, he is working -- I had a long talk with him the other night. He is working really, really hard. He wants it to go away from China and go away fast, and he wants to get back to business as usual. ... We're working with China. We just did the biggest trade deal in history. We did two of them. Between USMCA and the China deal, it's the biggest in history. The relationship with China is a very good one. And I can tell you that, again, President Xi is working really hard. He wants this problem solved."</t>
  </si>
  <si>
    <t>With North Carolina experiencing increased rate of infections, Trump flagged that Republicans may need to reconsider another venue for its GOP convention if safe distancing rules are not lifted in the state</t>
  </si>
  <si>
    <t>As the number of deaths close in on 100,000, Trump spends time at his golf course on Sat and Sun, resulting in social media reposting his criticisms of Obama when he played a round during the Ebola crisis.</t>
  </si>
  <si>
    <t>Trump "Great reviews on our handling of Covid 19, sometimes referred to as the China Virus. Ventilators, Testing, Medical Supply Distribution, we made a lot of Governors look very good - And got no credit for so doing. Most importantly, we helped a lot of great people!", "Nobody in 50 years has been WEAKER on China than Sleepy Joe Biden. He was asleep at the wheel. He gave them EVERYTHING they wanted, including rip-off Trade Deals. I am getting it all back!"</t>
  </si>
  <si>
    <t>Trump "Together we will vanquish the virus and America will rise from this crisis to new and even greater heights. No obstacle, no challenge and no threat is a match for the sheer determination of the American people." at a Memorial Day address in Baltimore despite the mayor urging him to cancel the visit, saying it woudl set the wrong example considering the city is still in lockdown.</t>
  </si>
  <si>
    <t>Politico reports: The National Republican Senatorial Committee distributed a detailed, 57-page memo…advising GOP candidates to address the coronavirus crisis by aggressively attacking China, Don't defend Trump, other than the China Travel Ban – attack China - the memo contains tactics and instructions that focus on three lines of attack: China covered up COVID-19, Democrats are soft on China and the Republicans will sanction China for letting the pandemic getting out of control.</t>
  </si>
  <si>
    <t>The memorial day w/e sees rise in politicising of masks, with Republicans largely not wearing them and Democrats largely wearing them, and political point scoring from Republicans that Democrats are scare mongering by wearing masks, while some Republican governors implore their constituents to wear masks and that doing so should not be a political statement.</t>
  </si>
  <si>
    <t>Trump tweets "Republicans feel that Social Media Platforms totally silence conservatives voices. We will strongly regulate, or close them down, before we can ever allow this to happen."  Kayleigh McEnany, the White House press secretary, told reporters traveling aboard Air Force One on Wednesday that Trump soon planned to sign an executive order on social media companies.  In 2018 a federal judge ruled the president could not block people on Twitter, because it violates their first amendment rights to participate in a "public forum"</t>
  </si>
  <si>
    <t>Trump tweets "This might help explain why Trump doesn’t like to wear a mask in public." after Biden visits a memorial wearing a mask</t>
  </si>
  <si>
    <t>Kayleigh McEnany, while claiming that Trump was not shaming anyone with respect to his tweet about Biden says "It is a bit peculiar though that in his basement right next to his wife he's not wearing a mask but he's wearing one outdoors when he's socially distancing so I think that there was a discrepancy there." - scratching head...</t>
  </si>
  <si>
    <t>Trump suspends entry for foreigners who have been in Brazil within 14 days prior to seeking US admittance.  The new rules were to come into effect Thursday night, but were brought forward and implemented on Tuesday</t>
  </si>
  <si>
    <t>WHO officials cite China for its "openness" to the prospect of scientific inquiries involving foreign experts into the origins of the novel coronavirus, and also place a temporary suspension on the use of hydroxychloroquine from global studies citing concerns over health risks</t>
  </si>
  <si>
    <t>Trump referring to a second wave "We are going to put out the fires, we're not going to close the country, we're going to put out the fire. Whether it's an ember or it's a flame we're going to put it out."</t>
  </si>
  <si>
    <t>All 50 states have now sought to reopen, at least partially</t>
  </si>
  <si>
    <t xml:space="preserve">Trump tweets "Now that our Country is 'Transitioning back to Greatness', I am considering rescheduling the G-7, on the same or similar date, in Washington, D.C., at the legendary Camp David. The other members are also beginning their COMEBACK. It would be a great sign to all – normalization!" referring to the June G7 meeting which had previously been slated back in March to be held in July by videoconference.  </t>
  </si>
  <si>
    <t>Twitter flags a Trump tweet "There is NO WAY (ZERO!) that Mail-In Ballots will be anything less than substantially fraudulent. Mail boxes will be robbed, ballots will be forged &amp; even illegally printed out &amp; fraudulently signed. The Governor of California is sending Ballots to millions of people, anyone....." + "....living in the state, no matter who they are or how they got there, will get one. That will be followed up with professionals telling all of these people, many of whom have never even thought of voting before, how, and for whom, to vote. This will be a Rigged Election. No way!" to be false under its new "misleading information" policy designed to combat misinformation about coronavirus, singling this tweet out because it related to election integrity, Trump follows with a tweet ".@Twitter is now interfering in the 2020 Presidential Election. They are saying my statement on Mail-In Ballots, which will lead to massive corruption and fraud, is incorrect, based on fact-checking by Fake News CNN and the Amazon Washington Post...." + "....Twitter is completely stifling FREE SPEECH, and I, as President, will not allow it to happen!"  Twitter feels the heat for all sides, from conservative supporting Trump, and from critics saying that Twitter should be consistent and also call out the other baseless conspiracy theory about Joe Scarborough having killed his wife that Trump was also pushing that weekend.</t>
  </si>
  <si>
    <t>Trump signs an executive order targeting social media companies stating that it was to "defend free speech from one of the gravest dangers it has faced in American history. A small handful of social media monopolies controls a vast portion of all public and private communications in the United States. They've had unchecked power to censor, restrict, edit, shape, hide, alter, virtually any form of communication between private citizens and large public audiences. ...Imagine if your local phone companies tried to edit or censor what you said. Social media companies have far more power."</t>
  </si>
  <si>
    <t>WWII</t>
  </si>
  <si>
    <t>WWI</t>
  </si>
  <si>
    <t>Korean War</t>
  </si>
  <si>
    <t>Vietnam War</t>
  </si>
  <si>
    <t>Gulf War</t>
  </si>
  <si>
    <t>Conflict</t>
  </si>
  <si>
    <t>US Deaths</t>
  </si>
  <si>
    <t>% US Population</t>
  </si>
  <si>
    <t>Spanish-American War</t>
  </si>
  <si>
    <t>Philippine-American War</t>
  </si>
  <si>
    <t>War in Afghanistan</t>
  </si>
  <si>
    <t>Iraq War</t>
  </si>
  <si>
    <t>American Revolutionary War</t>
  </si>
  <si>
    <t>War of 1812</t>
  </si>
  <si>
    <t>American Civil War</t>
  </si>
  <si>
    <t>Mexican-American War</t>
  </si>
  <si>
    <t>COVID-19 Deaths</t>
  </si>
  <si>
    <t>Date COVID-19 Deaths passed this figure</t>
  </si>
  <si>
    <t>Leading Causes of Death in US</t>
  </si>
  <si>
    <t>Major US Conflicts</t>
  </si>
  <si>
    <t>Heart Disease</t>
  </si>
  <si>
    <t>Accidents</t>
  </si>
  <si>
    <t>Chronic Lower Respiratory Diseases</t>
  </si>
  <si>
    <t>Stroke</t>
  </si>
  <si>
    <t>Alzheimer's Disease</t>
  </si>
  <si>
    <t>Influenza and Pneumonia</t>
  </si>
  <si>
    <t>Suicide</t>
  </si>
  <si>
    <t>Leading Causes</t>
  </si>
  <si>
    <t>Kidney Disease (Nephritis, nephrotic syndrome and nephrosis)</t>
  </si>
  <si>
    <t>Daily Deaths</t>
  </si>
  <si>
    <t>US Epidemics</t>
  </si>
  <si>
    <t>1906-1907 Typhoid Fever (New York)</t>
  </si>
  <si>
    <t>1793 Yellow Fever (Philadelphia)</t>
  </si>
  <si>
    <t>1921-1925 Diptheria</t>
  </si>
  <si>
    <t>1981-1991 Measles</t>
  </si>
  <si>
    <t>2,000-10,000</t>
  </si>
  <si>
    <t>Epidemic</t>
  </si>
  <si>
    <t>US Disasters</t>
  </si>
  <si>
    <t>1900 Galveston Hurricane</t>
  </si>
  <si>
    <t>1899 San Ciriaco Hurricane</t>
  </si>
  <si>
    <t>1906 San Francisco Earthquake</t>
  </si>
  <si>
    <t>2001 September 11 Attacks</t>
  </si>
  <si>
    <t>2017 Hurricane Maria</t>
  </si>
  <si>
    <t>1928 Okeechobee Hurricane</t>
  </si>
  <si>
    <t>1941 Pearl Harbour</t>
  </si>
  <si>
    <t>1889 Johnstown Dam Flood</t>
  </si>
  <si>
    <t>1893 Cheniere Caminada Hurricane</t>
  </si>
  <si>
    <t>1980 Heat wave</t>
  </si>
  <si>
    <t>1871 Wildfire</t>
  </si>
  <si>
    <t>2005 Hurricane Katrina</t>
  </si>
  <si>
    <t>1904 PS General Slocum fire and sinking</t>
  </si>
  <si>
    <t>1943 HMT Rohna bombing and sinking</t>
  </si>
  <si>
    <t>1893 Sea Islands Hurricane</t>
  </si>
  <si>
    <t>1918 Cloquet wildfire</t>
  </si>
  <si>
    <t>1978 Jonestown mass suicide</t>
  </si>
  <si>
    <t>Peak</t>
  </si>
  <si>
    <t>1957-1958 H2N2 Flu Pandemic ("Asian Flu")</t>
  </si>
  <si>
    <t>10,000-50,000</t>
  </si>
  <si>
    <t>US seasonal flu deaths</t>
  </si>
  <si>
    <t>2017-2018 seasonal flu</t>
  </si>
  <si>
    <t>1952 Polio peak year of deaths</t>
  </si>
  <si>
    <t>COVID Deaths</t>
  </si>
  <si>
    <t>First Detected Death</t>
  </si>
  <si>
    <t>Now</t>
  </si>
  <si>
    <t>Current Deaths</t>
  </si>
  <si>
    <t>Avg Deaths / Day</t>
  </si>
  <si>
    <t>Year end at this rate (linear projection)</t>
  </si>
  <si>
    <t>Peak Deaths / Day</t>
  </si>
  <si>
    <t>1918-1919 H1N1 Flu Pandemic ("Spanish Flu")</t>
  </si>
  <si>
    <t xml:space="preserve">2009 H1N1 Flu Pandemic ("Swine Flu") </t>
  </si>
  <si>
    <t>1968 H3N2 Flu Pandemic ("Hong Kong Flu")</t>
  </si>
  <si>
    <t>Date COVID-19 Daily Deaths passed this death rate</t>
  </si>
  <si>
    <t>Date COVID-19 Daily Deaths passed deaths from this event</t>
  </si>
  <si>
    <t>Daily COVID-19 Deaths by Date</t>
  </si>
  <si>
    <t>Believed to have originated in Mexico</t>
  </si>
  <si>
    <t>Believed to have originated in China.</t>
  </si>
  <si>
    <t>Trump "I mean, nobody wants to do this.  It’s a brutal step.  'We’re going to close down your country.'  Who ever heard of a thing like this? But we would have had millions of people die if we didn’t do this.  Millions of people.  And I believe that, Mike.  I think — you know, in looking at things that we’ve been looking at over the last couple of days, I think — and, really, over the last couple of weeks — from the time we did it, shortly thereafter I said we made the right decision in closing down.  We made the right decision on borders, banning people coming in from China; banning, ultimately, people coming in from Europe. But we would have had millions of deaths instead of — it looks like we’ll be at about a 60,000 mark, which is 40,000 less than the lowest number thought of."</t>
  </si>
  <si>
    <t>Trump in answering this question "Mr. President, 50,000 people have died today.  You’re saying that you want credit for what the government has done.  Do you take any responsibility for these 50,000 deaths that have happened in this country?" His response: "I think we’ve done a great job.  As you know, minimal numbers were — minimal numbers were going to be 100,000 people.  Minimal numbers were going to be 100,000 people.  And we’re going to be, hopefully, far below that.  If we didn’t take quick action, you could have lost many millions of people."</t>
  </si>
  <si>
    <t>Trump " If we didn’t act quickly and smartly, we would have had, in my opinion and in the opinion of others, anywhere from 10 to 20 and maybe even 25 times the number of deaths.  We closed the border to China, meaning we put it on the ban — people coming in from China.  That was a very big moment.  As Dr. Fauci said, we saved thousands and thousands of lives when we did that.  And that’s true, but I think we would have had anywhere from 10 to 20 or 25 times the number of deaths if we didn’t act the way we did and also if we didn’t act swiftly.  So we’re very proud of our team and our task force and Mike.  Great job."</t>
  </si>
  <si>
    <t>Trump tweets "For all of the political hacks out there, if I hadn’t done my job well, &amp; early, we would have lost 1 1/2 to 2 Million People, as opposed to the 100,000 plus that looks like will be the number. That’s 15 to 20 times more than we will lose. I shut down entry from China very early!"</t>
  </si>
  <si>
    <t>Columbia Uni state, based on their modelling, that 35,000 lives would have been saved in the US if social distancing measures had begun just a week earlier than they actually did in Mid-March, warning of the risk of reopening too early, and 84% of lives could have been saved if social distancing measures had started two weeks earlier.  Trump has stated that if a second wave of the coronavirus was to hit the nation, he would not attempt to shut it down again.  In response to Columbia University's analysis, Trump attacked the Ivy League school as a "liberal, disgraceful institution."</t>
  </si>
  <si>
    <t>Imperial College release a report on the expected impact to lives of COVID-19 if no mitigation measures are taken.  It serves as an important catalyst to galvanise many governments around the world to begin taking the pandemic seriously.</t>
  </si>
  <si>
    <t>Road Fatalities</t>
  </si>
  <si>
    <t>Trump tweets "The W.H.O. really blew it. For some reason, funded largely by the United States, yet very China centric. We will be giving that a good look. Fortunately I rejected their advice on keeping our borders open to China early on. Why did they give us such a faulty recommendation?"</t>
  </si>
  <si>
    <t>Chinese authorities begin noticing cases of a mysterious disease</t>
  </si>
  <si>
    <t>CDC states that delays in rollout of coronavirus testing did not hinder the nation's response to the pandemic.  According to their analysis, coronavirus didn't begin circulating in the US until late Jan/early Feb.  According to the CDC, earlier testing would not have helped identify its spread.  The findings from the CDC that delayed testing did not have a negative impact on the US response was immediately recieved with skepticism and some criticism.  Howver, the analysis does undermine the narrative that some people in the US were infected in Dec/early Jan and note that travel restrictions such as from China and Europe did little to prevent the spread because community transmisssion was already occuring, undermining Trumps frequent references to saving millions of lives from the travel bans, particularly from China</t>
  </si>
  <si>
    <t>Trump "I really think the public has been incredible with what they — that’s one of the reasons we’re successful.  That’s one of the — if you call losing 80 or 90 thousand people "successful."  But it’s one of the reasons that we’re not at that high end of the plane as opposed to the low end of the plane. ...I used to say 65,000 —</t>
  </si>
  <si>
    <t>Trump "Not long ago, models predicted that between 1.5 million and 2.2 million people would have died in the United States without the mitigation.  Through our aggressive response and the remarkable commitment and bravery of American people, we have saved thousands and thousands of lives.  I can even make that, if you want, hundreds of thousands of lives.  People were thinking in terms of 1.5 million lives lost to 2.2 without the mitigation.  And hopefully, we’re going to come in below that 100,000 lives lost, which is a horrible number nevertheless.  It’s a horrible thing.  It could’ve been stopped.  It should’ve been stopped at source, but it wasn’t."</t>
  </si>
  <si>
    <t>US Secretary of State Mike Pompeo "There is a significant amount of evidence that this came from that laboratory in Wuhan. Instead, China behaved like authoritarian regimes do, attempted to conceal and hide and confuse. The best experts so far seem to think it was man-made. I have no reason to disbelieve that at this point." When pointed out that this was not the conclusion of the US intelligence agencies, Pompeo backtracked "That’s right. I agree with that. I've seen what the intelligence community has said.  I have no reason to believe that they've got it wrong. ... It should be something — you know, think of it: We could save anywhere from a million to even a million-five.  And, I guess, if you think about it, we could save 2.1, 2.5 million lives, depending on what happens.  And with this invisible enemy, as we said, nobody knows what really happens, but we’ve learned a lot in the last two months."</t>
  </si>
  <si>
    <t>Trump "This plague should never have happened.  It could have been stopped, but people chose not to stop it. … And some of the facts are coming out, and we did all the right moves.  I’ll tell you, we did — we wouldn’t do — we were talking to Mike before.  If we didn’t do what we did, you would’ve had a million people die, maybe more.  Maybe 2 million people die.  And if you think that we’d be at 65 or 70 or 60 or whatever the final number will be — one is too many.  I always say it: One is far too many.  This should’ve never been allowed to happen.  It should’ve been stopped a long time ago, before it ever got here or to other countries."</t>
  </si>
  <si>
    <t>Trump "We are in a war.  This is a World War Two, this is a World War One — where, by the way, the war essentially ended because of a plague.  That was one of the worst ever.  They lost almost 100 million people.  But we’re in a big war. … I did it early, but I was the last person that wanted to close down one of the great economic — you can’t call it an experiment, but everything, I guess, in life is an experiment.  So I say experiments.  But one of the great economic stories in history.  I’m the last person who wanted to do it. But we did the right thing, because if we didn’t do it, you would have had a million people, a million and a half people, maybe 2 million people dead.  Now, we’re going toward 50, I’m hearing, or 60,000 people.  One is too many.  I always say it: One is too many.  But we’re going toward 50- or 60,000 people.  That’s at the lower — as you know, the low number was supposed to be 100,000 people.  We — we could end up at 50 to 60.  Okay?  It’s horrible.  If we didn’t do what we did, we would have had, I think, a million people, maybe 2 million people, maybe more than that. ... And many of the people that have this theory, “Oh, let’s — you know, maybe we could have just gone right through it,” I was — I was somebody that would have loved to have done that, but it wouldn’t have been sustainable.  You can’t lose a million people.  That’s more than — that’s almost double what we lost in the Civil War.  I use that as a guide.  Civil War: 600,000 people died.  So it’s not sustainable.  But it could have been much more than a million people. I mean, if you took a number and cut it half, and half, and in half again, you’d end up at 500,000 people — okay? — if you want to make a very conservative guesstimate.  Five hundred thousand people is not acceptable.  Is that a correct sort of an analogy? ... When we say 50 and they compare 50 to the 35 of the flu — because it averaged 35, 36,000 over a 10-year period.  It’s a lot.  Who would think that?  But we’re not talking about with the flu. ... And we’re still going to lose between 50 and 60. ... But, in this case, if we didn’t do anything, the number wouldn’t be 50 to 60,000.  The number would be a million people dead.  It would be a million-five, a million-two.  Maybe 700,000.  It would have been a number in — like that. ... But I just say this: If we would have done that, we would have lost anywhere from a million to more than 2 million people.  Now, with all of the death that we’ve seen — and 50- or 60,000 people, heading toward — right now it’s at 40.  But 50- or 60,000 people; probably over 50, from what I see.  But that’s with our guard up.  If we took our guard down and just said, “Okay, we’re just going to keep this open,” we would have lost millions of people.  Can you imagine? ... But if we didn’t do the moves that we made, you would have had a million, a million and a half, 2 million people dead.  So multiply that times 50; you’re talking about — you would have had 10 to 20 to 25 times more people dead than all of the people that we’ve been watching.  That’s not acceptable.  The 50,000 is not acceptable.  It’s so horrible.  But can you imagine multiplying that out by 20 or more?  It’s not acceptable."</t>
  </si>
  <si>
    <t>Trump "We’re talking about death.  We’re talking about the greatest economy in the world.  One day I have to close it off.  And we did the right thing, because maybe it would have been 2 million people died instead of whatever that final number will be, which could be 60, could be 70, could be 75, could be 55.  Thousands of people have died. ... One of the reasons we’re so far below that number is because nobody thought the American people could be so disciplined.  Nobody thought it was possible.  And, I guess, when they watched us up here every day, and they watched other people, and they listened to their representatives and governors — nobody thought that the American people could be so disciplined.  They’ve been unbelievable. And because of that — so you have a minimum number of 100,000, and then you had the 2.2 number that, if we did nothing — if we did — just kept working, everybody go to work — people would be dropping dead on the subways.  No. If we would have lost a million people — take the 2.2 million and cut it in half.  Make it — cut it in more than half.  Make it a million people, okay?  Now take that number and cut it in half.  Make it 500,000 people.  That’s if we did nothing, right?  It’s unacceptable.  It’s too many people. So we have — we’ve spent more money on stimulus.  Who cares by comparison?  You take 2.2, you cut it in half, you cut it in half, you cut it in half — you keep cutting it in half.  I don’t care what number you choose — 500,000, 400,000.  Well, we’re going to have — we’re talking 50, 60, 65 [thousand].  Maybe.  Maybe.  But if we would have done what one country tried — and it has been very tough for them.  You know that.  Very, very nasty.  Very tough.  But if we would have done that here — And again, you got to remember: UK tried it.  And I was a little surprised.  And I watched it.  They were going about — what, two weeks?  And they said, “We got to stop.”  Because it was — they were going to have a whole country infected. So, with all of that being said, we got to get back to work.  We got to get — we got to get our country open.  But we could have lost 2 million people.  We could have lost 1 million people.  We could have lost a half a million people. If we would’ve lost 500,000 people — and I’ll say this also: From the standpoint of being President and Vice President, and we’re up there and we’re doing that herd, and we’re going to bullet through — do you honestly think people like Jim and yourself and other people would’ve — Jeff — would have put up with it, as people are dying all over?  They would have said, “This man is crazy.”  Because the numbers, Tony, at a minimum, would have been many, many times greater than the numbers we’re talking about."</t>
  </si>
  <si>
    <t>Dr Birx "I think you know from that large blue mountain that you can see behind me — and I just want to thank the five or six international and domestic modelers from Harvard, from Columbia, from Northeastern, from Imperial who helped us tremendously.  It was their models that created the ability to see what these mitigations could do, how steeply they could depress the curve from that giant blue mountain down to that more stippled area. In their estimates, they had between 1.5 million and 2.2 million people in the United States succumbing to this virus without mitigation.  Yet, through their detailed studies and showing us what social distancing would do, what people — what would happen if people stayed home, what would happen if people were careful every day to wash their hands and worry about touching their faces, that what an extraordinary thing this could be if every American followed these.  And it takes us to that stippled mountain that’s much lower — a hill, actually — down to 100,000 to 200,000 deaths, which is still way too much." Dr Fauci "The modeling that Dr. Birx showed predicts that number that you saw.  We don’t accept that number that that’s what’s going to be.  We’re going to be doing everything we can to get it even significantly below that. So, you know, I don’t want it to be a mixed message.  This is the thing that we need to anticipate, but that doesn’t mean that that’s what we’re going to accept.  We want to do much, much better than that. ... as sobering a number as that is, we should be prepared for it.  Is it going to be that much?  I hope not.  And I think the more we push on the mitigation, the less likelihood it would be that number.  But as being realistic, we need to prepare ourselves that that is a possibility, that that’s what we will see."</t>
  </si>
  <si>
    <t>Trump on the projections "They’re very sobering, yeah.  When you see 100,000 people, that’s a — and that’s at a minimum number. Now, what we’re looking at — and as many people as we’re talking about — whatever we can do under that number and substantially under that number, we’ve done that through really great mitigation.  We’ve done that through a lot of very dedicated American people that, you know, 100,000 is — is, according to modeling, a very low number. In fact, when I first saw the number — and I asked this a while ago — they said it’s unlikely you’ll be able to attain that.  I think we’re doing better than that.  Now, I think.  We have to see.  But I think we’re doing better than that.  Because, as John said, that would be, you know, a lot of lives taking place over a relatively short period of time. But think of what would have happened if we didn’t do anything.  I mean, I’ve had many friends, business people, people with great, actually, common sense — they said, “Why don’t we ride it out?”  A lot of people have said.  A lot of people have thought about it.  “Ride it out.  Don’t do anything, just ride it out and think of it as the flu.”  But it’s not the flu.  It’s vicious. ... So we would have seen things had we done nothing.  But for a long while, a lot of people were asking that question, I think, right?  I was asking it also.  I mean, a lot of people were saying, “Well, let’s just ride it out.”  This is not to be ridden out because then you would have been looking at potentially 2.2 million people or more.  2.2 million people in a relatively short period of time. If you remember, they were looking at that concept.  It’s a a concept, I guess.  You know, it’s concept if you — if you don’t mind death.  A lot of death.  But they were looking at that in the UK.  Remember?  They were very much looking at it.  And all of a sudden, they went hard the other way because they started seeing things that weren’t good.  So they were — you know, they put themselves in a little bit of a problem. ... But that was something that everybody was talking about, Steve, like, “just don’t do anything.”  “Don’t do anything.  Forget about everything.  Just ride it out.”  They used the expression, “Ride it out.”  We would have had, at a minimum, 1.5, 1.6, but you would have had perhaps more than 2.2 million people dying in a very short period of time.  And that would have been a number that — the likes of which we’ve never seen."</t>
  </si>
  <si>
    <t>The number of US deaths from COVID-19 surpass the 3,300 Chinese deaths from COVID-19</t>
  </si>
  <si>
    <t>The number of US deaths from COVID-19 surpass the 2,977 victims and 19 hijackers of the 9/11 attacks of 2001</t>
  </si>
  <si>
    <t>The number of US deaths from COVID-19 surpass the 2,216 US deaths of the War in Afghanistan, to-date</t>
  </si>
  <si>
    <t>The number of US deaths from COVID-19 surpass the 4,497 US deaths of the Iraq War</t>
  </si>
  <si>
    <t>The number of US deaths from COVID-19 surpass the 10,771 deaths in the US from typhoid fever in 1906-1907</t>
  </si>
  <si>
    <t>The number of US deaths from COVID-19 surpass the 12,469 deaths in the US from the H1N1 "Swine flu" of 2009-2010. Some estimates put the real death toll at 18,000.</t>
  </si>
  <si>
    <t>The number of US deaths from COVID-19 surpass the 25,000 deaths of the American Revolutionary War</t>
  </si>
  <si>
    <t>The number of US deaths from COVID-19 surpass the 36,516 US deaths of the Korean war</t>
  </si>
  <si>
    <t>The number of US deaths from COVID-19 surpass the annual US road fatalities of 37,000 - 38,000 per year</t>
  </si>
  <si>
    <t>The number of US deaths from COVID-19 surpass the 58,220 US deaths of the Vietnam war</t>
  </si>
  <si>
    <t>The number of US deaths from COVID-19 surpass the 61,000 US deaths from the seasonal flu in 2017-2018, normally the number of deaths from the seasonal flu in the US is between 10,000 to 50,000 per season.</t>
  </si>
  <si>
    <t>Trump announces that the US is terminating its relationship with the WHO three weeks ahead of a deadline he set earlier this month on 19/5. "Chinese officials ignored their reporting obligations to the World Health Organization and pressured the World Health Organization to mislead the world when the virus was first discovered by Chinese authorities. Countless lives have been taken and profound economic hardship has been inflicted all around the globe. ... China has total control over the World Health Organization ... Because they have failed to make the requested and greatly needed reforms, we will be today terminating our relationship with the World Health Organization and redirecting those funds to other worldwide and deserving, urgent global public health needs ... world needs answers from China on the virus. We must have transparency."</t>
  </si>
  <si>
    <t>Following the death of George Floyd at the hands of police 25/5, there have been ongoing protests and riots around the country, but focus in Minneapolis. Trump tweets "....These THUGS are dishonoring the memory of George Floyd, and I won’t let that happen. Just spoke to Governor Tim Walz and told him that the Military is with him all the way. Any difficulty and we will assume control but, when the looting starts, the shooting starts. Thank you!", echoing a 1960's phrase used by Miami Police Chief Walter Headley.  Twitter hides the tweet behind a flag saying that it "glorifies violence", ratcheting up the war between Trump, conservatives, and Twitter and social platforms in general.  Trump tweets in response "Twitter is doing nothing about all of the lies &amp; propaganda being put out by China or the Radical Left Democrat Party. They have targeted Republicans, Conservatives &amp; the President of the United States."</t>
  </si>
  <si>
    <t>of population</t>
  </si>
  <si>
    <t>Course grained projections based on broader rates of infection and recovery which may not be as applicable in the US context</t>
  </si>
  <si>
    <t>Fauci states that he has not spoken to Trump in over 2 weeks, raising fears that he has been frozen out of the WH response to coronavirus</t>
  </si>
  <si>
    <t>Trump announces that he is delaying the G7 until September and wants additional countries to attend - Russia, South Korea, Australia, and India as potential invitees.  Canada's PM, Justin Trudeau has pushed back on an invite being extended to Russia.</t>
  </si>
  <si>
    <t>2019 figures from the Gun Violence Archive</t>
  </si>
  <si>
    <t>Trump keeps escalating tensions following the death of George Floyd in lead up to elections and to deflect from the coronavirus response to date.  Widespread protests continue to grow and engulf US cities</t>
  </si>
  <si>
    <t>Recordings of WHO officials complaining in meetings during the week of 6/1 that Beijing was not sharing the data needed to evaluate the risk of the virus are leaked.  It was not until 20/1 that China confirmed that coronavirus was contagious.</t>
  </si>
  <si>
    <t>Origin unknown, first detected in Hong Kong</t>
  </si>
  <si>
    <t>Chinese state media announced the illness was the result of a new coronavirus but said it was not contagious</t>
  </si>
  <si>
    <t>WHO report preliminary Chinese studies suggest no clear evidence of human to human transmission, but stated that it was still an strong possibility</t>
  </si>
  <si>
    <t>Chines authorities lock down Wuhan, by which time at least 5 million residents had left before the lunar new year holiday and the city's hospitals were by this tme flooded with patients, and cases appearing across the region.</t>
  </si>
  <si>
    <t>China confirms that coronavirus was contagious.</t>
  </si>
  <si>
    <t>Chinese authorities install temperature checkpoints at the airport, train stations, and bus terminals in Wuhan.</t>
  </si>
  <si>
    <t>Trump "Germany and the United States are the two best in deaths per 100,000 people, which, frankly, to me, that’s perhaps the most important number there is.".  While not the worst, at this moment, the US has a worse death rate per 100,000 than the world average and it is by no means close to being among the two best .</t>
  </si>
  <si>
    <t>Gun Violence Deaths in US (2019)</t>
  </si>
  <si>
    <t>Death from mass shootings (2019)</t>
  </si>
  <si>
    <t>Death by US law enforcement (2015)</t>
  </si>
  <si>
    <t>Trump tweets "Why didn’t the I.G., who spent 8 years with the Obama Administration (Did she Report on the failed H1N1 Swine Flu debacle where 17,000 people died?), want to talk to the Admirals, Generals, V.P. &amp; others in charge, before doing her report. Another Fake Dossier!" Christi Grimm, the IG for the Department of Health and Human Services had published a survey of US hospital's preparedness for the pandemic and found many would struggle to treat the expected number of cases due to shortages in PPE and poor testing capacity.  The WH removes her, announcing that she was being replaced by Jason Weida.  Rep Jim Jordon (R-OH) claims that any allegation that Grimm was removed "for issuing a report is simply incorrect."  In total, 5 IGs have been removed by Trump as at the end of May.</t>
  </si>
  <si>
    <t>Initial pop est from 2.1M to 18M with over 90% killed from colonisation</t>
  </si>
  <si>
    <t>Native North American Genocide</t>
  </si>
  <si>
    <t>Dr Brenda Fitzgerald resigns from the CDC after it was revealed that she held shares in tobacco companies.</t>
  </si>
  <si>
    <t>Dr Robert Redfield appointed CDC director by WH despite concerns over his conservative religious views related to AIDs policies, a history of research misconduct including when employed by the US Army and researching an AIDS/HIV vaccine, and his lack of experience in leading a public health agency</t>
  </si>
  <si>
    <t>Dr Brenda Fitzgerald appointed head of CDC by WH despite concerns expressed of her conflicts of interest with her stock portfolio and need to recuse herself on most matters of importance related to her office.</t>
  </si>
  <si>
    <t>Annual Deaths in Custody (estimate)</t>
  </si>
  <si>
    <t>From Guardian report into death by law enforcement 2015, also see https://mappingpoliceviolence.org/nationaltrends</t>
  </si>
  <si>
    <t>Congressional hearing grills the head of the CDC, Dr Robert Redfield, where he claims "There was never a moment in this nation when any health department couldn't get the test."  This was refuted by Jaime Herrera Beutler, a Republican congresswoman from Washington.  Leaks from the CDC paint a picture of the organisation obsessed with controlling the messaging and whitewashing what goes out to the public to support the Trump agenda rather than providing an honest picture of what is actually happening.</t>
  </si>
  <si>
    <t>A number of ex-military commanders and prominent republicans including Colin Powell and Senator Lisa Murkowski, George Bush and his brother Jeb, and Cindy McCain, widow of Senator John McCain all have come out to say they will not vote for Trump and some endorsing Biden.</t>
  </si>
  <si>
    <t>Dr Kerkhove attempts to explain her comments after a huge wave of pushback from around the world, so clarified that studies show ~16% of the population may be asymptomatic, but some models suggest as much as 40% of global transmission may be due to asymptomatic individuals, but there was still much unknown and much to be answered.</t>
  </si>
  <si>
    <t>Dr Maria Van Kerkhove, a WHO scientist in an interview draws a distinction between asymptomatic and presymptomatic infections and states "From the data we have, it still seems to be rare that an asymptomatic person actually transmits onward to a secondary individual, it's very rare."</t>
  </si>
  <si>
    <t>A CDC survey conducted in May of 502 adults found 39% had misused cleaning products such as bleach and disenfectants, and 25% had reported an adverse health effect that they believed was a result of the product. 19% had used bleach on food, 18% had applied household cleaners on skin, 10% had misted themselves with disinfectant sprays, 6% had inhaled vapors from the cleaners, and 4% had drunk or gargled diluted bleach solutions, soapy water, or other disinfectants.</t>
  </si>
  <si>
    <t>The number of US deaths from COVID-19 surpass the 100,000 deaths in the US from the H3N2 flu pandemic of 1968.  Trump reluctant to honour the passing of this number of people.</t>
  </si>
  <si>
    <t>Trump "We want the continued blanket lockdown to end for the states. We may have some embers or some ashes, or we may have some flames coming, but we'll put them out. We'll stomp them out.".</t>
  </si>
  <si>
    <t>University of Washington forecast a massive spike in deaths starting in the third week of August, after declining from April until then, with estimates of the number of deaths by October falling somewhere between 130,000 - 290,000. The CDC, based on averaging of 17 individual national forecasts, indicates that 124,000 - 140,000 deaths by July 4th.</t>
  </si>
  <si>
    <t>Trump flags that he will begin staging campaign rallies again, as early as 19/6 ("Juneteenth", a date that commemorates the emancipation of the last slaves at the end of the American Civil War in 1865), in Tulsa, Oklahoma (the black residents and businesses of Tulsa were attacked by whites in 1921 in what is known as the Tulsa Race Massacre with as many as 300 African Americans left dead), as well as scheduling a speech accepting the Republican nomination for the second term as President in Jacksonville, Florida on 27/8 (on the 60th anniversary 27/8, 1960 of "Ax Handle Saturday" when a group of 200 white men, some members of the KKK, attacked protesters conducting a sit-in with baseball bats and axe handles, after which the violence spread with mobs of white men attacking black Americans indiscriminately), generating criticism with respect to the current Black Lives Matter demonstrations, and requiring people attending the rallies to sign a disclaimer to not hold Trump or rally organisers liable if they contract coronavirus from attending.  Dr Fauci has warned in response that such gatherings are "a danger" and "risky". This as infection rates are rising in 18 states, with 12 experiencing spikes in hospitalizations following Memorial w/e, infection rates hold steady in 9 states, and trending down in 21.  Already, members of the National Guard who were called out in relation to the BLM marches and protests have tested positive to COVID-19, showing the risk of large gatherings.</t>
  </si>
  <si>
    <t>Trump reschedules his first "post-coronavirus" re-election rally in Tulsa to 20/6, Trump tweets "We had previously scheduled our #MAGA Rally in Tulsa, Oklahoma, for June 19th -- a big deal. Unfortunately, however, this would fall on the Juneteenth Holiday. Many of my African American friends and supporters have reached out to suggest that we consider changing the date out of respect for this Holiday, and in observance of this important occasion and all that it represents. I have therefore decided to move our rally to Saturday, June 20th, in order to honor their requests."</t>
  </si>
  <si>
    <t>A fall in unemployment for white and Hispanic people, a rise in unemployment for African-American and Asian people has Trump declaring "victory" with the economy a "rocketship" and "an affirmation of all the work we've been doing" and taking credit for the jobs.  During the same speech, Trump makes reference to need for law enforcement fairness/reform invoking George Floyd "a great day for him, it’s a great day for everybody," which gets construed as using George Floyd as blessing the good economic news, as protests head into their second weekend.  Trump tweets "Really Big Jobs Report. Great going President Trump (kidding but true)!" April had seen the worst jobless rate since monthly record keeping began in 1948.  The US economy added 2.5M jobs in May as states began to ease lockdown restrictions, after 1.4M jobs lost in March and 20.7M positions vanished in April.</t>
  </si>
  <si>
    <t>After a UK led trial showing that the generic steroid dexamethasone can reduce death rates by ~1/3 among those with the most severe cases of infection of COVID-19, the WHO has announced plans that it would update its guidance on the use of the steroid, althouth the results are still preliminary</t>
  </si>
  <si>
    <t>The number of US deaths from COVID-19 surpass the 116,000 deaths from the 1957-1958 H2N2 Flu Pandemic ("Asian Flu")</t>
  </si>
  <si>
    <t>The number of US deaths from COVID-19 surpass the 116,516 US casualties from WWI</t>
  </si>
  <si>
    <t>A judge denied an emergency motion to stop the Tulsa rally as Oklahoma records its highest new coronavirus case count to date on Monday, and will now head to the Supreme Court.  While Pence said Monday Oklahoma had "flattened the curve" and that "the number of cases in Oklahoma" had "declined precipitously," the daily number of coronavirus cases statewide have actually increased over the last week -- even as the number of tests conducted each day has declined slightly</t>
  </si>
  <si>
    <t>The FDA has revoked its emergency use authorization for the drugs hydroxychloroquine and chloroquine for the treatment of Covid-19.  "It is no longer reasonable to believe that oral formulations of HCQ and CQ may be effective in treating COVID-19, nor is it reasonable to believe that the known and potential benefits of these products outweigh their known and potential risks. Accordingly, FDA revokes the EUA for emergency use of HCQ and CQ to treat COVID-19. As of the date of this letter, the oral formulations of HCQ and CQ are no longer authorized by FDA to treat COVID-19," FDA chief scientist Denise Hinton wrote in a letter to Gary Disbrow of the Biomedical Advanced Research and Development Authority (BARDA) on Monday.  The WHO is still reviewing is use of hydroxychloroquine in its multi-country clinical study of several potential COVID-19 treatment options.</t>
  </si>
  <si>
    <t>Trump tweets "We have just reached a very sad milestone with the coronavirus pandemic deaths reaching 100,000. To all of the families &amp; friends of those who have passed, I want to extend my heartfelt sympathy &amp; love for everything that these great people stood for &amp; represent. God be with you!"</t>
  </si>
  <si>
    <t>Trump states "If we stop testing right now, we’d have very few cases, if any."</t>
  </si>
  <si>
    <t>Trump tweets "The Far Left Fake News Media, which had no Covid problem with the Rioters &amp; Looters destroying Democrat run cities, is trying to Covid Shame us on our big Rallies. Won’t work!" in relation to criticism of the forthcoming rally in Tulsa</t>
  </si>
  <si>
    <t>Trump "We’re very close to a vaccine and we’re very close to therapeutics, really good therapeutics. But even without that, I don’t even like to talk about that, because it’s fading away, it’s going to fade away, but having a vaccine would be really nice and that’s going to happen."</t>
  </si>
  <si>
    <t>Fauci warned that the infection would not "burn itself out with mere public health measures. We're going to need a vaccine for the entire world, billions and billions of doses", referring to the coronavirus pandemic as his "worst nightmare".</t>
  </si>
  <si>
    <t>Trump's reboot in Tulsa of his rallys saw 6 of his staff test positive to coronavirus and 6,200 people attend after boasting of a million people registering and expecting over 100,000, with K-pop and TikTok users claiming responsibility for registering in mass with no intention of attending.  Trump blames BLM protesters who were small in number and not disruptive.  In his speach he stated "You know testing is a double-edged sword. Here's the bad part ... when you do testing to that extent, you're going to find more people; you're going to find more cases. So I said to my people, slow the testing down please."  Afterwards his administration said he was "obviously kidding". Trump also referred to COVID-19 as "kung flu", but no mention from Trump of George Floyd or the 122,000 deaths that have occurred so far.</t>
  </si>
  <si>
    <t>New cases exceed previous peak 25/6</t>
  </si>
  <si>
    <t>New cases begin rising again</t>
  </si>
  <si>
    <t>https://www.cdc.gov/coronavirus/2019-ncov/need-extra-precautions/older-adults.html</t>
  </si>
  <si>
    <t>0-4</t>
  </si>
  <si>
    <t>5-17</t>
  </si>
  <si>
    <t>18-29</t>
  </si>
  <si>
    <t>50-64</t>
  </si>
  <si>
    <t>65-74</t>
  </si>
  <si>
    <t>75-84</t>
  </si>
  <si>
    <t>per 100,000</t>
  </si>
  <si>
    <t>%</t>
  </si>
  <si>
    <t>Identified comorbidities</t>
  </si>
  <si>
    <t>Chronic Kidney Disease</t>
  </si>
  <si>
    <t>COPD</t>
  </si>
  <si>
    <t>Immunocompromised state from organ transplant</t>
  </si>
  <si>
    <t>Obesity (BMI &gt; 30)</t>
  </si>
  <si>
    <t>Heart conditions such as heart failure, coronary artery disease, or cardimyopathies</t>
  </si>
  <si>
    <t>Sickle cell disease</t>
  </si>
  <si>
    <t>Type 2 diabetes mellitus</t>
  </si>
  <si>
    <t>Potential comorbitity risks</t>
  </si>
  <si>
    <t>Asthma (moderate to severe)</t>
  </si>
  <si>
    <t>Cerebrovascular disease</t>
  </si>
  <si>
    <t>Cystic fibrosis</t>
  </si>
  <si>
    <t>Immunocompromised state from blood or bone marrow transplant, immune deficiencies, HIV, corticosterioids use, or other immune weakening medicines</t>
  </si>
  <si>
    <t>Neurologic conditions such as dementia</t>
  </si>
  <si>
    <t>Liver Disease</t>
  </si>
  <si>
    <t>Pregnancy</t>
  </si>
  <si>
    <t>Pulmonary Fibrosis</t>
  </si>
  <si>
    <t>Thalassemia</t>
  </si>
  <si>
    <t>Type 1 diabetes mellitus</t>
  </si>
  <si>
    <t>https://www.cdc.gov/coronavirus/2019-ncov/need-extra-precautions/evidence-table.html</t>
  </si>
  <si>
    <t>As of June 25, 2020, no percentage outcome on commorbidities provided</t>
  </si>
  <si>
    <t>Hospitalisation per 100,000 population, unclear if this is 100,000 of infected population or total population.</t>
  </si>
  <si>
    <t>https://www.cdc.gov/coronavirus/2019-ncov/need-extra-precautions/racial-ethnic-minorities.html</t>
  </si>
  <si>
    <t>Non-Hispanic American Indian or Alaska Native</t>
  </si>
  <si>
    <t>Age adjusted Hospitalisation by race and ethnicity</t>
  </si>
  <si>
    <t>Non-Hispanic Black</t>
  </si>
  <si>
    <t>Hispanic or Latino</t>
  </si>
  <si>
    <t>Non-Hispanic Asian or Pacific Islander</t>
  </si>
  <si>
    <t>Non-Hispanic White</t>
  </si>
  <si>
    <t>Relative Risk Factor</t>
  </si>
  <si>
    <t>Other at risk groups</t>
  </si>
  <si>
    <t>People with disabilities</t>
  </si>
  <si>
    <t>People with developmental and behavioural issues</t>
  </si>
  <si>
    <t>People experiencing homelessness</t>
  </si>
  <si>
    <t>Pregnant people and breastfeeding</t>
  </si>
  <si>
    <t>People in nursing homes or long term care facilities</t>
  </si>
  <si>
    <t>Newly resettled refugee populations</t>
  </si>
  <si>
    <t>N.B. CDC does not list imprisoned people as at risk!</t>
  </si>
  <si>
    <t>The Trump campaign has postponed Mike Pence's campaign events in Florida and Arizona next week citing "out of an abundance of caution"</t>
  </si>
  <si>
    <t>Pence claims in the first coronavirus taskforce briefing since April remarkable progress against COVID-19. "With intervention and mitigation and calling on the American people to embrace mitigation efforts we [aimed to] slow the spread … and we said we believed we could reduce fatalities to 150,000 to 200,000. Where we are today as a nation … we have done just that, we slowed the spread, we flattened the curve and we saved lives." As 29 states see rising numbers and some states re-introducing restrictions, and 40,000 new infections on Friday, Pence said the US was reopening "safely and responsibly," blaming the increased numbers on increased testing and saying because half of new cases were under 35 it was "very encouraging news."</t>
  </si>
  <si>
    <t>Video emerges of Trump campaign volunteers/staff removing social distancing stickers from seats in the Tulsa arena prior to the rally.  Since the rally, 8 Trump staffers have tested positive for the virus and many more are in self-quarantine.</t>
  </si>
  <si>
    <t>Trump tweets ""We did a great job on CoronaVirus, including the very early ban on China, Ventilator production, and Testing, which is by far the most, and best, in the World. We saved millions of U.S. lives.! Yet the Fake News refuses to acknowledge this in a positive way. But they do give....  ....Dr. Anthony Fauci, who is with us in all ways, a very high 72% Approval Rating. So, if he is in charge along with V.P. etc., and with us doing all of these really good things, why doesn’t the Lamestream Media treat us as they should? Answer: Because they are Fake News!"</t>
  </si>
  <si>
    <t>The CDC estimate that for every diagnosis of coronavirus in the US, it is likely that 10 more people are or have been infected based on serology testing of antibodies, estimating more than 20 million of the US population have been or are infected. Roughly half of the new cases in Florida and Texas are people under the age of 35, and many of them are asymptomatic.</t>
  </si>
  <si>
    <t>The Trump administration confirmed that it will no longer fund 13 coronavirus testing sites , including 7 in Texas, even as new cases and hospitalisations increase across the US.</t>
  </si>
  <si>
    <t>The Trump administration and 18 Republican governers and attorneys general file the opening briefs with the Supreme Court in California vs Texas to repeal the health care act, which would strip 23.3 million Americans of health coverage in the midst of the pandemic.</t>
  </si>
  <si>
    <t>Pence arrives in Texas wearing a face mask and has recommended that others do the same, a significant shift in his position to date.  Alex Azar, the US health secretary warns "This is a very serious situation, the window is closing [to stop virus spread]. We have to act, and people as individuals have to act responsibly. We need to social distance, we need to wear our face coverings.."</t>
  </si>
  <si>
    <t>Tom Frieden, the former director of the CDC, saying that the southern states had reopended too soon "If you open when cases are still increasing, as many states did, it’s like leaning into a left hook. You’re going to get hit hard. And that’s what’s happening."</t>
  </si>
  <si>
    <t>Snapchat stops promoting Trump's account for inciting violence</t>
  </si>
  <si>
    <t>Twitch temporarily bans Trump for hateful conduct and Reddit removes 2,000 communities citing hate speech, including Trumps.  YouTube has banned a group of far right creators.  Facebook has faced a number of large companies pulling their advertisements for a month, some indefinitely due to its promotion and support of discrimination, bias and hate.  Unilever has said that their advertising campaign ban will also cover Instagram.  In response, many republicans have begun to switch to social app Parler, hijacking it as a conservative echo chamber.</t>
  </si>
  <si>
    <t>CDC principal deputy director Dr Anne Schuchat warned Coronavirus is spreading too quickly and too broadly for America to bring it under control as concern is being expressed of a new swine flu emerging in China "G4 EA H1N1" that has the makings of another pandemic.  Meanwhile, the EU has barred travelers from the US, Brazil, and Russia as it begins to open its borders to 14 overseas countries with the list of allowed countries to be revisited every fortnight.</t>
  </si>
  <si>
    <t>Pfizer and BioNTech have advanced a flu vaccine to human trials that have shown immune responses but also cause fever and other side effects.  In total, there are now 178 vaccines in development</t>
  </si>
  <si>
    <t>Trump campaign has cancelled plans to hold a rally in Alabama next week amid concerns about rising coronavirus infections but Trump will attend Mt Rushmore for July 4 celebrations (on July 3) where social distancing measures will not be enforced.  New York, New Jersey, and Connecticut now has 16 states where travellers from those states must enter a 14 day quarantine on arrival.</t>
  </si>
  <si>
    <t>WHO director-general Tedros Adhanom Ghebreyesus "Although many countries have made some progress globally, the pandemic is actually speeding up. We're all in this together and we're all in this for the long haul. We have already lost so much but we cannot lose hope. The six-month anniversary of the outbreak coincides with reaching 10 million cases and 500,000 deaths. This is a moment for all of us to reflect on the progress we have made and the lessons we have learned, and to recommit ourselves to doing everything we can to save lives. Six months ago, none of us could have imagined how our world -- and our lives -- would be thrown into turmoil by this new virus."</t>
  </si>
  <si>
    <t>Fauci warns that new coronavirus cases could go up to 100,000 a day if the current upward trend in cases in some states continues and highlights that there is no guarantee that there will be a safe and effective vaccine developed. Robert Redfield noted that only 5%-8% of the US population had "experienced this virus" and Fauci highlighted that it was not known how long immunity lasted.</t>
  </si>
  <si>
    <t>Trump when asked if he thought that the virus will simply disappear: "I do. I do. Yeah sure.  At some point. And I think we're going to have a vaccine very soon too.  We're headed back in a very strong fashion… And I think we're going to be very good with the coronavirus."</t>
  </si>
  <si>
    <t>Cuomo: "The buck stops on the president’s desk. He was in denial. He has been denying what every health expert in America has been saying. Come clean with the American people. At least have the courage to admit what everybody else already knows: you were wrong. Denying reality does not defeat reality. He has lived in denial, and he has been denying the scientific facts since day one. Reality wins and reality won, and now the country is suffering because of the president."</t>
  </si>
  <si>
    <t>Trump "Actually, I had a mask on. I sort of liked the way I looked, okay? I thought it was okay. Looked like the Lone Ranger. But no, I have no problem with that. I think if people feel good about it, they should do it."  Overlooking that the Lone Ranger's mask only masked the area around his eyes, not his nose or mouth, first time that Trump has shown any support for wearing a mask in relation to coronavirus</t>
  </si>
  <si>
    <t>Trump attends Independence day celebrations on eve of Independence day at Mt Rushmore against protests from the local Native Americans. Several thousand attend, most not exercising social distancing or wearing masks.  Emphasis of his speech was on protecting monuments against "a merciless campaign to wipe out our history, defame our heroes, erase our values, and indoctrinate our children." On the topic, he announced an executive order creating a "National Garden of American Heroes" to feature statues of presidents and other American figures.  He accused demonstrators, journalists, and educators of a "far-left fascism... designed to overthrow the American revolution. Their goal is to end America. In its place they want power for themselves."</t>
  </si>
  <si>
    <t>Trump lashed out at New York City Mayor Bill de Blasio for moving ahead with plans to paint “Black Lives Matter” along Fifth Avenue in Manhattan, calling the mural a "symbol of hate." Trump also criticized city officials for agreeing to shift roughly $1 billion from the police department as part of its budget for the coming year. He complained that the financial cuts, paired with plans to paint the mural along Fifth Avenue, were an affront to law enforcement.</t>
  </si>
  <si>
    <t>Trump "We got hit by the virus that came from China, we’ve made a lot of progress. Our strategy is moving along well. It goes out in one area, it rears back its ugly face in another area. But we’ve learned a lot. We’ve learned how to put out the flame. Now we have tested almost 40m people. By so doing, we show cases, 99% of which are totally harmless. Results that no other country can show because no other country has the testing that we have, not in terms of the numbers or in terms of quality. China’s secrecy, deceptions and cover up allowed it to spread all over the world. One hundred and eighty-nine countries and China must be held fully accountable. We’ll likely have a therapeutic and/or vaccine solution long before the end of the year. ... We are now in the process of defeating the radical left, the Marxists, the anarchists, the agitators, the looters, and people who in many instances have absolutely no clue what they are doing. We will never allow an angry mob to tear down our statues, erase our history, indoctrinate our children or trample on our freedoms ... We will teach our children to cherish and adore our country so they can build its future. Together, we will fight for the American dream. ... In every age, there have always been those who lie about the past in order to gain power in the present ... Their goal is demolition. Our goal is not to destroy the greatest structure on earth, what we have built, the United States of America. ... We will not throw away our heroes. We will honour them and we will prove worthy of their sacrifice ... The patriots who built our country were not villains. They were heroes."</t>
  </si>
  <si>
    <t>239 scientists in 39 countries ask WHO to revise their recommendations to say that coronavirus is airborne.  "Especially in the last couple of months, we have been stating several times that we consider airborne transmission as possible but certainly not supported by solid or even clear evidence," Dr Benedetta Allegranzi, the WHO's technical lead of infection prevention and control</t>
  </si>
  <si>
    <t>Trump administration begins formal withdrawal from WHO, with a 1 year withdrawal timeline</t>
  </si>
  <si>
    <t>Pence urged schools to reopen while Trump threatened to withhold funding from schools that don't reopen.</t>
  </si>
  <si>
    <t>Tredos Adhonom Ghebreyesus tweets: "This is a time for self-reflection, for all of us involved in the #COVID19 response to look in the mirror; to look at the world we live in and to find ways to strengthen our collaboration as we work together to save lives and bring this pandemic under control. We are in the midst of the battle of our lives, and we have to do better. Not just now, but for the future. Because these threats will never stop, and in all likelihood they will get worse. Together! #COVID19". Dr Tredos also said "Make no mistake: the greatest threat we face now is not the virus itself - rather, its the lack of leadership and solidarity at the global and national levels. We cannot defeat this pandemic as a divided world. The virus thrives on division but is thwarted when we unite. How is it difficult for humans to unite to fight a common enemy that's killing people indiscriminately? Together is the solution, unless we want to give the advantage the enemy, to the virus that has taken the world hostage - and this has to stop. All of us must look in the mirror: WHO, every member state, all involved in the response. Everyone. We're in the midst of this battle. The battle of our lives, and we have to do better, not just now but for the future. Because these threats will never stop and, in all likelihood, they will get worse."</t>
  </si>
  <si>
    <t>The WHO announces an independent panel to review its handling of the COVID-19 pandemic and govt responses, with former NZ PM Helen Clark and former Liberian President Ellen Johnson Sirleaf as co-chairs.  They will pick their own panel members and will have their own secretariat, with an interim report due Nov, and the full report due May 2021</t>
  </si>
  <si>
    <t>Fauci "Any state that is having a serious problem, that state should seriously look at shutting down" again.</t>
  </si>
  <si>
    <t>Trump tweets "For the 1/100th time, the reason we show so many Cases, compared to other countries that haven’t done nearly as well as we have, is that our TESTING is much bigger and better. We have tested 40,000,000 people. If we did 20,000,000 instead, Cases would be half, etc. NOT REPORTED!"</t>
  </si>
  <si>
    <t>Trump "I disagree with him. You know, Dr Fauci said 'don’t wear masks' and now he says 'wear them'. And you know, he’s said numerous things: 'Don’t close off China. Don’t ban China.'  And I did it anyway. I sort of didn’t listen to my experts and I banned China."  Stating "We’ve done a good job. I think we are going to be – in two, three, four weeks, by the time we next speak, I think we are going to be in very good shape."  In the interview "We have cases all over the place. Most of the cases immediately get better, they are people, young people, they have sniffles and two days later they are fine and they are not sick to start." The last time Fauci briefed Trump was at least 2 months previous.</t>
  </si>
  <si>
    <t>Leaked internal White House deliberations reveal that the White House believes "that people will get over it or if we stop highlighting it, the base will move on and the public will learn to accept 50,000 to 100,000 new cases a day."</t>
  </si>
  <si>
    <t>Trump appears in public wearing a mask for the first time during a visit to the Walter Reed National Military Medical Center outside Washingotm.  Walt Disney World in Florida reopens for the first time in 4 months, despite a huge surge of coronavirus cases in the state.</t>
  </si>
  <si>
    <t>Fauci "We haven't even begun to see the end of it yet.  Look at the films on TV of people in some states going from shutdown to completely throwing caution to the wind … there are things you can do now: physical distancing, wearing a mask, avoiding crowds, washing hands. Those things, as simple as they are, can turn it around."</t>
  </si>
  <si>
    <t>Fauci "Republican, Democrat, anybody else, we are all in this together. I believe for the most part you can trust respected medical authorities. I believe I’m one of them, so I think you can trust me … [and other experts] who have a track record of telling the truth."</t>
  </si>
  <si>
    <t>Fauci to Mark Zuckerberg of Facebook: "Time out. Look what’s happened … there really is no reason that we’re having 40,000, 50,000, 60,000 [new US cases a day], other than we are not doing something correctly." He also told revelers it’s "not just you in a vacuum. You’re propagating the pandemic."</t>
  </si>
  <si>
    <t>Fauci "We’ve got to have a delicate balance of carefully and prudently going towards normality and opening up at the same time that we contain and not allow these surges. Staying shut down has economic, employment, health and other negative consequences that are significant [but] we need to get better control."</t>
  </si>
  <si>
    <t>Camouflaged and unidentified federal agents are snatching and arresting protesters in Portland with no explanation.</t>
  </si>
  <si>
    <t>The WH release a list of around a dozen times that Dr Fauci had been "wrong", listing Fauci's comments in Jan that coronavirus was "not a major threat" and his guidance in Mar that "people should not be walking around with masks."</t>
  </si>
  <si>
    <t>UK King's College longitudinal study of recovered COVID-19 patients has found that antibody levels to the virus show steep declines 3 months after infection, suggesting that COVID-19 could be a yearly recurring infection like common colds.</t>
  </si>
  <si>
    <t>Trump retweets game show host Chuck Woolery "The most outrageous lies are the ones about Covid 19. Everyone is lying. The CDC, Media, Democrats, our Doctors, not all but most ,that we are told to trust. I think it's all about the election and keeping the economy from coming back, which is about the election. I'm sick of it."</t>
  </si>
  <si>
    <t>Trump retweets Woolery's podcast cohost Mark Young "So based on Dr. Fauci and the Democrats, I will need an ID card to go shopping but not to vote?"</t>
  </si>
  <si>
    <t>Fauci "I don’t think it’s an exaggeration to say we have a serious ongoing problem, right now, as we speak. What worries me is the slope of the curve. It still looks like it’s exponential. I think we have to realise that some states jumped ahead of themselves. Other states did it correctly. But the citizenry didn’t listen to the guidelines and they decided they were going to stay in bars and go to congregations of crowds and celebrations. ... I have a reputation, as you probably have figured out, of speaking the truth at all times and not sugar-coating things. And that may be one of the reasons why I haven’t been on television very much lately."</t>
  </si>
  <si>
    <t>Dr Tredo "I want to be straight with you: there will be no return to the 'old normal' for the foreseeable future. Let me blunt: too many countries are headed in the wrong direction. The virus remains public enemy number one, but the actions of many governments and people do not reflect this." If governments do not roll out a comprehensive strategy to suppress transmission of the virus, and if the public do not follow the basics, "there is only one way this pandemic is going to go. It's going to get worse and worse and worse."</t>
  </si>
  <si>
    <t>The Trump administration rescinds its policy barring international students who take online courses from staying in the US.</t>
  </si>
  <si>
    <t>Fauci in response to the WH attempting to undermine him: "You know, it is a bit bizarre. I don't really fully understand it. ... I think if you talk to reasonable people in the White House they realise that was a major mistake on their part because it doesn't do anything but reflect poorly on them. And I don't think that was their intention. I cannot figure out in my wildest dreams why they would want to do that. ... One of the things that's part of the problem is the dynamics of the divisiveness that is going on now that it becomes difficult to engage in a dialogue of honest evaluation of what's gone right and what's gone wrong. We've got to own this, reset this and say OK, let's stop this nonsense and figure out how can we get our control over this now."</t>
  </si>
  <si>
    <t>WH Press Secretary Kayleigh McEnany "The president has said unmistakably that he wants schools to open. And when he says open, he means open and full, kids being able to attend each and every day. The science should not stand in the way of this. The science is on our side here."</t>
  </si>
  <si>
    <t>The Trump adminstration has ordered hospitals to bypass the CDC and send all COVID-19 patient information to Washington beginning Wed 15/7</t>
  </si>
  <si>
    <t>Republican Senators are requesting more money to be allocated to the CDC in the next round of stimulus funding while the WH argues that there is sufficient funding already for the CDC.  Senate Republicans were also seeking $25 billion for states to conduct testing and contact tracing, but the WH administration wants to zero out the testing and contact tracing money entirely.</t>
  </si>
  <si>
    <t>Believed to have originated in Kansas, origin still uncertain - 1918 - 1919 with small fourth wave in 1920</t>
  </si>
  <si>
    <t>https://www.cdc.gov/covid-data-tracker/index.html#demographics</t>
  </si>
  <si>
    <t>Cases by Age Group</t>
  </si>
  <si>
    <t>Deaths by Age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</si>
</sst>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s>
  <fonts count="11"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23">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CFF"/>
        <bgColor indexed="64"/>
      </patternFill>
    </fill>
    <fill>
      <patternFill patternType="solid">
        <fgColor rgb="FFFFE7FF"/>
        <bgColor indexed="64"/>
      </patternFill>
    </fill>
    <fill>
      <patternFill patternType="solid">
        <fgColor rgb="FFD5B9FF"/>
        <bgColor indexed="64"/>
      </patternFill>
    </fill>
    <fill>
      <patternFill patternType="solid">
        <fgColor rgb="FFE8D9FF"/>
        <bgColor indexed="64"/>
      </patternFill>
    </fill>
  </fills>
  <borders count="23">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bottom/>
      <diagonal/>
    </border>
    <border>
      <left/>
      <right style="dotted">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style="thin">
        <color rgb="FFFF0000"/>
      </left>
      <right style="thin">
        <color rgb="FFFF0000"/>
      </right>
      <top style="thin">
        <color rgb="FFFF0000"/>
      </top>
      <bottom style="thin">
        <color rgb="FFFF0000"/>
      </bottom>
      <diagonal/>
    </border>
    <border>
      <left/>
      <right style="dotted">
        <color indexed="64"/>
      </right>
      <top/>
      <bottom/>
      <diagonal/>
    </border>
    <border>
      <left/>
      <right style="thin">
        <color rgb="FFFF0000"/>
      </right>
      <top style="thin">
        <color rgb="FFFF0000"/>
      </top>
      <bottom style="thin">
        <color rgb="FFFF0000"/>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68" fontId="8" fillId="0" borderId="0"/>
  </cellStyleXfs>
  <cellXfs count="354">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4" fillId="8" borderId="12" xfId="0" applyFont="1"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9" fontId="0" fillId="0" borderId="0" xfId="0" applyNumberFormat="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2" xfId="0" applyNumberFormat="1" applyFill="1" applyBorder="1" applyAlignment="1">
      <alignment horizontal="center"/>
    </xf>
    <xf numFmtId="3" fontId="0" fillId="10" borderId="14" xfId="0" applyNumberFormat="1" applyFill="1" applyBorder="1" applyAlignment="1">
      <alignment horizontal="center"/>
    </xf>
    <xf numFmtId="0" fontId="0" fillId="7" borderId="13" xfId="0" applyFill="1" applyBorder="1"/>
    <xf numFmtId="0" fontId="0" fillId="7" borderId="14" xfId="0" applyFill="1" applyBorder="1"/>
    <xf numFmtId="3" fontId="0" fillId="7" borderId="14" xfId="0" applyNumberFormat="1" applyFill="1" applyBorder="1"/>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9" fontId="5" fillId="9" borderId="2" xfId="1" applyNumberFormat="1"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9" fillId="4" borderId="0" xfId="0" applyNumberFormat="1" applyFont="1" applyFill="1" applyBorder="1"/>
    <xf numFmtId="9" fontId="9" fillId="4" borderId="4" xfId="0" applyNumberFormat="1" applyFont="1" applyFill="1" applyBorder="1"/>
    <xf numFmtId="0" fontId="0" fillId="0" borderId="9" xfId="0" applyBorder="1"/>
    <xf numFmtId="0" fontId="0" fillId="0" borderId="10" xfId="0" applyBorder="1"/>
    <xf numFmtId="0" fontId="0" fillId="0" borderId="11" xfId="0" applyBorder="1"/>
    <xf numFmtId="0" fontId="10" fillId="0" borderId="0" xfId="0" applyFont="1" applyBorder="1"/>
    <xf numFmtId="3" fontId="0" fillId="2" borderId="14" xfId="0" applyNumberFormat="1" applyFill="1" applyBorder="1"/>
    <xf numFmtId="3" fontId="9" fillId="4" borderId="14" xfId="0" applyNumberFormat="1" applyFont="1" applyFill="1" applyBorder="1"/>
    <xf numFmtId="3" fontId="9" fillId="4" borderId="15" xfId="0" applyNumberFormat="1" applyFont="1" applyFill="1" applyBorder="1"/>
    <xf numFmtId="170" fontId="9" fillId="4" borderId="14" xfId="0" applyNumberFormat="1" applyFont="1" applyFill="1" applyBorder="1"/>
    <xf numFmtId="170" fontId="9" fillId="4" borderId="15" xfId="0" applyNumberFormat="1" applyFont="1" applyFill="1" applyBorder="1"/>
    <xf numFmtId="3" fontId="9"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9" fillId="4" borderId="0" xfId="0" applyNumberFormat="1" applyFont="1" applyFill="1" applyBorder="1"/>
    <xf numFmtId="171" fontId="9" fillId="4" borderId="4" xfId="0" applyNumberFormat="1" applyFont="1" applyFill="1" applyBorder="1"/>
    <xf numFmtId="171" fontId="9" fillId="4" borderId="8" xfId="0" applyNumberFormat="1" applyFont="1" applyFill="1" applyBorder="1"/>
    <xf numFmtId="171" fontId="9"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9" fillId="4" borderId="7" xfId="0" applyNumberFormat="1" applyFont="1" applyFill="1" applyBorder="1"/>
    <xf numFmtId="171" fontId="9" fillId="4" borderId="2" xfId="0" applyNumberFormat="1" applyFont="1" applyFill="1" applyBorder="1"/>
    <xf numFmtId="171" fontId="0" fillId="0" borderId="7" xfId="0" applyNumberFormat="1" applyBorder="1"/>
    <xf numFmtId="0" fontId="10" fillId="0" borderId="0" xfId="0" applyFont="1"/>
    <xf numFmtId="3" fontId="9" fillId="4" borderId="8" xfId="0" applyNumberFormat="1" applyFont="1" applyFill="1" applyBorder="1"/>
    <xf numFmtId="3" fontId="9" fillId="4" borderId="6"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3" fontId="0" fillId="9" borderId="12" xfId="0" applyNumberFormat="1" applyFill="1" applyBorder="1"/>
    <xf numFmtId="171" fontId="0" fillId="4" borderId="7" xfId="0" applyNumberFormat="1" applyFill="1" applyBorder="1"/>
    <xf numFmtId="164" fontId="9" fillId="4" borderId="0" xfId="0" applyNumberFormat="1" applyFont="1" applyFill="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4" fontId="0" fillId="0" borderId="14" xfId="0" applyNumberFormat="1" applyFill="1" applyBorder="1"/>
    <xf numFmtId="0" fontId="4" fillId="0" borderId="0" xfId="0" applyFont="1" applyAlignment="1">
      <alignment horizontal="center" vertical="center" wrapText="1"/>
    </xf>
    <xf numFmtId="9" fontId="0" fillId="0" borderId="0" xfId="0" applyNumberFormat="1" applyAlignment="1">
      <alignment vertical="center" wrapText="1"/>
    </xf>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171" fontId="0" fillId="0" borderId="0" xfId="0" applyNumberFormat="1" applyFill="1"/>
    <xf numFmtId="14" fontId="0" fillId="0" borderId="15" xfId="0" applyNumberFormat="1" applyFill="1" applyBorder="1"/>
    <xf numFmtId="9" fontId="9" fillId="0" borderId="16" xfId="0" applyNumberFormat="1" applyFont="1" applyFill="1" applyBorder="1"/>
    <xf numFmtId="171" fontId="9" fillId="0" borderId="16" xfId="0" applyNumberFormat="1" applyFont="1" applyFill="1" applyBorder="1"/>
    <xf numFmtId="171" fontId="9" fillId="0" borderId="16" xfId="0" applyNumberFormat="1" applyFont="1" applyBorder="1"/>
    <xf numFmtId="9" fontId="5" fillId="0" borderId="0" xfId="1" applyNumberFormat="1" applyFill="1" applyBorder="1"/>
    <xf numFmtId="166" fontId="0" fillId="9" borderId="7" xfId="0" applyNumberFormat="1" applyFill="1" applyBorder="1"/>
    <xf numFmtId="166" fontId="0" fillId="9" borderId="8" xfId="0" applyNumberFormat="1" applyFill="1" applyBorder="1"/>
    <xf numFmtId="14" fontId="9" fillId="0" borderId="17" xfId="0" applyNumberFormat="1" applyFont="1" applyFill="1" applyBorder="1"/>
    <xf numFmtId="0" fontId="9" fillId="0" borderId="0" xfId="0" applyFont="1" applyFill="1"/>
    <xf numFmtId="171" fontId="0" fillId="0" borderId="0" xfId="0" applyNumberFormat="1"/>
    <xf numFmtId="170" fontId="0" fillId="0" borderId="11" xfId="0" applyNumberFormat="1" applyBorder="1"/>
    <xf numFmtId="0" fontId="0" fillId="4" borderId="0" xfId="0" applyFill="1"/>
    <xf numFmtId="14" fontId="0" fillId="0" borderId="0" xfId="0" applyNumberFormat="1" applyBorder="1"/>
    <xf numFmtId="3" fontId="0" fillId="17" borderId="14" xfId="0" applyNumberFormat="1" applyFill="1" applyBorder="1"/>
    <xf numFmtId="171" fontId="0" fillId="18" borderId="3" xfId="0" applyNumberFormat="1" applyFill="1" applyBorder="1"/>
    <xf numFmtId="171" fontId="0" fillId="18" borderId="0" xfId="0" applyNumberFormat="1" applyFill="1" applyBorder="1"/>
    <xf numFmtId="3" fontId="0" fillId="17" borderId="13" xfId="0" applyNumberFormat="1" applyFill="1" applyBorder="1"/>
    <xf numFmtId="3" fontId="0" fillId="0" borderId="13" xfId="0" applyNumberFormat="1" applyFill="1" applyBorder="1" applyAlignment="1">
      <alignment horizontal="center"/>
    </xf>
    <xf numFmtId="14" fontId="0" fillId="2" borderId="0" xfId="0" applyNumberFormat="1" applyFill="1"/>
    <xf numFmtId="14" fontId="0" fillId="13" borderId="0" xfId="0" applyNumberFormat="1" applyFill="1"/>
    <xf numFmtId="0" fontId="0" fillId="13" borderId="0" xfId="0" applyFill="1"/>
    <xf numFmtId="171" fontId="0" fillId="9" borderId="3" xfId="0" applyNumberFormat="1" applyFill="1" applyBorder="1"/>
    <xf numFmtId="171" fontId="0" fillId="3" borderId="0" xfId="0" applyNumberFormat="1" applyFill="1" applyBorder="1"/>
    <xf numFmtId="0" fontId="0" fillId="2" borderId="0" xfId="0" applyFill="1"/>
    <xf numFmtId="14" fontId="0" fillId="4" borderId="18" xfId="0" applyNumberFormat="1" applyFill="1" applyBorder="1"/>
    <xf numFmtId="14" fontId="0" fillId="15" borderId="19" xfId="0" applyNumberFormat="1" applyFill="1" applyBorder="1"/>
    <xf numFmtId="14" fontId="0" fillId="16" borderId="19" xfId="0" applyNumberFormat="1" applyFill="1" applyBorder="1"/>
    <xf numFmtId="14" fontId="0" fillId="10" borderId="19" xfId="0" applyNumberFormat="1" applyFill="1" applyBorder="1"/>
    <xf numFmtId="14" fontId="0" fillId="4" borderId="19" xfId="0" applyNumberFormat="1" applyFill="1" applyBorder="1"/>
    <xf numFmtId="14" fontId="0" fillId="0" borderId="19" xfId="0" applyNumberFormat="1" applyFill="1" applyBorder="1"/>
    <xf numFmtId="14" fontId="0" fillId="8" borderId="19" xfId="0" applyNumberFormat="1" applyFill="1" applyBorder="1"/>
    <xf numFmtId="14" fontId="0" fillId="8" borderId="14" xfId="0" applyNumberFormat="1" applyFill="1" applyBorder="1"/>
    <xf numFmtId="166" fontId="0" fillId="9" borderId="0" xfId="0" applyNumberFormat="1" applyFill="1" applyBorder="1"/>
    <xf numFmtId="0" fontId="0" fillId="19" borderId="20" xfId="0" applyFill="1" applyBorder="1"/>
    <xf numFmtId="3" fontId="0" fillId="19" borderId="20" xfId="0" applyNumberFormat="1" applyFill="1" applyBorder="1"/>
    <xf numFmtId="3" fontId="0" fillId="20" borderId="0" xfId="0" applyNumberFormat="1" applyFill="1"/>
    <xf numFmtId="3" fontId="0" fillId="21" borderId="20" xfId="0" applyNumberFormat="1" applyFill="1" applyBorder="1"/>
    <xf numFmtId="3" fontId="0" fillId="22" borderId="0" xfId="0" applyNumberFormat="1" applyFill="1"/>
    <xf numFmtId="164" fontId="0" fillId="9" borderId="2" xfId="0" applyNumberFormat="1" applyFill="1" applyBorder="1"/>
    <xf numFmtId="17" fontId="0" fillId="0" borderId="0" xfId="0" applyNumberFormat="1" applyFill="1"/>
    <xf numFmtId="14" fontId="0" fillId="0" borderId="12" xfId="0" applyNumberFormat="1" applyFill="1" applyBorder="1"/>
    <xf numFmtId="3" fontId="0" fillId="21" borderId="18" xfId="0" applyNumberFormat="1" applyFill="1" applyBorder="1"/>
    <xf numFmtId="3" fontId="0" fillId="9" borderId="2" xfId="0" applyNumberFormat="1" applyFill="1" applyBorder="1"/>
    <xf numFmtId="3" fontId="0" fillId="22" borderId="0" xfId="0" applyNumberFormat="1" applyFill="1" applyBorder="1"/>
    <xf numFmtId="3" fontId="0" fillId="20" borderId="0" xfId="0" applyNumberFormat="1" applyFill="1" applyBorder="1"/>
    <xf numFmtId="0" fontId="5" fillId="0" borderId="0" xfId="1"/>
    <xf numFmtId="0" fontId="4" fillId="0" borderId="0" xfId="0" applyFont="1"/>
    <xf numFmtId="3" fontId="0" fillId="2" borderId="0" xfId="0" applyNumberFormat="1" applyFill="1"/>
    <xf numFmtId="0" fontId="0" fillId="2" borderId="8" xfId="0" applyFill="1" applyBorder="1"/>
    <xf numFmtId="14" fontId="0" fillId="2" borderId="8" xfId="0" applyNumberFormat="1" applyFill="1" applyBorder="1"/>
    <xf numFmtId="3" fontId="0" fillId="6" borderId="0" xfId="0" applyNumberFormat="1" applyFill="1"/>
    <xf numFmtId="14" fontId="0" fillId="6" borderId="0" xfId="0" applyNumberFormat="1" applyFill="1"/>
    <xf numFmtId="3" fontId="0" fillId="6" borderId="0" xfId="0" applyNumberFormat="1" applyFill="1" applyBorder="1"/>
    <xf numFmtId="10" fontId="0" fillId="6" borderId="0" xfId="0" applyNumberFormat="1" applyFill="1"/>
    <xf numFmtId="14" fontId="0" fillId="6" borderId="8" xfId="0" applyNumberFormat="1" applyFill="1" applyBorder="1"/>
    <xf numFmtId="0" fontId="0" fillId="6" borderId="8" xfId="0" applyFill="1" applyBorder="1"/>
    <xf numFmtId="0" fontId="0" fillId="0" borderId="0" xfId="0" applyFont="1"/>
    <xf numFmtId="3" fontId="0" fillId="0" borderId="8" xfId="0" applyNumberFormat="1" applyFill="1" applyBorder="1"/>
    <xf numFmtId="0" fontId="0" fillId="0" borderId="8" xfId="0" applyFill="1" applyBorder="1"/>
    <xf numFmtId="3" fontId="0" fillId="6" borderId="8" xfId="0" applyNumberFormat="1" applyFill="1" applyBorder="1"/>
    <xf numFmtId="3" fontId="0" fillId="6" borderId="0" xfId="0" applyNumberFormat="1" applyFill="1" applyAlignment="1">
      <alignment horizontal="right"/>
    </xf>
    <xf numFmtId="3" fontId="0" fillId="6" borderId="8" xfId="0" applyNumberFormat="1" applyFill="1" applyBorder="1" applyAlignment="1">
      <alignment horizontal="right"/>
    </xf>
    <xf numFmtId="3" fontId="0" fillId="0" borderId="0" xfId="0" applyNumberFormat="1" applyAlignment="1">
      <alignment horizontal="right"/>
    </xf>
    <xf numFmtId="3" fontId="0" fillId="0" borderId="8" xfId="0" applyNumberFormat="1" applyBorder="1" applyAlignment="1">
      <alignment horizontal="right"/>
    </xf>
    <xf numFmtId="0" fontId="0" fillId="6" borderId="0" xfId="0" applyFont="1" applyFill="1"/>
    <xf numFmtId="3" fontId="0" fillId="6" borderId="0" xfId="0" applyNumberFormat="1" applyFont="1" applyFill="1" applyAlignment="1">
      <alignment horizontal="right"/>
    </xf>
    <xf numFmtId="3" fontId="0" fillId="0" borderId="12" xfId="0" applyNumberFormat="1" applyBorder="1"/>
    <xf numFmtId="14" fontId="0" fillId="2" borderId="0" xfId="0" applyNumberFormat="1" applyFill="1" applyBorder="1"/>
    <xf numFmtId="0" fontId="4" fillId="0" borderId="8" xfId="0" applyFont="1" applyBorder="1" applyAlignment="1">
      <alignment wrapText="1"/>
    </xf>
    <xf numFmtId="0" fontId="0" fillId="0" borderId="0" xfId="0" applyAlignment="1">
      <alignment wrapText="1"/>
    </xf>
    <xf numFmtId="0" fontId="4" fillId="0" borderId="1" xfId="0" applyFont="1" applyBorder="1" applyAlignment="1">
      <alignment wrapText="1"/>
    </xf>
    <xf numFmtId="0" fontId="4" fillId="0" borderId="7" xfId="0" applyFont="1" applyBorder="1" applyAlignment="1">
      <alignment wrapText="1"/>
    </xf>
    <xf numFmtId="0" fontId="4" fillId="0" borderId="2" xfId="0" applyFont="1" applyBorder="1" applyAlignment="1">
      <alignment wrapText="1"/>
    </xf>
    <xf numFmtId="14" fontId="0" fillId="0" borderId="3" xfId="0" applyNumberFormat="1" applyBorder="1"/>
    <xf numFmtId="0" fontId="4" fillId="0" borderId="0" xfId="0" applyFont="1" applyBorder="1"/>
    <xf numFmtId="0" fontId="4" fillId="0" borderId="3" xfId="0" applyFont="1" applyBorder="1"/>
    <xf numFmtId="165" fontId="0" fillId="6" borderId="0" xfId="0" applyNumberFormat="1" applyFill="1"/>
    <xf numFmtId="170" fontId="0" fillId="2" borderId="0" xfId="0" applyNumberFormat="1" applyFill="1"/>
    <xf numFmtId="169" fontId="0" fillId="6" borderId="0" xfId="0" applyNumberFormat="1" applyFill="1"/>
    <xf numFmtId="1" fontId="0" fillId="2" borderId="0" xfId="0" applyNumberFormat="1" applyFill="1"/>
    <xf numFmtId="0" fontId="0" fillId="6" borderId="0" xfId="0" applyFill="1" applyAlignment="1">
      <alignment horizontal="left" indent="1"/>
    </xf>
    <xf numFmtId="0" fontId="4" fillId="0" borderId="0" xfId="0" applyFont="1" applyBorder="1" applyAlignment="1">
      <alignment wrapText="1"/>
    </xf>
    <xf numFmtId="0" fontId="4" fillId="0" borderId="3" xfId="0" applyFont="1" applyBorder="1" applyAlignment="1">
      <alignment wrapText="1"/>
    </xf>
    <xf numFmtId="0" fontId="4" fillId="0" borderId="4" xfId="0" applyFont="1" applyBorder="1" applyAlignment="1">
      <alignment wrapText="1"/>
    </xf>
    <xf numFmtId="0" fontId="0" fillId="0" borderId="0" xfId="0" applyFont="1" applyBorder="1" applyAlignment="1">
      <alignment wrapText="1"/>
    </xf>
    <xf numFmtId="0" fontId="0" fillId="0" borderId="0" xfId="0" applyAlignment="1"/>
    <xf numFmtId="17" fontId="0" fillId="2" borderId="0" xfId="0" applyNumberFormat="1" applyFill="1"/>
    <xf numFmtId="3" fontId="0" fillId="0" borderId="14" xfId="0" applyNumberFormat="1" applyBorder="1" applyAlignment="1">
      <alignment horizontal="right"/>
    </xf>
    <xf numFmtId="14" fontId="0" fillId="2" borderId="14" xfId="0" applyNumberFormat="1" applyFill="1" applyBorder="1"/>
    <xf numFmtId="10" fontId="0" fillId="0" borderId="14" xfId="0" applyNumberFormat="1" applyBorder="1"/>
    <xf numFmtId="10" fontId="0" fillId="0" borderId="0" xfId="0" applyNumberFormat="1" applyFill="1"/>
    <xf numFmtId="167" fontId="0" fillId="6" borderId="0" xfId="0" applyNumberFormat="1" applyFill="1"/>
    <xf numFmtId="9" fontId="0" fillId="0" borderId="0" xfId="0" applyNumberFormat="1" applyFill="1"/>
    <xf numFmtId="9" fontId="0" fillId="0" borderId="0" xfId="0" applyNumberFormat="1" applyFont="1" applyBorder="1" applyAlignment="1">
      <alignment wrapText="1"/>
    </xf>
    <xf numFmtId="167" fontId="0" fillId="0" borderId="14" xfId="0" applyNumberFormat="1" applyBorder="1"/>
    <xf numFmtId="167" fontId="0" fillId="0" borderId="0" xfId="0" applyNumberFormat="1" applyFill="1"/>
    <xf numFmtId="167" fontId="0" fillId="0" borderId="8" xfId="0" applyNumberFormat="1" applyFill="1" applyBorder="1"/>
    <xf numFmtId="3" fontId="9" fillId="3" borderId="14" xfId="0" applyNumberFormat="1" applyFont="1" applyFill="1" applyBorder="1"/>
    <xf numFmtId="170" fontId="9" fillId="3" borderId="14" xfId="0" applyNumberFormat="1" applyFont="1" applyFill="1" applyBorder="1"/>
    <xf numFmtId="170" fontId="9" fillId="18" borderId="14" xfId="0" applyNumberFormat="1" applyFont="1" applyFill="1" applyBorder="1"/>
    <xf numFmtId="3" fontId="9" fillId="8" borderId="14" xfId="0" applyNumberFormat="1" applyFont="1" applyFill="1" applyBorder="1"/>
    <xf numFmtId="3" fontId="9" fillId="2" borderId="14" xfId="0" applyNumberFormat="1" applyFont="1" applyFill="1" applyBorder="1"/>
    <xf numFmtId="0" fontId="0" fillId="0" borderId="0" xfId="0" quotePrefix="1"/>
    <xf numFmtId="171" fontId="9" fillId="0" borderId="17" xfId="0" applyNumberFormat="1" applyFont="1" applyFill="1" applyBorder="1"/>
    <xf numFmtId="9" fontId="9" fillId="0" borderId="21" xfId="0" applyNumberFormat="1" applyFont="1" applyFill="1" applyBorder="1"/>
    <xf numFmtId="171" fontId="9" fillId="0" borderId="21" xfId="0" applyNumberFormat="1" applyFont="1" applyFill="1" applyBorder="1"/>
    <xf numFmtId="3" fontId="9" fillId="0" borderId="21" xfId="0" applyNumberFormat="1" applyFont="1" applyFill="1" applyBorder="1"/>
    <xf numFmtId="0" fontId="4" fillId="8" borderId="13" xfId="0" applyFont="1" applyFill="1" applyBorder="1"/>
    <xf numFmtId="0" fontId="0" fillId="4" borderId="0" xfId="0" applyFill="1" applyBorder="1"/>
    <xf numFmtId="0" fontId="0" fillId="15" borderId="0" xfId="0" applyFill="1" applyBorder="1"/>
    <xf numFmtId="0" fontId="0" fillId="16" borderId="0" xfId="0" applyFill="1" applyBorder="1"/>
    <xf numFmtId="0" fontId="0" fillId="10" borderId="0" xfId="0" applyFill="1" applyBorder="1"/>
    <xf numFmtId="14" fontId="0" fillId="0" borderId="20" xfId="0" applyNumberFormat="1" applyBorder="1"/>
    <xf numFmtId="3" fontId="0" fillId="6" borderId="0" xfId="0" applyNumberFormat="1" applyFill="1" applyBorder="1" applyAlignment="1">
      <alignment horizontal="right"/>
    </xf>
    <xf numFmtId="10" fontId="0" fillId="6" borderId="0" xfId="0" applyNumberFormat="1" applyFill="1" applyBorder="1"/>
    <xf numFmtId="14" fontId="0" fillId="6" borderId="0" xfId="0" applyNumberForma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xf numFmtId="0" fontId="0" fillId="0" borderId="0" xfId="0" applyAlignment="1">
      <alignment vertical="center" wrapText="1"/>
    </xf>
    <xf numFmtId="0" fontId="5" fillId="0" borderId="0" xfId="1" applyFill="1"/>
    <xf numFmtId="14" fontId="0" fillId="8" borderId="22" xfId="0" applyNumberFormat="1" applyFill="1" applyBorder="1"/>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30">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E8D9FF"/>
      <color rgb="FFD5B9FF"/>
      <color rgb="FFC39BFF"/>
      <color rgb="FFFFE7FF"/>
      <color rgb="FFFFCCFF"/>
      <color rgb="FFC39BE1"/>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44110.838846527775</c:v>
                </c:pt>
                <c:pt idx="1">
                  <c:v>44113.838846527775</c:v>
                </c:pt>
                <c:pt idx="2">
                  <c:v>44116.838846527775</c:v>
                </c:pt>
                <c:pt idx="3">
                  <c:v>44119.838846527775</c:v>
                </c:pt>
                <c:pt idx="4">
                  <c:v>44122.838846527775</c:v>
                </c:pt>
                <c:pt idx="5">
                  <c:v>44125.838846527775</c:v>
                </c:pt>
                <c:pt idx="6">
                  <c:v>44128.838846527775</c:v>
                </c:pt>
                <c:pt idx="7">
                  <c:v>44131.838846527775</c:v>
                </c:pt>
                <c:pt idx="8">
                  <c:v>44134.838846527775</c:v>
                </c:pt>
                <c:pt idx="9">
                  <c:v>44137.838846527775</c:v>
                </c:pt>
                <c:pt idx="10">
                  <c:v>44140.838846527775</c:v>
                </c:pt>
                <c:pt idx="11">
                  <c:v>44143.838846527775</c:v>
                </c:pt>
                <c:pt idx="12">
                  <c:v>44146.838846527775</c:v>
                </c:pt>
                <c:pt idx="13">
                  <c:v>44149.838846527775</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71.428571428571416</c:v>
                </c:pt>
                <c:pt idx="1">
                  <c:v>142.85714285714283</c:v>
                </c:pt>
                <c:pt idx="2">
                  <c:v>285.71428571428567</c:v>
                </c:pt>
                <c:pt idx="3">
                  <c:v>571.42857142857133</c:v>
                </c:pt>
                <c:pt idx="4">
                  <c:v>1142.8571428571427</c:v>
                </c:pt>
                <c:pt idx="5">
                  <c:v>2285.7142857142853</c:v>
                </c:pt>
                <c:pt idx="6">
                  <c:v>4571.4285714285706</c:v>
                </c:pt>
                <c:pt idx="7">
                  <c:v>9142.8571428571413</c:v>
                </c:pt>
                <c:pt idx="8">
                  <c:v>18285.714285714283</c:v>
                </c:pt>
                <c:pt idx="9">
                  <c:v>36571.428571428565</c:v>
                </c:pt>
                <c:pt idx="10">
                  <c:v>73142.85714285713</c:v>
                </c:pt>
                <c:pt idx="11">
                  <c:v>146285.71428571426</c:v>
                </c:pt>
                <c:pt idx="12">
                  <c:v>292571.42857142852</c:v>
                </c:pt>
                <c:pt idx="13">
                  <c:v>585142.85714285704</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44110.838846527775</c:v>
                </c:pt>
                <c:pt idx="1">
                  <c:v>44113.838846527775</c:v>
                </c:pt>
                <c:pt idx="2">
                  <c:v>44116.838846527775</c:v>
                </c:pt>
                <c:pt idx="3">
                  <c:v>44119.838846527775</c:v>
                </c:pt>
                <c:pt idx="4">
                  <c:v>44122.838846527775</c:v>
                </c:pt>
                <c:pt idx="5">
                  <c:v>44125.838846527775</c:v>
                </c:pt>
                <c:pt idx="6">
                  <c:v>44128.838846527775</c:v>
                </c:pt>
                <c:pt idx="7">
                  <c:v>44131.838846527775</c:v>
                </c:pt>
                <c:pt idx="8">
                  <c:v>44134.838846527775</c:v>
                </c:pt>
                <c:pt idx="9">
                  <c:v>44137.838846527775</c:v>
                </c:pt>
                <c:pt idx="10">
                  <c:v>44140.838846527775</c:v>
                </c:pt>
                <c:pt idx="11">
                  <c:v>44143.838846527775</c:v>
                </c:pt>
                <c:pt idx="12">
                  <c:v>44146.838846527775</c:v>
                </c:pt>
                <c:pt idx="13">
                  <c:v>44149.838846527775</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29.761904761904756</c:v>
                </c:pt>
                <c:pt idx="1">
                  <c:v>59.523809523809511</c:v>
                </c:pt>
                <c:pt idx="2">
                  <c:v>119.04761904761902</c:v>
                </c:pt>
                <c:pt idx="3">
                  <c:v>238.09523809523805</c:v>
                </c:pt>
                <c:pt idx="4">
                  <c:v>476.19047619047609</c:v>
                </c:pt>
                <c:pt idx="5">
                  <c:v>952.38095238095218</c:v>
                </c:pt>
                <c:pt idx="6">
                  <c:v>1904.7619047619044</c:v>
                </c:pt>
                <c:pt idx="7">
                  <c:v>3809.5238095238087</c:v>
                </c:pt>
                <c:pt idx="8">
                  <c:v>7619.0476190476174</c:v>
                </c:pt>
                <c:pt idx="9">
                  <c:v>15238.095238095235</c:v>
                </c:pt>
                <c:pt idx="10">
                  <c:v>30476.19047619047</c:v>
                </c:pt>
                <c:pt idx="11">
                  <c:v>60952.38095238094</c:v>
                </c:pt>
                <c:pt idx="12">
                  <c:v>121904.76190476188</c:v>
                </c:pt>
                <c:pt idx="13">
                  <c:v>243809.52380952376</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44110.838846527775</c:v>
                </c:pt>
                <c:pt idx="1">
                  <c:v>44113.838846527775</c:v>
                </c:pt>
                <c:pt idx="2">
                  <c:v>44116.838846527775</c:v>
                </c:pt>
                <c:pt idx="3">
                  <c:v>44119.838846527775</c:v>
                </c:pt>
                <c:pt idx="4">
                  <c:v>44122.838846527775</c:v>
                </c:pt>
                <c:pt idx="5">
                  <c:v>44125.838846527775</c:v>
                </c:pt>
                <c:pt idx="6">
                  <c:v>44128.838846527775</c:v>
                </c:pt>
                <c:pt idx="7">
                  <c:v>44131.838846527775</c:v>
                </c:pt>
                <c:pt idx="8">
                  <c:v>44134.838846527775</c:v>
                </c:pt>
                <c:pt idx="9">
                  <c:v>44137.838846527775</c:v>
                </c:pt>
                <c:pt idx="10">
                  <c:v>44140.838846527775</c:v>
                </c:pt>
                <c:pt idx="11">
                  <c:v>44143.838846527775</c:v>
                </c:pt>
                <c:pt idx="12">
                  <c:v>44146.838846527775</c:v>
                </c:pt>
                <c:pt idx="13">
                  <c:v>44149.838846527775</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41.666666666666664</c:v>
                </c:pt>
                <c:pt idx="4">
                  <c:v>83.333333333333329</c:v>
                </c:pt>
                <c:pt idx="5">
                  <c:v>166.66666666666666</c:v>
                </c:pt>
                <c:pt idx="6">
                  <c:v>333.33333333333331</c:v>
                </c:pt>
                <c:pt idx="7">
                  <c:v>666.66666666666663</c:v>
                </c:pt>
                <c:pt idx="8">
                  <c:v>1333.3333333333333</c:v>
                </c:pt>
                <c:pt idx="9">
                  <c:v>2666.6666666666665</c:v>
                </c:pt>
                <c:pt idx="10">
                  <c:v>5333.333333333333</c:v>
                </c:pt>
                <c:pt idx="11">
                  <c:v>10666.666666666666</c:v>
                </c:pt>
                <c:pt idx="12">
                  <c:v>21333.333333333332</c:v>
                </c:pt>
                <c:pt idx="13">
                  <c:v>42666.666666666664</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Projections!$A$367</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Projections!$R$366:$BM$366</c15:sqref>
                  </c15:fullRef>
                </c:ext>
              </c:extLst>
              <c:f>Projections!$R$366:$AZ$366</c:f>
              <c:numCache>
                <c:formatCode>m/d/yyyy</c:formatCode>
                <c:ptCount val="35"/>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numCache>
            </c:numRef>
          </c:cat>
          <c:val>
            <c:numRef>
              <c:extLst>
                <c:ext xmlns:c15="http://schemas.microsoft.com/office/drawing/2012/chart" uri="{02D57815-91ED-43cb-92C2-25804820EDAC}">
                  <c15:fullRef>
                    <c15:sqref>Projections!$R$367:$BM$367</c15:sqref>
                  </c15:fullRef>
                </c:ext>
              </c:extLst>
              <c:f>Projections!$R$367:$AZ$367</c:f>
              <c:numCache>
                <c:formatCode>#,##0_ ;[Red]\-#,##0\ </c:formatCode>
                <c:ptCount val="35"/>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640000</c:v>
                </c:pt>
                <c:pt idx="16">
                  <c:v>768000</c:v>
                </c:pt>
                <c:pt idx="17">
                  <c:v>896000</c:v>
                </c:pt>
                <c:pt idx="18">
                  <c:v>1024000</c:v>
                </c:pt>
                <c:pt idx="19">
                  <c:v>1310720</c:v>
                </c:pt>
                <c:pt idx="20">
                  <c:v>1536000</c:v>
                </c:pt>
                <c:pt idx="21">
                  <c:v>1792000</c:v>
                </c:pt>
                <c:pt idx="22">
                  <c:v>2048000</c:v>
                </c:pt>
                <c:pt idx="23">
                  <c:v>2457600</c:v>
                </c:pt>
                <c:pt idx="24">
                  <c:v>2867200</c:v>
                </c:pt>
                <c:pt idx="25">
                  <c:v>3276800</c:v>
                </c:pt>
                <c:pt idx="26">
                  <c:v>3686400</c:v>
                </c:pt>
                <c:pt idx="27">
                  <c:v>4096000</c:v>
                </c:pt>
                <c:pt idx="28">
                  <c:v>4915200</c:v>
                </c:pt>
                <c:pt idx="29">
                  <c:v>5734400</c:v>
                </c:pt>
                <c:pt idx="30">
                  <c:v>6553600</c:v>
                </c:pt>
                <c:pt idx="31">
                  <c:v>7372800</c:v>
                </c:pt>
                <c:pt idx="32">
                  <c:v>8192000</c:v>
                </c:pt>
                <c:pt idx="33">
                  <c:v>9830400</c:v>
                </c:pt>
                <c:pt idx="34">
                  <c:v>11468800</c:v>
                </c:pt>
              </c:numCache>
            </c:numRef>
          </c:val>
          <c:smooth val="0"/>
          <c:extLst>
            <c:ext xmlns:c16="http://schemas.microsoft.com/office/drawing/2014/chart" uri="{C3380CC4-5D6E-409C-BE32-E72D297353CC}">
              <c16:uniqueId val="{00000004-8BCC-427B-903C-670C749E04E9}"/>
            </c:ext>
          </c:extLst>
        </c:ser>
        <c:ser>
          <c:idx val="1"/>
          <c:order val="1"/>
          <c:tx>
            <c:strRef>
              <c:f>Projections!$A$390</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Projections!$R$366:$BM$366</c15:sqref>
                  </c15:fullRef>
                </c:ext>
              </c:extLst>
              <c:f>Projections!$R$366:$AZ$366</c:f>
              <c:numCache>
                <c:formatCode>m/d/yyyy</c:formatCode>
                <c:ptCount val="35"/>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numCache>
            </c:numRef>
          </c:cat>
          <c:val>
            <c:numRef>
              <c:extLst>
                <c:ext xmlns:c15="http://schemas.microsoft.com/office/drawing/2012/chart" uri="{02D57815-91ED-43cb-92C2-25804820EDAC}">
                  <c15:fullRef>
                    <c15:sqref>Projections!$R$390:$BM$390</c15:sqref>
                  </c15:fullRef>
                </c:ext>
              </c:extLst>
              <c:f>Projections!$R$390:$AZ$390</c:f>
              <c:numCache>
                <c:formatCode>General</c:formatCode>
                <c:ptCount val="35"/>
                <c:pt idx="0">
                  <c:v>35</c:v>
                </c:pt>
                <c:pt idx="1">
                  <c:v>68</c:v>
                </c:pt>
                <c:pt idx="2" formatCode="#,##0">
                  <c:v>124</c:v>
                </c:pt>
                <c:pt idx="3" formatCode="#,##0">
                  <c:v>221</c:v>
                </c:pt>
                <c:pt idx="4" formatCode="#,##0">
                  <c:v>541</c:v>
                </c:pt>
                <c:pt idx="5" formatCode="#,##0">
                  <c:v>1301</c:v>
                </c:pt>
                <c:pt idx="6" formatCode="#,##0">
                  <c:v>2771</c:v>
                </c:pt>
                <c:pt idx="7" formatCode="#,##0">
                  <c:v>4604</c:v>
                </c:pt>
                <c:pt idx="8" formatCode="#,##0">
                  <c:v>9317</c:v>
                </c:pt>
                <c:pt idx="9" formatCode="#,##0">
                  <c:v>19551</c:v>
                </c:pt>
                <c:pt idx="10" formatCode="#,##0">
                  <c:v>33840</c:v>
                </c:pt>
                <c:pt idx="11" formatCode="#,##0">
                  <c:v>68905</c:v>
                </c:pt>
                <c:pt idx="12" formatCode="#,##0">
                  <c:v>124788</c:v>
                </c:pt>
                <c:pt idx="13" formatCode="#,##0">
                  <c:v>250708</c:v>
                </c:pt>
                <c:pt idx="14" formatCode="#,##0">
                  <c:v>539942</c:v>
                </c:pt>
                <c:pt idx="15" formatCode="#,##0">
                  <c:v>652474</c:v>
                </c:pt>
                <c:pt idx="16" formatCode="#,##0">
                  <c:v>770014</c:v>
                </c:pt>
                <c:pt idx="17" formatCode="#,##0">
                  <c:v>886274</c:v>
                </c:pt>
                <c:pt idx="18" formatCode="#,##0">
                  <c:v>1010356</c:v>
                </c:pt>
                <c:pt idx="19" formatCode="#,##0">
                  <c:v>1292623</c:v>
                </c:pt>
                <c:pt idx="20" formatCode="#,##0">
                  <c:v>1550294</c:v>
                </c:pt>
                <c:pt idx="21" formatCode="#,##0">
                  <c:v>1793530</c:v>
                </c:pt>
                <c:pt idx="22" formatCode="#,##0">
                  <c:v>2045549</c:v>
                </c:pt>
                <c:pt idx="23" formatCode="#,##0">
                  <c:v>2464771</c:v>
                </c:pt>
                <c:pt idx="24" formatCode="#,##0">
                  <c:v>2890588</c:v>
                </c:pt>
                <c:pt idx="25" formatCode="#,##0">
                  <c:v>3297170</c:v>
                </c:pt>
                <c:pt idx="26" formatCode="#,##0">
                  <c:v>3695025</c:v>
                </c:pt>
                <c:pt idx="27" formatCode="#,##0">
                  <c:v>4102038</c:v>
                </c:pt>
                <c:pt idx="28" formatCode="#,##0">
                  <c:v>4920098</c:v>
                </c:pt>
                <c:pt idx="29" formatCode="#,##0">
                  <c:v>5746272</c:v>
                </c:pt>
                <c:pt idx="30" formatCode="#,##0">
                  <c:v>6548312</c:v>
                </c:pt>
                <c:pt idx="31" formatCode="#,##0">
                  <c:v>7362126</c:v>
                </c:pt>
                <c:pt idx="32" formatCode="#,##0">
                  <c:v>8226538</c:v>
                </c:pt>
                <c:pt idx="33" formatCode="#,##0">
                  <c:v>9807400</c:v>
                </c:pt>
                <c:pt idx="34" formatCode="#,##0">
                  <c:v>11468800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Projections!$A$381</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Projections!$R$366:$BM$366</c15:sqref>
                  </c15:fullRef>
                </c:ext>
              </c:extLst>
              <c:f>Projections!$R$366:$AZ$366</c:f>
              <c:numCache>
                <c:formatCode>m/d/yyyy</c:formatCode>
                <c:ptCount val="35"/>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numCache>
            </c:numRef>
          </c:cat>
          <c:val>
            <c:numRef>
              <c:extLst>
                <c:ext xmlns:c15="http://schemas.microsoft.com/office/drawing/2012/chart" uri="{02D57815-91ED-43cb-92C2-25804820EDAC}">
                  <c15:fullRef>
                    <c15:sqref>Projections!$R$381:$BM$381</c15:sqref>
                  </c15:fullRef>
                </c:ext>
              </c:extLst>
              <c:f>Projections!$R$381:$AZ$381</c:f>
              <c:numCache>
                <c:formatCode>#,##0_ ;[Red]\-#,##0\ </c:formatCode>
                <c:ptCount val="35"/>
                <c:pt idx="0">
                  <c:v>0.75</c:v>
                </c:pt>
                <c:pt idx="1">
                  <c:v>1.5</c:v>
                </c:pt>
                <c:pt idx="2">
                  <c:v>3</c:v>
                </c:pt>
                <c:pt idx="3">
                  <c:v>6</c:v>
                </c:pt>
                <c:pt idx="4">
                  <c:v>12</c:v>
                </c:pt>
                <c:pt idx="5">
                  <c:v>24</c:v>
                </c:pt>
                <c:pt idx="6">
                  <c:v>48</c:v>
                </c:pt>
                <c:pt idx="7">
                  <c:v>96</c:v>
                </c:pt>
                <c:pt idx="8">
                  <c:v>192</c:v>
                </c:pt>
                <c:pt idx="9">
                  <c:v>384</c:v>
                </c:pt>
                <c:pt idx="10">
                  <c:v>768</c:v>
                </c:pt>
                <c:pt idx="11">
                  <c:v>1536</c:v>
                </c:pt>
                <c:pt idx="12">
                  <c:v>3072</c:v>
                </c:pt>
                <c:pt idx="13">
                  <c:v>6144</c:v>
                </c:pt>
                <c:pt idx="14">
                  <c:v>12288</c:v>
                </c:pt>
                <c:pt idx="15">
                  <c:v>15360</c:v>
                </c:pt>
                <c:pt idx="16">
                  <c:v>18432</c:v>
                </c:pt>
                <c:pt idx="17">
                  <c:v>21504</c:v>
                </c:pt>
                <c:pt idx="18">
                  <c:v>24576</c:v>
                </c:pt>
                <c:pt idx="19">
                  <c:v>31457.279999999999</c:v>
                </c:pt>
                <c:pt idx="20">
                  <c:v>36864</c:v>
                </c:pt>
                <c:pt idx="21">
                  <c:v>43008</c:v>
                </c:pt>
                <c:pt idx="22">
                  <c:v>49152</c:v>
                </c:pt>
                <c:pt idx="23">
                  <c:v>58982.400000000001</c:v>
                </c:pt>
                <c:pt idx="24">
                  <c:v>68812.800000000003</c:v>
                </c:pt>
                <c:pt idx="25">
                  <c:v>78643.199999999997</c:v>
                </c:pt>
                <c:pt idx="26">
                  <c:v>88473.600000000006</c:v>
                </c:pt>
                <c:pt idx="27">
                  <c:v>98304</c:v>
                </c:pt>
                <c:pt idx="28">
                  <c:v>117964.8</c:v>
                </c:pt>
                <c:pt idx="29">
                  <c:v>137625.60000000001</c:v>
                </c:pt>
                <c:pt idx="30">
                  <c:v>157286.39999999999</c:v>
                </c:pt>
                <c:pt idx="31">
                  <c:v>176947.20000000001</c:v>
                </c:pt>
                <c:pt idx="32">
                  <c:v>196608</c:v>
                </c:pt>
                <c:pt idx="33">
                  <c:v>235929.60000000001</c:v>
                </c:pt>
                <c:pt idx="34">
                  <c:v>275251.20000000001</c:v>
                </c:pt>
              </c:numCache>
            </c:numRef>
          </c:val>
          <c:smooth val="0"/>
          <c:extLst>
            <c:ext xmlns:c16="http://schemas.microsoft.com/office/drawing/2014/chart" uri="{C3380CC4-5D6E-409C-BE32-E72D297353CC}">
              <c16:uniqueId val="{00000000-50BE-40C1-B679-81AF0BCE3FCD}"/>
            </c:ext>
          </c:extLst>
        </c:ser>
        <c:ser>
          <c:idx val="1"/>
          <c:order val="1"/>
          <c:tx>
            <c:strRef>
              <c:f>Projections!$A$394</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Projections!$R$366:$BM$366</c15:sqref>
                  </c15:fullRef>
                </c:ext>
              </c:extLst>
              <c:f>Projections!$R$366:$AZ$366</c:f>
              <c:numCache>
                <c:formatCode>m/d/yyyy</c:formatCode>
                <c:ptCount val="35"/>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numCache>
            </c:numRef>
          </c:cat>
          <c:val>
            <c:numRef>
              <c:extLst>
                <c:ext xmlns:c15="http://schemas.microsoft.com/office/drawing/2012/chart" uri="{02D57815-91ED-43cb-92C2-25804820EDAC}">
                  <c15:fullRef>
                    <c15:sqref>Projections!$R$394:$BM$394</c15:sqref>
                  </c15:fullRef>
                </c:ext>
              </c:extLst>
              <c:f>Projections!$R$394:$AZ$394</c:f>
              <c:numCache>
                <c:formatCode>General</c:formatCode>
                <c:ptCount val="35"/>
                <c:pt idx="0">
                  <c:v>0</c:v>
                </c:pt>
                <c:pt idx="1">
                  <c:v>1</c:v>
                </c:pt>
                <c:pt idx="2" formatCode="#,##0">
                  <c:v>9</c:v>
                </c:pt>
                <c:pt idx="3" formatCode="#,##0">
                  <c:v>12</c:v>
                </c:pt>
                <c:pt idx="4" formatCode="#,##0">
                  <c:v>22</c:v>
                </c:pt>
                <c:pt idx="5" formatCode="#,##0">
                  <c:v>38</c:v>
                </c:pt>
                <c:pt idx="6" formatCode="#,##0">
                  <c:v>58</c:v>
                </c:pt>
                <c:pt idx="7" formatCode="#,##0">
                  <c:v>95</c:v>
                </c:pt>
                <c:pt idx="8" formatCode="#,##0">
                  <c:v>171</c:v>
                </c:pt>
                <c:pt idx="9" formatCode="#,##0">
                  <c:v>309</c:v>
                </c:pt>
                <c:pt idx="10" formatCode="#,##0">
                  <c:v>509</c:v>
                </c:pt>
                <c:pt idx="11" formatCode="#,##0">
                  <c:v>1260</c:v>
                </c:pt>
                <c:pt idx="12" formatCode="#,##0">
                  <c:v>2754</c:v>
                </c:pt>
                <c:pt idx="13" formatCode="#,##0">
                  <c:v>7576</c:v>
                </c:pt>
                <c:pt idx="14" formatCode="#,##0">
                  <c:v>24062</c:v>
                </c:pt>
                <c:pt idx="15" formatCode="#,##0">
                  <c:v>32712</c:v>
                </c:pt>
                <c:pt idx="16" formatCode="#,##0">
                  <c:v>40901</c:v>
                </c:pt>
                <c:pt idx="17" formatCode="#,##0">
                  <c:v>50234</c:v>
                </c:pt>
                <c:pt idx="18" formatCode="#,##0">
                  <c:v>56795</c:v>
                </c:pt>
                <c:pt idx="19" formatCode="#,##0">
                  <c:v>76928</c:v>
                </c:pt>
                <c:pt idx="20" formatCode="#,##0">
                  <c:v>91981</c:v>
                </c:pt>
                <c:pt idx="21" formatCode="#,##0">
                  <c:v>104542</c:v>
                </c:pt>
                <c:pt idx="22" formatCode="#,##0">
                  <c:v>114148</c:v>
                </c:pt>
                <c:pt idx="23" formatCode="#,##0">
                  <c:v>126879</c:v>
                </c:pt>
                <c:pt idx="24" formatCode="#,##0">
                  <c:v>132101</c:v>
                </c:pt>
                <c:pt idx="25" formatCode="#,##0">
                  <c:v>136639</c:v>
                </c:pt>
                <c:pt idx="26" formatCode="#,##0">
                  <c:v>141118</c:v>
                </c:pt>
                <c:pt idx="27" formatCode="#,##0">
                  <c:v>146759</c:v>
                </c:pt>
                <c:pt idx="28" formatCode="#,##0">
                  <c:v>160338</c:v>
                </c:pt>
                <c:pt idx="29" formatCode="#,##0">
                  <c:v>178030</c:v>
                </c:pt>
                <c:pt idx="30" formatCode="#,##0">
                  <c:v>194154</c:v>
                </c:pt>
                <c:pt idx="31" formatCode="#,##0">
                  <c:v>209808</c:v>
                </c:pt>
                <c:pt idx="32" formatCode="#,##0">
                  <c:v>222731</c:v>
                </c:pt>
                <c:pt idx="33" formatCode="#,##0">
                  <c:v>239834</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Projections!$A$377</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Projections!$R$377:$BM$377</c15:sqref>
                  </c15:fullRef>
                </c:ext>
              </c:extLst>
              <c:f>Projections!$R$377:$BC$377</c:f>
              <c:numCache>
                <c:formatCode>#,##0_ ;[Red]\-#,##0\ </c:formatCode>
                <c:ptCount val="38"/>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89600.000000000015</c:v>
                </c:pt>
                <c:pt idx="16">
                  <c:v>107520.00000000001</c:v>
                </c:pt>
                <c:pt idx="17">
                  <c:v>125440.00000000001</c:v>
                </c:pt>
                <c:pt idx="18">
                  <c:v>143360</c:v>
                </c:pt>
                <c:pt idx="19">
                  <c:v>183500.80000000002</c:v>
                </c:pt>
                <c:pt idx="20">
                  <c:v>215040.00000000003</c:v>
                </c:pt>
                <c:pt idx="21">
                  <c:v>250880.00000000003</c:v>
                </c:pt>
                <c:pt idx="22">
                  <c:v>286720</c:v>
                </c:pt>
                <c:pt idx="23">
                  <c:v>344064.00000000006</c:v>
                </c:pt>
                <c:pt idx="24">
                  <c:v>401408.00000000006</c:v>
                </c:pt>
                <c:pt idx="25">
                  <c:v>458752.00000000006</c:v>
                </c:pt>
                <c:pt idx="26">
                  <c:v>516096.00000000006</c:v>
                </c:pt>
                <c:pt idx="27">
                  <c:v>573440</c:v>
                </c:pt>
                <c:pt idx="28">
                  <c:v>688128.00000000012</c:v>
                </c:pt>
                <c:pt idx="29">
                  <c:v>802816.00000000012</c:v>
                </c:pt>
                <c:pt idx="30">
                  <c:v>917504.00000000012</c:v>
                </c:pt>
                <c:pt idx="31">
                  <c:v>1032192.0000000001</c:v>
                </c:pt>
                <c:pt idx="32">
                  <c:v>1146880</c:v>
                </c:pt>
                <c:pt idx="33">
                  <c:v>1376256.0000000002</c:v>
                </c:pt>
                <c:pt idx="34">
                  <c:v>1605632.0000000002</c:v>
                </c:pt>
                <c:pt idx="35">
                  <c:v>1835008.0000000002</c:v>
                </c:pt>
                <c:pt idx="36">
                  <c:v>2064384.0000000002</c:v>
                </c:pt>
                <c:pt idx="37">
                  <c:v>2293760</c:v>
                </c:pt>
              </c:numCache>
            </c:numRef>
          </c:val>
          <c:smooth val="0"/>
          <c:extLst>
            <c:ext xmlns:c16="http://schemas.microsoft.com/office/drawing/2014/chart" uri="{C3380CC4-5D6E-409C-BE32-E72D297353CC}">
              <c16:uniqueId val="{00000000-A3C2-4B4C-996C-CDB1A252886F}"/>
            </c:ext>
          </c:extLst>
        </c:ser>
        <c:ser>
          <c:idx val="2"/>
          <c:order val="1"/>
          <c:tx>
            <c:strRef>
              <c:f>Projections!$A$378</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Projections!$R$378:$BM$378</c15:sqref>
                  </c15:fullRef>
                </c:ext>
              </c:extLst>
              <c:f>Projections!$R$378:$BC$378</c:f>
              <c:numCache>
                <c:formatCode>#,##0_ ;[Red]\-#,##0\ </c:formatCode>
                <c:ptCount val="38"/>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46084.599992887612</c:v>
                </c:pt>
                <c:pt idx="15">
                  <c:v>57640.691423978322</c:v>
                </c:pt>
                <c:pt idx="16">
                  <c:v>69203.274247754365</c:v>
                </c:pt>
                <c:pt idx="17">
                  <c:v>80958.879409970832</c:v>
                </c:pt>
                <c:pt idx="18">
                  <c:v>93484.241075724261</c:v>
                </c:pt>
                <c:pt idx="19">
                  <c:v>118252.27542348154</c:v>
                </c:pt>
                <c:pt idx="20">
                  <c:v>94257.189472761398</c:v>
                </c:pt>
                <c:pt idx="21">
                  <c:v>73461.771132579917</c:v>
                </c:pt>
                <c:pt idx="22">
                  <c:v>139160.77936945786</c:v>
                </c:pt>
                <c:pt idx="23">
                  <c:v>0</c:v>
                </c:pt>
                <c:pt idx="24">
                  <c:v>67910.216651757597</c:v>
                </c:pt>
                <c:pt idx="25">
                  <c:v>0</c:v>
                </c:pt>
                <c:pt idx="26">
                  <c:v>33660.681129508652</c:v>
                </c:pt>
                <c:pt idx="27">
                  <c:v>290226.93205865647</c:v>
                </c:pt>
                <c:pt idx="28">
                  <c:v>0</c:v>
                </c:pt>
                <c:pt idx="29">
                  <c:v>164075.82743118674</c:v>
                </c:pt>
                <c:pt idx="30">
                  <c:v>76097.612996206037</c:v>
                </c:pt>
                <c:pt idx="31">
                  <c:v>0</c:v>
                </c:pt>
                <c:pt idx="32">
                  <c:v>0</c:v>
                </c:pt>
                <c:pt idx="33">
                  <c:v>0</c:v>
                </c:pt>
                <c:pt idx="34">
                  <c:v>0</c:v>
                </c:pt>
                <c:pt idx="35">
                  <c:v>0</c:v>
                </c:pt>
                <c:pt idx="36">
                  <c:v>0</c:v>
                </c:pt>
                <c:pt idx="37">
                  <c:v>0</c:v>
                </c:pt>
              </c:numCache>
            </c:numRef>
          </c:val>
          <c:smooth val="0"/>
          <c:extLst>
            <c:ext xmlns:c16="http://schemas.microsoft.com/office/drawing/2014/chart" uri="{C3380CC4-5D6E-409C-BE32-E72D297353CC}">
              <c16:uniqueId val="{00000001-A3C2-4B4C-996C-CDB1A252886F}"/>
            </c:ext>
          </c:extLst>
        </c:ser>
        <c:ser>
          <c:idx val="0"/>
          <c:order val="2"/>
          <c:tx>
            <c:strRef>
              <c:f>Projections!$A$379</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Projections!$R$379:$BM$379</c15:sqref>
                  </c15:fullRef>
                </c:ext>
              </c:extLst>
              <c:f>Projections!$R$379:$BC$379</c:f>
              <c:numCache>
                <c:formatCode>#,##0_ ;[Red]\-#,##0\ </c:formatCode>
                <c:ptCount val="38"/>
                <c:pt idx="0">
                  <c:v>1.5625</c:v>
                </c:pt>
                <c:pt idx="1">
                  <c:v>3.125</c:v>
                </c:pt>
                <c:pt idx="2">
                  <c:v>6.25</c:v>
                </c:pt>
                <c:pt idx="3">
                  <c:v>12.5</c:v>
                </c:pt>
                <c:pt idx="4">
                  <c:v>25</c:v>
                </c:pt>
                <c:pt idx="5">
                  <c:v>50</c:v>
                </c:pt>
                <c:pt idx="6">
                  <c:v>100</c:v>
                </c:pt>
                <c:pt idx="7">
                  <c:v>200</c:v>
                </c:pt>
                <c:pt idx="8">
                  <c:v>400</c:v>
                </c:pt>
                <c:pt idx="9">
                  <c:v>800</c:v>
                </c:pt>
                <c:pt idx="10">
                  <c:v>1600</c:v>
                </c:pt>
                <c:pt idx="11">
                  <c:v>3200</c:v>
                </c:pt>
                <c:pt idx="12">
                  <c:v>6400</c:v>
                </c:pt>
                <c:pt idx="13">
                  <c:v>12800</c:v>
                </c:pt>
                <c:pt idx="14">
                  <c:v>25600</c:v>
                </c:pt>
                <c:pt idx="15">
                  <c:v>32000</c:v>
                </c:pt>
                <c:pt idx="16">
                  <c:v>38400</c:v>
                </c:pt>
                <c:pt idx="17">
                  <c:v>44800</c:v>
                </c:pt>
                <c:pt idx="18">
                  <c:v>51200</c:v>
                </c:pt>
                <c:pt idx="19">
                  <c:v>65536</c:v>
                </c:pt>
                <c:pt idx="20">
                  <c:v>76800</c:v>
                </c:pt>
                <c:pt idx="21">
                  <c:v>89600</c:v>
                </c:pt>
                <c:pt idx="22">
                  <c:v>102400</c:v>
                </c:pt>
                <c:pt idx="23">
                  <c:v>122880</c:v>
                </c:pt>
                <c:pt idx="24">
                  <c:v>143360</c:v>
                </c:pt>
                <c:pt idx="25">
                  <c:v>163840</c:v>
                </c:pt>
                <c:pt idx="26">
                  <c:v>184320</c:v>
                </c:pt>
                <c:pt idx="27">
                  <c:v>204800</c:v>
                </c:pt>
                <c:pt idx="28">
                  <c:v>245760</c:v>
                </c:pt>
                <c:pt idx="29">
                  <c:v>286720</c:v>
                </c:pt>
                <c:pt idx="30">
                  <c:v>327680</c:v>
                </c:pt>
                <c:pt idx="31">
                  <c:v>368640</c:v>
                </c:pt>
                <c:pt idx="32">
                  <c:v>409600</c:v>
                </c:pt>
                <c:pt idx="33">
                  <c:v>491520</c:v>
                </c:pt>
                <c:pt idx="34">
                  <c:v>573440</c:v>
                </c:pt>
                <c:pt idx="35">
                  <c:v>655360</c:v>
                </c:pt>
                <c:pt idx="36">
                  <c:v>737280</c:v>
                </c:pt>
                <c:pt idx="37">
                  <c:v>819200</c:v>
                </c:pt>
              </c:numCache>
            </c:numRef>
          </c:val>
          <c:smooth val="0"/>
          <c:extLst>
            <c:ext xmlns:c16="http://schemas.microsoft.com/office/drawing/2014/chart" uri="{C3380CC4-5D6E-409C-BE32-E72D297353CC}">
              <c16:uniqueId val="{00000002-A3C2-4B4C-996C-CDB1A252886F}"/>
            </c:ext>
          </c:extLst>
        </c:ser>
        <c:ser>
          <c:idx val="4"/>
          <c:order val="3"/>
          <c:tx>
            <c:strRef>
              <c:f>Projections!$A$380</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Projections!$R$380:$BM$380</c15:sqref>
                  </c15:fullRef>
                </c:ext>
              </c:extLst>
              <c:f>Projections!$R$380:$BC$380</c:f>
              <c:numCache>
                <c:formatCode>#,##0_ ;[Red]\-#,##0\ </c:formatCode>
                <c:ptCount val="38"/>
                <c:pt idx="0">
                  <c:v>1.5625</c:v>
                </c:pt>
                <c:pt idx="1">
                  <c:v>3.125</c:v>
                </c:pt>
                <c:pt idx="2">
                  <c:v>6.25</c:v>
                </c:pt>
                <c:pt idx="3">
                  <c:v>12.5</c:v>
                </c:pt>
                <c:pt idx="4">
                  <c:v>25</c:v>
                </c:pt>
                <c:pt idx="5">
                  <c:v>50</c:v>
                </c:pt>
                <c:pt idx="6">
                  <c:v>100</c:v>
                </c:pt>
                <c:pt idx="7">
                  <c:v>200</c:v>
                </c:pt>
                <c:pt idx="8">
                  <c:v>400</c:v>
                </c:pt>
                <c:pt idx="9">
                  <c:v>800</c:v>
                </c:pt>
                <c:pt idx="10">
                  <c:v>1600</c:v>
                </c:pt>
                <c:pt idx="11">
                  <c:v>3200</c:v>
                </c:pt>
                <c:pt idx="12">
                  <c:v>6398.2476184477409</c:v>
                </c:pt>
                <c:pt idx="13">
                  <c:v>12796.890633569014</c:v>
                </c:pt>
                <c:pt idx="14">
                  <c:v>25586.900007112388</c:v>
                </c:pt>
                <c:pt idx="15">
                  <c:v>31941.919642857141</c:v>
                </c:pt>
                <c:pt idx="16">
                  <c:v>38249.100752245642</c:v>
                </c:pt>
                <c:pt idx="17">
                  <c:v>44284.409021302978</c:v>
                </c:pt>
                <c:pt idx="18">
                  <c:v>49300.258924275739</c:v>
                </c:pt>
                <c:pt idx="19">
                  <c:v>52370.410836069677</c:v>
                </c:pt>
                <c:pt idx="20">
                  <c:v>37759.709027151504</c:v>
                </c:pt>
                <c:pt idx="21">
                  <c:v>33729.695574653124</c:v>
                </c:pt>
                <c:pt idx="22">
                  <c:v>0</c:v>
                </c:pt>
                <c:pt idx="23">
                  <c:v>34712.968101625316</c:v>
                </c:pt>
                <c:pt idx="24">
                  <c:v>0</c:v>
                </c:pt>
                <c:pt idx="25">
                  <c:v>0</c:v>
                </c:pt>
                <c:pt idx="26">
                  <c:v>62768.717277388205</c:v>
                </c:pt>
                <c:pt idx="27">
                  <c:v>431.25347847890225</c:v>
                </c:pt>
                <c:pt idx="28">
                  <c:v>55273.658116872364</c:v>
                </c:pt>
                <c:pt idx="29">
                  <c:v>48293.780140987074</c:v>
                </c:pt>
                <c:pt idx="30">
                  <c:v>0</c:v>
                </c:pt>
                <c:pt idx="31">
                  <c:v>50662.094121746137</c:v>
                </c:pt>
                <c:pt idx="32">
                  <c:v>88494.240551042021</c:v>
                </c:pt>
                <c:pt idx="33">
                  <c:v>115835.21077850688</c:v>
                </c:pt>
                <c:pt idx="34">
                  <c:v>0</c:v>
                </c:pt>
                <c:pt idx="35">
                  <c:v>0</c:v>
                </c:pt>
                <c:pt idx="36">
                  <c:v>0</c:v>
                </c:pt>
                <c:pt idx="37">
                  <c:v>0</c:v>
                </c:pt>
              </c:numCache>
            </c:numRef>
          </c:val>
          <c:smooth val="0"/>
          <c:extLst>
            <c:ext xmlns:c16="http://schemas.microsoft.com/office/drawing/2014/chart" uri="{C3380CC4-5D6E-409C-BE32-E72D297353CC}">
              <c16:uniqueId val="{00000003-A3C2-4B4C-996C-CDB1A252886F}"/>
            </c:ext>
          </c:extLst>
        </c:ser>
        <c:ser>
          <c:idx val="1"/>
          <c:order val="4"/>
          <c:tx>
            <c:strRef>
              <c:f>Projections!$A$381</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Projections!$R$381:$BM$381</c15:sqref>
                  </c15:fullRef>
                </c:ext>
              </c:extLst>
              <c:f>Projections!$R$381:$BC$381</c:f>
              <c:numCache>
                <c:formatCode>#,##0_ ;[Red]\-#,##0\ </c:formatCode>
                <c:ptCount val="38"/>
                <c:pt idx="0">
                  <c:v>0.75</c:v>
                </c:pt>
                <c:pt idx="1">
                  <c:v>1.5</c:v>
                </c:pt>
                <c:pt idx="2">
                  <c:v>3</c:v>
                </c:pt>
                <c:pt idx="3">
                  <c:v>6</c:v>
                </c:pt>
                <c:pt idx="4">
                  <c:v>12</c:v>
                </c:pt>
                <c:pt idx="5">
                  <c:v>24</c:v>
                </c:pt>
                <c:pt idx="6">
                  <c:v>48</c:v>
                </c:pt>
                <c:pt idx="7">
                  <c:v>96</c:v>
                </c:pt>
                <c:pt idx="8">
                  <c:v>192</c:v>
                </c:pt>
                <c:pt idx="9">
                  <c:v>384</c:v>
                </c:pt>
                <c:pt idx="10">
                  <c:v>768</c:v>
                </c:pt>
                <c:pt idx="11">
                  <c:v>1536</c:v>
                </c:pt>
                <c:pt idx="12">
                  <c:v>3072</c:v>
                </c:pt>
                <c:pt idx="13">
                  <c:v>6144</c:v>
                </c:pt>
                <c:pt idx="14">
                  <c:v>12288</c:v>
                </c:pt>
                <c:pt idx="15">
                  <c:v>15360</c:v>
                </c:pt>
                <c:pt idx="16">
                  <c:v>18432</c:v>
                </c:pt>
                <c:pt idx="17">
                  <c:v>21504</c:v>
                </c:pt>
                <c:pt idx="18">
                  <c:v>24576</c:v>
                </c:pt>
                <c:pt idx="19">
                  <c:v>31457.279999999999</c:v>
                </c:pt>
                <c:pt idx="20">
                  <c:v>36864</c:v>
                </c:pt>
                <c:pt idx="21">
                  <c:v>43008</c:v>
                </c:pt>
                <c:pt idx="22">
                  <c:v>49152</c:v>
                </c:pt>
                <c:pt idx="23">
                  <c:v>58982.400000000001</c:v>
                </c:pt>
                <c:pt idx="24">
                  <c:v>68812.800000000003</c:v>
                </c:pt>
                <c:pt idx="25">
                  <c:v>78643.199999999997</c:v>
                </c:pt>
                <c:pt idx="26">
                  <c:v>88473.600000000006</c:v>
                </c:pt>
                <c:pt idx="27">
                  <c:v>98304</c:v>
                </c:pt>
                <c:pt idx="28">
                  <c:v>117964.8</c:v>
                </c:pt>
                <c:pt idx="29">
                  <c:v>137625.60000000001</c:v>
                </c:pt>
                <c:pt idx="30">
                  <c:v>157286.39999999999</c:v>
                </c:pt>
                <c:pt idx="31">
                  <c:v>176947.20000000001</c:v>
                </c:pt>
                <c:pt idx="32">
                  <c:v>196608</c:v>
                </c:pt>
                <c:pt idx="33">
                  <c:v>235929.60000000001</c:v>
                </c:pt>
                <c:pt idx="34">
                  <c:v>275251.20000000001</c:v>
                </c:pt>
                <c:pt idx="35">
                  <c:v>314572.79999999999</c:v>
                </c:pt>
                <c:pt idx="36">
                  <c:v>353894.40000000002</c:v>
                </c:pt>
                <c:pt idx="37">
                  <c:v>393216</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Projections!$A$398</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Projections!$R$398:$BM$398</c15:sqref>
                  </c15:fullRef>
                </c:ext>
              </c:extLst>
              <c:f>Projections!$R$398:$BC$398</c:f>
              <c:numCache>
                <c:formatCode>#,##0</c:formatCode>
                <c:ptCount val="3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pt idx="28">
                  <c:v>141793.08367676043</c:v>
                </c:pt>
                <c:pt idx="29">
                  <c:v>165425.26428955383</c:v>
                </c:pt>
                <c:pt idx="30">
                  <c:v>189057.44490234726</c:v>
                </c:pt>
                <c:pt idx="31">
                  <c:v>212689.62551514065</c:v>
                </c:pt>
                <c:pt idx="32">
                  <c:v>236321.80612793405</c:v>
                </c:pt>
                <c:pt idx="33">
                  <c:v>283586.16735352087</c:v>
                </c:pt>
                <c:pt idx="34">
                  <c:v>330850.52857910766</c:v>
                </c:pt>
                <c:pt idx="35">
                  <c:v>378114.88980469451</c:v>
                </c:pt>
                <c:pt idx="36">
                  <c:v>425379.2510302813</c:v>
                </c:pt>
                <c:pt idx="37">
                  <c:v>472643.61225586809</c:v>
                </c:pt>
              </c:numCache>
            </c:numRef>
          </c:val>
          <c:smooth val="0"/>
          <c:extLst>
            <c:ext xmlns:c16="http://schemas.microsoft.com/office/drawing/2014/chart" uri="{C3380CC4-5D6E-409C-BE32-E72D297353CC}">
              <c16:uniqueId val="{00000000-7972-43AB-83E8-C2C99B4277B0}"/>
            </c:ext>
          </c:extLst>
        </c:ser>
        <c:ser>
          <c:idx val="2"/>
          <c:order val="1"/>
          <c:tx>
            <c:strRef>
              <c:f>Projections!$A$400</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Projections!$R$400:$BM$400</c15:sqref>
                  </c15:fullRef>
                </c:ext>
              </c:extLst>
              <c:f>Projections!$R$400:$BC$400</c:f>
              <c:numCache>
                <c:formatCode>#,##0</c:formatCode>
                <c:ptCount val="38"/>
                <c:pt idx="0">
                  <c:v>3.3316161978140117</c:v>
                </c:pt>
                <c:pt idx="1">
                  <c:v>6.6632323956280235</c:v>
                </c:pt>
                <c:pt idx="2">
                  <c:v>13.326464791256047</c:v>
                </c:pt>
                <c:pt idx="3">
                  <c:v>26.652929582512094</c:v>
                </c:pt>
                <c:pt idx="4">
                  <c:v>53.305859165024188</c:v>
                </c:pt>
                <c:pt idx="5">
                  <c:v>106.61171833004838</c:v>
                </c:pt>
                <c:pt idx="6">
                  <c:v>213.22343666009675</c:v>
                </c:pt>
                <c:pt idx="7">
                  <c:v>426.4468733201935</c:v>
                </c:pt>
                <c:pt idx="8">
                  <c:v>852.89374664038701</c:v>
                </c:pt>
                <c:pt idx="9">
                  <c:v>1705.787493280774</c:v>
                </c:pt>
                <c:pt idx="10">
                  <c:v>3411.574986561548</c:v>
                </c:pt>
                <c:pt idx="11">
                  <c:v>6823.1499731230961</c:v>
                </c:pt>
                <c:pt idx="12">
                  <c:v>13646.299946246192</c:v>
                </c:pt>
                <c:pt idx="13">
                  <c:v>27292.599892492384</c:v>
                </c:pt>
                <c:pt idx="14">
                  <c:v>54585.199784984768</c:v>
                </c:pt>
                <c:pt idx="15">
                  <c:v>68231.499731230957</c:v>
                </c:pt>
                <c:pt idx="16">
                  <c:v>81877.799677477145</c:v>
                </c:pt>
                <c:pt idx="17">
                  <c:v>95524.099623723334</c:v>
                </c:pt>
                <c:pt idx="18">
                  <c:v>109170.39956996954</c:v>
                </c:pt>
                <c:pt idx="19">
                  <c:v>139738.11144956099</c:v>
                </c:pt>
                <c:pt idx="20">
                  <c:v>163755.59935495429</c:v>
                </c:pt>
                <c:pt idx="21">
                  <c:v>191048.19924744667</c:v>
                </c:pt>
                <c:pt idx="22">
                  <c:v>218340.79913993907</c:v>
                </c:pt>
                <c:pt idx="23">
                  <c:v>262008.95896792688</c:v>
                </c:pt>
                <c:pt idx="24">
                  <c:v>305677.11879591469</c:v>
                </c:pt>
                <c:pt idx="25">
                  <c:v>349345.27862390253</c:v>
                </c:pt>
                <c:pt idx="26">
                  <c:v>393013.43845189031</c:v>
                </c:pt>
                <c:pt idx="27">
                  <c:v>436681.59827987815</c:v>
                </c:pt>
                <c:pt idx="28">
                  <c:v>524017.91793585377</c:v>
                </c:pt>
                <c:pt idx="29">
                  <c:v>611354.23759182938</c:v>
                </c:pt>
                <c:pt idx="30">
                  <c:v>698690.55724780506</c:v>
                </c:pt>
                <c:pt idx="31">
                  <c:v>786026.87690378062</c:v>
                </c:pt>
                <c:pt idx="32">
                  <c:v>873363.1965597563</c:v>
                </c:pt>
                <c:pt idx="33">
                  <c:v>1048035.8358717075</c:v>
                </c:pt>
                <c:pt idx="34">
                  <c:v>1222708.4751836588</c:v>
                </c:pt>
                <c:pt idx="35">
                  <c:v>1397381.1144956101</c:v>
                </c:pt>
                <c:pt idx="36">
                  <c:v>1572053.7538075612</c:v>
                </c:pt>
                <c:pt idx="37">
                  <c:v>1746726.3931195126</c:v>
                </c:pt>
              </c:numCache>
            </c:numRef>
          </c:val>
          <c:smooth val="0"/>
          <c:extLst>
            <c:ext xmlns:c16="http://schemas.microsoft.com/office/drawing/2014/chart" uri="{C3380CC4-5D6E-409C-BE32-E72D297353CC}">
              <c16:uniqueId val="{00000001-7972-43AB-83E8-C2C99B4277B0}"/>
            </c:ext>
          </c:extLst>
        </c:ser>
        <c:ser>
          <c:idx val="4"/>
          <c:order val="2"/>
          <c:tx>
            <c:strRef>
              <c:f>Projections!$A$402</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Projections!$R$402:$BM$402</c15:sqref>
                  </c15:fullRef>
                </c:ext>
              </c:extLst>
              <c:f>Projections!$R$402:$BC$402</c:f>
              <c:numCache>
                <c:formatCode>#,##0</c:formatCode>
                <c:ptCount val="38"/>
                <c:pt idx="0">
                  <c:v>5.2297975273248518</c:v>
                </c:pt>
                <c:pt idx="1">
                  <c:v>10.459595054649704</c:v>
                </c:pt>
                <c:pt idx="2">
                  <c:v>20.919190109299407</c:v>
                </c:pt>
                <c:pt idx="3">
                  <c:v>41.838380218598815</c:v>
                </c:pt>
                <c:pt idx="4">
                  <c:v>83.676760437197629</c:v>
                </c:pt>
                <c:pt idx="5">
                  <c:v>167.35352087439526</c:v>
                </c:pt>
                <c:pt idx="6">
                  <c:v>334.70704174879052</c:v>
                </c:pt>
                <c:pt idx="7">
                  <c:v>669.41408349758103</c:v>
                </c:pt>
                <c:pt idx="8">
                  <c:v>1338.8281669951621</c:v>
                </c:pt>
                <c:pt idx="9">
                  <c:v>2677.6563339903241</c:v>
                </c:pt>
                <c:pt idx="10">
                  <c:v>5355.3126679806483</c:v>
                </c:pt>
                <c:pt idx="11">
                  <c:v>10710.625335961297</c:v>
                </c:pt>
                <c:pt idx="12">
                  <c:v>21421.250671922593</c:v>
                </c:pt>
                <c:pt idx="13">
                  <c:v>42842.501343845186</c:v>
                </c:pt>
                <c:pt idx="14">
                  <c:v>85685.002687690372</c:v>
                </c:pt>
                <c:pt idx="15">
                  <c:v>107106.25335961297</c:v>
                </c:pt>
                <c:pt idx="16">
                  <c:v>128527.50403153556</c:v>
                </c:pt>
                <c:pt idx="17">
                  <c:v>149948.75470345814</c:v>
                </c:pt>
                <c:pt idx="18">
                  <c:v>171370.00537538074</c:v>
                </c:pt>
                <c:pt idx="19">
                  <c:v>219353.60688048735</c:v>
                </c:pt>
                <c:pt idx="20">
                  <c:v>257055.00806307112</c:v>
                </c:pt>
                <c:pt idx="21">
                  <c:v>299897.50940691627</c:v>
                </c:pt>
                <c:pt idx="22">
                  <c:v>342740.01075076149</c:v>
                </c:pt>
                <c:pt idx="23">
                  <c:v>411288.01290091377</c:v>
                </c:pt>
                <c:pt idx="24">
                  <c:v>479836.01505106606</c:v>
                </c:pt>
                <c:pt idx="25">
                  <c:v>548384.0172012184</c:v>
                </c:pt>
                <c:pt idx="26">
                  <c:v>616932.01935137063</c:v>
                </c:pt>
                <c:pt idx="27">
                  <c:v>685480.02150152298</c:v>
                </c:pt>
                <c:pt idx="28">
                  <c:v>822576.02580182755</c:v>
                </c:pt>
                <c:pt idx="29">
                  <c:v>959672.03010213212</c:v>
                </c:pt>
                <c:pt idx="30">
                  <c:v>1096768.0344024368</c:v>
                </c:pt>
                <c:pt idx="31">
                  <c:v>1233864.0387027413</c:v>
                </c:pt>
                <c:pt idx="32">
                  <c:v>1370960.043003046</c:v>
                </c:pt>
                <c:pt idx="33">
                  <c:v>1645152.0516036551</c:v>
                </c:pt>
                <c:pt idx="34">
                  <c:v>1919344.0602042642</c:v>
                </c:pt>
                <c:pt idx="35">
                  <c:v>2193536.0688048736</c:v>
                </c:pt>
                <c:pt idx="36">
                  <c:v>2467728.0774054825</c:v>
                </c:pt>
                <c:pt idx="37">
                  <c:v>2741920.0860060919</c:v>
                </c:pt>
              </c:numCache>
            </c:numRef>
          </c:val>
          <c:smooth val="0"/>
          <c:extLst>
            <c:ext xmlns:c16="http://schemas.microsoft.com/office/drawing/2014/chart" uri="{C3380CC4-5D6E-409C-BE32-E72D297353CC}">
              <c16:uniqueId val="{00000002-7972-43AB-83E8-C2C99B4277B0}"/>
            </c:ext>
          </c:extLst>
        </c:ser>
        <c:ser>
          <c:idx val="6"/>
          <c:order val="3"/>
          <c:tx>
            <c:strRef>
              <c:f>Projections!$A$404</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Projections!$R$404:$BM$404</c15:sqref>
                  </c15:fullRef>
                </c:ext>
              </c:extLst>
              <c:f>Projections!$R$404:$BC$404</c:f>
              <c:numCache>
                <c:formatCode>#,##0</c:formatCode>
                <c:ptCount val="38"/>
                <c:pt idx="0">
                  <c:v>4.8546407453861313</c:v>
                </c:pt>
                <c:pt idx="1">
                  <c:v>9.7092814907722627</c:v>
                </c:pt>
                <c:pt idx="2">
                  <c:v>19.418562981544525</c:v>
                </c:pt>
                <c:pt idx="3">
                  <c:v>38.837125963089051</c:v>
                </c:pt>
                <c:pt idx="4">
                  <c:v>77.674251926178101</c:v>
                </c:pt>
                <c:pt idx="5">
                  <c:v>155.3485038523562</c:v>
                </c:pt>
                <c:pt idx="6">
                  <c:v>310.69700770471241</c:v>
                </c:pt>
                <c:pt idx="7">
                  <c:v>621.39401540942481</c:v>
                </c:pt>
                <c:pt idx="8">
                  <c:v>1242.7880308188496</c:v>
                </c:pt>
                <c:pt idx="9">
                  <c:v>2485.5760616376992</c:v>
                </c:pt>
                <c:pt idx="10">
                  <c:v>4971.1521232753985</c:v>
                </c:pt>
                <c:pt idx="11">
                  <c:v>9942.304246550797</c:v>
                </c:pt>
                <c:pt idx="12">
                  <c:v>19884.608493101594</c:v>
                </c:pt>
                <c:pt idx="13">
                  <c:v>39769.216986203188</c:v>
                </c:pt>
                <c:pt idx="14">
                  <c:v>79538.433972406376</c:v>
                </c:pt>
                <c:pt idx="15">
                  <c:v>99423.04246550797</c:v>
                </c:pt>
                <c:pt idx="16">
                  <c:v>119307.65095860958</c:v>
                </c:pt>
                <c:pt idx="17">
                  <c:v>139192.25945171117</c:v>
                </c:pt>
                <c:pt idx="18">
                  <c:v>159076.86794481275</c:v>
                </c:pt>
                <c:pt idx="19">
                  <c:v>203618.39096936033</c:v>
                </c:pt>
                <c:pt idx="20">
                  <c:v>238615.30191721916</c:v>
                </c:pt>
                <c:pt idx="21">
                  <c:v>278384.51890342234</c:v>
                </c:pt>
                <c:pt idx="22">
                  <c:v>318153.7358896255</c:v>
                </c:pt>
                <c:pt idx="23">
                  <c:v>381784.48306755064</c:v>
                </c:pt>
                <c:pt idx="24">
                  <c:v>445415.23024547572</c:v>
                </c:pt>
                <c:pt idx="25">
                  <c:v>509045.97742340085</c:v>
                </c:pt>
                <c:pt idx="26">
                  <c:v>572676.72460132593</c:v>
                </c:pt>
                <c:pt idx="27">
                  <c:v>636307.47177925101</c:v>
                </c:pt>
                <c:pt idx="28">
                  <c:v>763568.96613510128</c:v>
                </c:pt>
                <c:pt idx="29">
                  <c:v>890830.46049095143</c:v>
                </c:pt>
                <c:pt idx="30">
                  <c:v>1018091.9548468017</c:v>
                </c:pt>
                <c:pt idx="31">
                  <c:v>1145353.4492026519</c:v>
                </c:pt>
                <c:pt idx="32">
                  <c:v>1272614.943558502</c:v>
                </c:pt>
                <c:pt idx="33">
                  <c:v>1527137.9322702026</c:v>
                </c:pt>
                <c:pt idx="34">
                  <c:v>1781660.9209819029</c:v>
                </c:pt>
                <c:pt idx="35">
                  <c:v>2036183.9096936034</c:v>
                </c:pt>
                <c:pt idx="36">
                  <c:v>2290706.8984053037</c:v>
                </c:pt>
                <c:pt idx="37">
                  <c:v>2545229.887117004</c:v>
                </c:pt>
              </c:numCache>
            </c:numRef>
          </c:val>
          <c:smooth val="0"/>
          <c:extLst>
            <c:ext xmlns:c16="http://schemas.microsoft.com/office/drawing/2014/chart" uri="{C3380CC4-5D6E-409C-BE32-E72D297353CC}">
              <c16:uniqueId val="{00000003-7972-43AB-83E8-C2C99B4277B0}"/>
            </c:ext>
          </c:extLst>
        </c:ser>
        <c:ser>
          <c:idx val="8"/>
          <c:order val="4"/>
          <c:tx>
            <c:strRef>
              <c:f>Projections!$A$406</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Projections!$R$406:$BM$406</c15:sqref>
                  </c15:fullRef>
                </c:ext>
              </c:extLst>
              <c:f>Projections!$R$406:$BC$406</c:f>
              <c:numCache>
                <c:formatCode>#,##0</c:formatCode>
                <c:ptCount val="38"/>
                <c:pt idx="0">
                  <c:v>4.0539329869199063</c:v>
                </c:pt>
                <c:pt idx="1">
                  <c:v>8.1078659738398127</c:v>
                </c:pt>
                <c:pt idx="2">
                  <c:v>16.215731947679625</c:v>
                </c:pt>
                <c:pt idx="3">
                  <c:v>32.431463895359251</c:v>
                </c:pt>
                <c:pt idx="4">
                  <c:v>64.862927790718501</c:v>
                </c:pt>
                <c:pt idx="5">
                  <c:v>129.725855581437</c:v>
                </c:pt>
                <c:pt idx="6">
                  <c:v>259.45171116287401</c:v>
                </c:pt>
                <c:pt idx="7">
                  <c:v>518.90342232574801</c:v>
                </c:pt>
                <c:pt idx="8">
                  <c:v>1037.806844651496</c:v>
                </c:pt>
                <c:pt idx="9">
                  <c:v>2075.613689302992</c:v>
                </c:pt>
                <c:pt idx="10">
                  <c:v>4151.2273786059841</c:v>
                </c:pt>
                <c:pt idx="11">
                  <c:v>8302.4547572119682</c:v>
                </c:pt>
                <c:pt idx="12">
                  <c:v>16604.909514423936</c:v>
                </c:pt>
                <c:pt idx="13">
                  <c:v>33209.819028847873</c:v>
                </c:pt>
                <c:pt idx="14">
                  <c:v>66419.638057695745</c:v>
                </c:pt>
                <c:pt idx="15">
                  <c:v>83024.547572119685</c:v>
                </c:pt>
                <c:pt idx="16">
                  <c:v>99629.457086543625</c:v>
                </c:pt>
                <c:pt idx="17">
                  <c:v>116234.36660096757</c:v>
                </c:pt>
                <c:pt idx="18">
                  <c:v>132839.27611539149</c:v>
                </c:pt>
                <c:pt idx="19">
                  <c:v>170034.27342770112</c:v>
                </c:pt>
                <c:pt idx="20">
                  <c:v>199258.91417308725</c:v>
                </c:pt>
                <c:pt idx="21">
                  <c:v>232468.73320193513</c:v>
                </c:pt>
                <c:pt idx="22">
                  <c:v>265678.55223078298</c:v>
                </c:pt>
                <c:pt idx="23">
                  <c:v>318814.2626769396</c:v>
                </c:pt>
                <c:pt idx="24">
                  <c:v>371949.97312309622</c:v>
                </c:pt>
                <c:pt idx="25">
                  <c:v>425085.68356925278</c:v>
                </c:pt>
                <c:pt idx="26">
                  <c:v>478221.3940154094</c:v>
                </c:pt>
                <c:pt idx="27">
                  <c:v>531357.10446156596</c:v>
                </c:pt>
                <c:pt idx="28">
                  <c:v>637628.5253538792</c:v>
                </c:pt>
                <c:pt idx="29">
                  <c:v>743899.94624619244</c:v>
                </c:pt>
                <c:pt idx="30">
                  <c:v>850171.36713850556</c:v>
                </c:pt>
                <c:pt idx="31">
                  <c:v>956442.7880308188</c:v>
                </c:pt>
                <c:pt idx="32">
                  <c:v>1062714.2089231319</c:v>
                </c:pt>
                <c:pt idx="33">
                  <c:v>1275257.0507077584</c:v>
                </c:pt>
                <c:pt idx="34">
                  <c:v>1487799.8924923849</c:v>
                </c:pt>
                <c:pt idx="35">
                  <c:v>1700342.7342770111</c:v>
                </c:pt>
                <c:pt idx="36">
                  <c:v>1912885.5760616376</c:v>
                </c:pt>
                <c:pt idx="37">
                  <c:v>2125428.4178462639</c:v>
                </c:pt>
              </c:numCache>
            </c:numRef>
          </c:val>
          <c:smooth val="0"/>
          <c:extLst>
            <c:ext xmlns:c16="http://schemas.microsoft.com/office/drawing/2014/chart" uri="{C3380CC4-5D6E-409C-BE32-E72D297353CC}">
              <c16:uniqueId val="{00000004-7972-43AB-83E8-C2C99B4277B0}"/>
            </c:ext>
          </c:extLst>
        </c:ser>
        <c:ser>
          <c:idx val="10"/>
          <c:order val="5"/>
          <c:tx>
            <c:strRef>
              <c:f>Projections!$A$408</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Projections!$R$408:$BM$408</c15:sqref>
                  </c15:fullRef>
                </c:ext>
              </c:extLst>
              <c:f>Projections!$R$408:$BC$408</c:f>
              <c:numCache>
                <c:formatCode>#,##0</c:formatCode>
                <c:ptCount val="38"/>
                <c:pt idx="0">
                  <c:v>4.9162336498835328</c:v>
                </c:pt>
                <c:pt idx="1">
                  <c:v>9.8324672997670657</c:v>
                </c:pt>
                <c:pt idx="2">
                  <c:v>19.664934599534131</c:v>
                </c:pt>
                <c:pt idx="3">
                  <c:v>39.329869199068263</c:v>
                </c:pt>
                <c:pt idx="4">
                  <c:v>78.659738398136525</c:v>
                </c:pt>
                <c:pt idx="5">
                  <c:v>157.31947679627305</c:v>
                </c:pt>
                <c:pt idx="6">
                  <c:v>314.6389535925461</c:v>
                </c:pt>
                <c:pt idx="7">
                  <c:v>629.2779071850922</c:v>
                </c:pt>
                <c:pt idx="8">
                  <c:v>1258.5558143701844</c:v>
                </c:pt>
                <c:pt idx="9">
                  <c:v>2517.1116287403688</c:v>
                </c:pt>
                <c:pt idx="10">
                  <c:v>5034.2232574807376</c:v>
                </c:pt>
                <c:pt idx="11">
                  <c:v>10068.446514961475</c:v>
                </c:pt>
                <c:pt idx="12">
                  <c:v>20136.893029922951</c:v>
                </c:pt>
                <c:pt idx="13">
                  <c:v>40273.786059845901</c:v>
                </c:pt>
                <c:pt idx="14">
                  <c:v>80547.572119691802</c:v>
                </c:pt>
                <c:pt idx="15">
                  <c:v>100684.46514961476</c:v>
                </c:pt>
                <c:pt idx="16">
                  <c:v>120821.35817953771</c:v>
                </c:pt>
                <c:pt idx="17">
                  <c:v>140958.25120946066</c:v>
                </c:pt>
                <c:pt idx="18">
                  <c:v>161095.1442393836</c:v>
                </c:pt>
                <c:pt idx="19">
                  <c:v>206201.78462641104</c:v>
                </c:pt>
                <c:pt idx="20">
                  <c:v>241642.71635907542</c:v>
                </c:pt>
                <c:pt idx="21">
                  <c:v>281916.50241892133</c:v>
                </c:pt>
                <c:pt idx="22">
                  <c:v>322190.28847876721</c:v>
                </c:pt>
                <c:pt idx="23">
                  <c:v>386628.34617452067</c:v>
                </c:pt>
                <c:pt idx="24">
                  <c:v>451066.40387027414</c:v>
                </c:pt>
                <c:pt idx="25">
                  <c:v>515504.46156602754</c:v>
                </c:pt>
                <c:pt idx="26">
                  <c:v>579942.51926178101</c:v>
                </c:pt>
                <c:pt idx="27">
                  <c:v>644380.57695753442</c:v>
                </c:pt>
                <c:pt idx="28">
                  <c:v>773256.69234904135</c:v>
                </c:pt>
                <c:pt idx="29">
                  <c:v>902132.80774054828</c:v>
                </c:pt>
                <c:pt idx="30">
                  <c:v>1031008.9231320551</c:v>
                </c:pt>
                <c:pt idx="31">
                  <c:v>1159885.038523562</c:v>
                </c:pt>
                <c:pt idx="32">
                  <c:v>1288761.1539150688</c:v>
                </c:pt>
                <c:pt idx="33">
                  <c:v>1546513.3846980827</c:v>
                </c:pt>
                <c:pt idx="34">
                  <c:v>1804265.6154810966</c:v>
                </c:pt>
                <c:pt idx="35">
                  <c:v>2062017.8462641102</c:v>
                </c:pt>
                <c:pt idx="36">
                  <c:v>2319770.077047124</c:v>
                </c:pt>
                <c:pt idx="37">
                  <c:v>2577522.3078301377</c:v>
                </c:pt>
              </c:numCache>
            </c:numRef>
          </c:val>
          <c:smooth val="0"/>
          <c:extLst>
            <c:ext xmlns:c16="http://schemas.microsoft.com/office/drawing/2014/chart" uri="{C3380CC4-5D6E-409C-BE32-E72D297353CC}">
              <c16:uniqueId val="{00000005-7972-43AB-83E8-C2C99B4277B0}"/>
            </c:ext>
          </c:extLst>
        </c:ser>
        <c:ser>
          <c:idx val="12"/>
          <c:order val="6"/>
          <c:tx>
            <c:strRef>
              <c:f>Projections!$A$410</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Projections!$R$410:$BM$410</c15:sqref>
                  </c15:fullRef>
                </c:ext>
              </c:extLst>
              <c:f>Projections!$R$410:$BC$410</c:f>
              <c:numCache>
                <c:formatCode>#,##0</c:formatCode>
                <c:ptCount val="38"/>
                <c:pt idx="0">
                  <c:v>6.7528220748969714</c:v>
                </c:pt>
                <c:pt idx="1">
                  <c:v>13.505644149793943</c:v>
                </c:pt>
                <c:pt idx="2">
                  <c:v>27.011288299587886</c:v>
                </c:pt>
                <c:pt idx="3">
                  <c:v>54.022576599175771</c:v>
                </c:pt>
                <c:pt idx="4">
                  <c:v>108.04515319835154</c:v>
                </c:pt>
                <c:pt idx="5">
                  <c:v>216.09030639670308</c:v>
                </c:pt>
                <c:pt idx="6">
                  <c:v>432.18061279340617</c:v>
                </c:pt>
                <c:pt idx="7">
                  <c:v>864.36122558681234</c:v>
                </c:pt>
                <c:pt idx="8">
                  <c:v>1728.7224511736247</c:v>
                </c:pt>
                <c:pt idx="9">
                  <c:v>3457.4449023472494</c:v>
                </c:pt>
                <c:pt idx="10">
                  <c:v>6914.8898046944987</c:v>
                </c:pt>
                <c:pt idx="11">
                  <c:v>13829.779609388997</c:v>
                </c:pt>
                <c:pt idx="12">
                  <c:v>27659.559218777995</c:v>
                </c:pt>
                <c:pt idx="13">
                  <c:v>55319.11843755599</c:v>
                </c:pt>
                <c:pt idx="14">
                  <c:v>110638.23687511198</c:v>
                </c:pt>
                <c:pt idx="15">
                  <c:v>138297.79609388998</c:v>
                </c:pt>
                <c:pt idx="16">
                  <c:v>165957.35531266799</c:v>
                </c:pt>
                <c:pt idx="17">
                  <c:v>193616.91453144597</c:v>
                </c:pt>
                <c:pt idx="18">
                  <c:v>221276.47375022396</c:v>
                </c:pt>
                <c:pt idx="19">
                  <c:v>283233.88640028669</c:v>
                </c:pt>
                <c:pt idx="20">
                  <c:v>331914.71062533598</c:v>
                </c:pt>
                <c:pt idx="21">
                  <c:v>387233.82906289195</c:v>
                </c:pt>
                <c:pt idx="22">
                  <c:v>442552.94750044792</c:v>
                </c:pt>
                <c:pt idx="23">
                  <c:v>531063.5370005375</c:v>
                </c:pt>
                <c:pt idx="24">
                  <c:v>619574.12650062714</c:v>
                </c:pt>
                <c:pt idx="25">
                  <c:v>708084.71600071667</c:v>
                </c:pt>
                <c:pt idx="26">
                  <c:v>796595.30550080631</c:v>
                </c:pt>
                <c:pt idx="27">
                  <c:v>885105.89500089583</c:v>
                </c:pt>
                <c:pt idx="28">
                  <c:v>1062127.074001075</c:v>
                </c:pt>
                <c:pt idx="29">
                  <c:v>1239148.2530012543</c:v>
                </c:pt>
                <c:pt idx="30">
                  <c:v>1416169.4320014333</c:v>
                </c:pt>
                <c:pt idx="31">
                  <c:v>1593190.6110016126</c:v>
                </c:pt>
                <c:pt idx="32">
                  <c:v>1770211.7900017917</c:v>
                </c:pt>
                <c:pt idx="33">
                  <c:v>2124254.14800215</c:v>
                </c:pt>
                <c:pt idx="34">
                  <c:v>2478296.5060025086</c:v>
                </c:pt>
                <c:pt idx="35">
                  <c:v>2832338.8640028667</c:v>
                </c:pt>
                <c:pt idx="36">
                  <c:v>3186381.2220032252</c:v>
                </c:pt>
                <c:pt idx="37">
                  <c:v>3540423.5800035833</c:v>
                </c:pt>
              </c:numCache>
            </c:numRef>
          </c:val>
          <c:smooth val="0"/>
          <c:extLst>
            <c:ext xmlns:c16="http://schemas.microsoft.com/office/drawing/2014/chart" uri="{C3380CC4-5D6E-409C-BE32-E72D297353CC}">
              <c16:uniqueId val="{00000006-7972-43AB-83E8-C2C99B4277B0}"/>
            </c:ext>
          </c:extLst>
        </c:ser>
        <c:ser>
          <c:idx val="14"/>
          <c:order val="7"/>
          <c:tx>
            <c:strRef>
              <c:f>Projections!$A$412</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Projections!$R$412:$BM$412</c15:sqref>
                  </c15:fullRef>
                </c:ext>
              </c:extLst>
              <c:f>Projections!$R$412:$BC$412</c:f>
              <c:numCache>
                <c:formatCode>#,##0</c:formatCode>
                <c:ptCount val="3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pt idx="28">
                  <c:v>141793.08367676043</c:v>
                </c:pt>
                <c:pt idx="29">
                  <c:v>165425.26428955383</c:v>
                </c:pt>
                <c:pt idx="30">
                  <c:v>189057.44490234726</c:v>
                </c:pt>
                <c:pt idx="31">
                  <c:v>212689.62551514065</c:v>
                </c:pt>
                <c:pt idx="32">
                  <c:v>236321.80612793405</c:v>
                </c:pt>
                <c:pt idx="33">
                  <c:v>283586.16735352087</c:v>
                </c:pt>
                <c:pt idx="34">
                  <c:v>330850.52857910766</c:v>
                </c:pt>
                <c:pt idx="35">
                  <c:v>378114.88980469451</c:v>
                </c:pt>
                <c:pt idx="36">
                  <c:v>425379.2510302813</c:v>
                </c:pt>
                <c:pt idx="37">
                  <c:v>472643.61225586809</c:v>
                </c:pt>
              </c:numCache>
            </c:numRef>
          </c:val>
          <c:smooth val="0"/>
          <c:extLst>
            <c:ext xmlns:c16="http://schemas.microsoft.com/office/drawing/2014/chart" uri="{C3380CC4-5D6E-409C-BE32-E72D297353CC}">
              <c16:uniqueId val="{00000007-7972-43AB-83E8-C2C99B4277B0}"/>
            </c:ext>
          </c:extLst>
        </c:ser>
        <c:ser>
          <c:idx val="16"/>
          <c:order val="8"/>
          <c:tx>
            <c:strRef>
              <c:f>Projections!$A$414</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Projections!$R$414:$BM$414</c15:sqref>
                  </c15:fullRef>
                </c:ext>
              </c:extLst>
              <c:f>Projections!$R$414:$BC$414</c:f>
              <c:numCache>
                <c:formatCode>#,##0</c:formatCode>
                <c:ptCount val="38"/>
                <c:pt idx="0">
                  <c:v>0.30796452248700945</c:v>
                </c:pt>
                <c:pt idx="1">
                  <c:v>0.6159290449740189</c:v>
                </c:pt>
                <c:pt idx="2">
                  <c:v>1.2318580899480378</c:v>
                </c:pt>
                <c:pt idx="3">
                  <c:v>2.4637161798960756</c:v>
                </c:pt>
                <c:pt idx="4">
                  <c:v>4.9274323597921512</c:v>
                </c:pt>
                <c:pt idx="5">
                  <c:v>9.8548647195843024</c:v>
                </c:pt>
                <c:pt idx="6">
                  <c:v>19.709729439168605</c:v>
                </c:pt>
                <c:pt idx="7">
                  <c:v>39.41945887833721</c:v>
                </c:pt>
                <c:pt idx="8">
                  <c:v>78.838917756674419</c:v>
                </c:pt>
                <c:pt idx="9">
                  <c:v>157.67783551334884</c:v>
                </c:pt>
                <c:pt idx="10">
                  <c:v>315.35567102669768</c:v>
                </c:pt>
                <c:pt idx="11">
                  <c:v>630.71134205339536</c:v>
                </c:pt>
                <c:pt idx="12">
                  <c:v>1261.4226841067907</c:v>
                </c:pt>
                <c:pt idx="13">
                  <c:v>2522.8453682135814</c:v>
                </c:pt>
                <c:pt idx="14">
                  <c:v>5045.6907364271628</c:v>
                </c:pt>
                <c:pt idx="15">
                  <c:v>6307.113420533954</c:v>
                </c:pt>
                <c:pt idx="16">
                  <c:v>7568.5361046407452</c:v>
                </c:pt>
                <c:pt idx="17">
                  <c:v>8829.9587887475354</c:v>
                </c:pt>
                <c:pt idx="18">
                  <c:v>10091.381472854326</c:v>
                </c:pt>
                <c:pt idx="19">
                  <c:v>12916.968285253537</c:v>
                </c:pt>
                <c:pt idx="20">
                  <c:v>15137.07220928149</c:v>
                </c:pt>
                <c:pt idx="21">
                  <c:v>17659.917577495071</c:v>
                </c:pt>
                <c:pt idx="22">
                  <c:v>20182.762945708651</c:v>
                </c:pt>
                <c:pt idx="23">
                  <c:v>24219.315534850382</c:v>
                </c:pt>
                <c:pt idx="24">
                  <c:v>28255.868123992113</c:v>
                </c:pt>
                <c:pt idx="25">
                  <c:v>32292.420713133844</c:v>
                </c:pt>
                <c:pt idx="26">
                  <c:v>36328.973302275575</c:v>
                </c:pt>
                <c:pt idx="27">
                  <c:v>40365.525891417303</c:v>
                </c:pt>
                <c:pt idx="28">
                  <c:v>48438.631069700765</c:v>
                </c:pt>
                <c:pt idx="29">
                  <c:v>56511.736247984227</c:v>
                </c:pt>
                <c:pt idx="30">
                  <c:v>64584.841426267689</c:v>
                </c:pt>
                <c:pt idx="31">
                  <c:v>72657.946604551151</c:v>
                </c:pt>
                <c:pt idx="32">
                  <c:v>80731.051782834606</c:v>
                </c:pt>
                <c:pt idx="33">
                  <c:v>96877.26213940153</c:v>
                </c:pt>
                <c:pt idx="34">
                  <c:v>113023.47249596845</c:v>
                </c:pt>
                <c:pt idx="35">
                  <c:v>129169.68285253538</c:v>
                </c:pt>
                <c:pt idx="36">
                  <c:v>145315.8932091023</c:v>
                </c:pt>
                <c:pt idx="37">
                  <c:v>161462.10356566921</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Projections!$A$398</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Projections!$R$399:$BM$399</c15:sqref>
                  </c15:fullRef>
                </c:ext>
              </c:extLst>
              <c:f>Projections!$R$399:$BC$399</c:f>
              <c:numCache>
                <c:formatCode>#,##0</c:formatCode>
                <c:ptCount val="38"/>
                <c:pt idx="0">
                  <c:v>0.13342142985128111</c:v>
                </c:pt>
                <c:pt idx="1">
                  <c:v>0.26684285970256222</c:v>
                </c:pt>
                <c:pt idx="2">
                  <c:v>0.53368571940512444</c:v>
                </c:pt>
                <c:pt idx="3">
                  <c:v>1.0673714388102489</c:v>
                </c:pt>
                <c:pt idx="4">
                  <c:v>2.1347428776204977</c:v>
                </c:pt>
                <c:pt idx="5">
                  <c:v>4.2694857552409955</c:v>
                </c:pt>
                <c:pt idx="6">
                  <c:v>8.538971510481991</c:v>
                </c:pt>
                <c:pt idx="7">
                  <c:v>17.077943020963982</c:v>
                </c:pt>
                <c:pt idx="8">
                  <c:v>34.155886041927964</c:v>
                </c:pt>
                <c:pt idx="9">
                  <c:v>68.311772083855928</c:v>
                </c:pt>
                <c:pt idx="10">
                  <c:v>136.62354416771186</c:v>
                </c:pt>
                <c:pt idx="11">
                  <c:v>273.24708833542371</c:v>
                </c:pt>
                <c:pt idx="12">
                  <c:v>546.49417667084742</c:v>
                </c:pt>
                <c:pt idx="13">
                  <c:v>1092.9883533416948</c:v>
                </c:pt>
                <c:pt idx="14">
                  <c:v>2185.9767066833897</c:v>
                </c:pt>
                <c:pt idx="15">
                  <c:v>2732.4708833542377</c:v>
                </c:pt>
                <c:pt idx="16">
                  <c:v>3278.9650600250848</c:v>
                </c:pt>
                <c:pt idx="17">
                  <c:v>3825.4592366959323</c:v>
                </c:pt>
                <c:pt idx="18">
                  <c:v>4371.9534133667794</c:v>
                </c:pt>
                <c:pt idx="19">
                  <c:v>5596.1003691094775</c:v>
                </c:pt>
                <c:pt idx="20">
                  <c:v>6557.9301200501695</c:v>
                </c:pt>
                <c:pt idx="21">
                  <c:v>7650.9184733918646</c:v>
                </c:pt>
                <c:pt idx="22">
                  <c:v>8743.9068267335588</c:v>
                </c:pt>
                <c:pt idx="23">
                  <c:v>10492.688192080272</c:v>
                </c:pt>
                <c:pt idx="24">
                  <c:v>12241.469557426983</c:v>
                </c:pt>
                <c:pt idx="25">
                  <c:v>13990.250922773695</c:v>
                </c:pt>
                <c:pt idx="26">
                  <c:v>15739.032288120407</c:v>
                </c:pt>
                <c:pt idx="27">
                  <c:v>17487.813653467118</c:v>
                </c:pt>
                <c:pt idx="28">
                  <c:v>20985.376384160543</c:v>
                </c:pt>
                <c:pt idx="29">
                  <c:v>24482.939114853965</c:v>
                </c:pt>
                <c:pt idx="30">
                  <c:v>27980.501845547391</c:v>
                </c:pt>
                <c:pt idx="31">
                  <c:v>31478.064576240813</c:v>
                </c:pt>
                <c:pt idx="32">
                  <c:v>34975.627306934235</c:v>
                </c:pt>
                <c:pt idx="33">
                  <c:v>41970.752768321086</c:v>
                </c:pt>
                <c:pt idx="34">
                  <c:v>48965.878229707931</c:v>
                </c:pt>
                <c:pt idx="35">
                  <c:v>55961.003691094782</c:v>
                </c:pt>
                <c:pt idx="36">
                  <c:v>62956.129152481626</c:v>
                </c:pt>
                <c:pt idx="37">
                  <c:v>69951.25461386847</c:v>
                </c:pt>
              </c:numCache>
            </c:numRef>
          </c:val>
          <c:smooth val="0"/>
          <c:extLst>
            <c:ext xmlns:c16="http://schemas.microsoft.com/office/drawing/2014/chart" uri="{C3380CC4-5D6E-409C-BE32-E72D297353CC}">
              <c16:uniqueId val="{00000000-FE50-482D-905D-7C3B099138E4}"/>
            </c:ext>
          </c:extLst>
        </c:ser>
        <c:ser>
          <c:idx val="3"/>
          <c:order val="1"/>
          <c:tx>
            <c:strRef>
              <c:f>Projections!$A$400</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Projections!$R$401:$BM$401</c15:sqref>
                  </c15:fullRef>
                </c:ext>
              </c:extLst>
              <c:f>Projections!$R$401:$BC$401</c:f>
              <c:numCache>
                <c:formatCode>#,##0</c:formatCode>
                <c:ptCount val="38"/>
                <c:pt idx="0">
                  <c:v>0.26652929582512097</c:v>
                </c:pt>
                <c:pt idx="1">
                  <c:v>0.53305859165024194</c:v>
                </c:pt>
                <c:pt idx="2">
                  <c:v>1.0661171833004839</c:v>
                </c:pt>
                <c:pt idx="3">
                  <c:v>2.1322343666009678</c:v>
                </c:pt>
                <c:pt idx="4">
                  <c:v>4.2644687332019355</c:v>
                </c:pt>
                <c:pt idx="5">
                  <c:v>8.5289374664038711</c:v>
                </c:pt>
                <c:pt idx="6">
                  <c:v>17.057874932807742</c:v>
                </c:pt>
                <c:pt idx="7">
                  <c:v>34.115749865615484</c:v>
                </c:pt>
                <c:pt idx="8">
                  <c:v>68.231499731230969</c:v>
                </c:pt>
                <c:pt idx="9">
                  <c:v>136.46299946246194</c:v>
                </c:pt>
                <c:pt idx="10">
                  <c:v>272.92599892492387</c:v>
                </c:pt>
                <c:pt idx="11">
                  <c:v>545.85199784984775</c:v>
                </c:pt>
                <c:pt idx="12">
                  <c:v>1091.7039956996955</c:v>
                </c:pt>
                <c:pt idx="13">
                  <c:v>2183.407991399391</c:v>
                </c:pt>
                <c:pt idx="14">
                  <c:v>4366.815982798782</c:v>
                </c:pt>
                <c:pt idx="15">
                  <c:v>5458.519978498477</c:v>
                </c:pt>
                <c:pt idx="16">
                  <c:v>6550.2239741981721</c:v>
                </c:pt>
                <c:pt idx="17">
                  <c:v>7641.9279698978671</c:v>
                </c:pt>
                <c:pt idx="18">
                  <c:v>8733.631965597564</c:v>
                </c:pt>
                <c:pt idx="19">
                  <c:v>11179.048915964881</c:v>
                </c:pt>
                <c:pt idx="20">
                  <c:v>13100.447948396344</c:v>
                </c:pt>
                <c:pt idx="21">
                  <c:v>15283.855939795734</c:v>
                </c:pt>
                <c:pt idx="22">
                  <c:v>17467.263931195128</c:v>
                </c:pt>
                <c:pt idx="23">
                  <c:v>20960.716717434152</c:v>
                </c:pt>
                <c:pt idx="24">
                  <c:v>24454.169503673176</c:v>
                </c:pt>
                <c:pt idx="25">
                  <c:v>27947.622289912204</c:v>
                </c:pt>
                <c:pt idx="26">
                  <c:v>31441.075076151224</c:v>
                </c:pt>
                <c:pt idx="27">
                  <c:v>34934.527862390256</c:v>
                </c:pt>
                <c:pt idx="28">
                  <c:v>41921.433434868304</c:v>
                </c:pt>
                <c:pt idx="29">
                  <c:v>48908.339007346352</c:v>
                </c:pt>
                <c:pt idx="30">
                  <c:v>55895.244579824408</c:v>
                </c:pt>
                <c:pt idx="31">
                  <c:v>62882.150152302449</c:v>
                </c:pt>
                <c:pt idx="32">
                  <c:v>69869.055724780512</c:v>
                </c:pt>
                <c:pt idx="33">
                  <c:v>83842.866869736608</c:v>
                </c:pt>
                <c:pt idx="34">
                  <c:v>97816.678014692705</c:v>
                </c:pt>
                <c:pt idx="35">
                  <c:v>111790.48915964882</c:v>
                </c:pt>
                <c:pt idx="36">
                  <c:v>125764.3003046049</c:v>
                </c:pt>
                <c:pt idx="37">
                  <c:v>139738.11144956102</c:v>
                </c:pt>
              </c:numCache>
            </c:numRef>
          </c:val>
          <c:smooth val="0"/>
          <c:extLst>
            <c:ext xmlns:c16="http://schemas.microsoft.com/office/drawing/2014/chart" uri="{C3380CC4-5D6E-409C-BE32-E72D297353CC}">
              <c16:uniqueId val="{00000001-FE50-482D-905D-7C3B099138E4}"/>
            </c:ext>
          </c:extLst>
        </c:ser>
        <c:ser>
          <c:idx val="5"/>
          <c:order val="2"/>
          <c:tx>
            <c:strRef>
              <c:f>Projections!$A$402</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Projections!$R$403:$BM$403</c15:sqref>
                  </c15:fullRef>
                </c:ext>
              </c:extLst>
              <c:f>Projections!$R$403:$BC$403</c:f>
              <c:numCache>
                <c:formatCode>#,##0</c:formatCode>
                <c:ptCount val="38"/>
                <c:pt idx="0">
                  <c:v>0.18827271098369466</c:v>
                </c:pt>
                <c:pt idx="1">
                  <c:v>0.37654542196738933</c:v>
                </c:pt>
                <c:pt idx="2">
                  <c:v>0.75309084393477865</c:v>
                </c:pt>
                <c:pt idx="3">
                  <c:v>1.5061816878695573</c:v>
                </c:pt>
                <c:pt idx="4">
                  <c:v>3.0123633757391146</c:v>
                </c:pt>
                <c:pt idx="5">
                  <c:v>6.0247267514782292</c:v>
                </c:pt>
                <c:pt idx="6">
                  <c:v>12.049453502956458</c:v>
                </c:pt>
                <c:pt idx="7">
                  <c:v>24.098907005912917</c:v>
                </c:pt>
                <c:pt idx="8">
                  <c:v>48.197814011825834</c:v>
                </c:pt>
                <c:pt idx="9">
                  <c:v>96.395628023651668</c:v>
                </c:pt>
                <c:pt idx="10">
                  <c:v>192.79125604730334</c:v>
                </c:pt>
                <c:pt idx="11">
                  <c:v>385.58251209460667</c:v>
                </c:pt>
                <c:pt idx="12">
                  <c:v>771.16502418921334</c:v>
                </c:pt>
                <c:pt idx="13">
                  <c:v>1542.3300483784267</c:v>
                </c:pt>
                <c:pt idx="14">
                  <c:v>3084.6600967568534</c:v>
                </c:pt>
                <c:pt idx="15">
                  <c:v>3855.8251209460664</c:v>
                </c:pt>
                <c:pt idx="16">
                  <c:v>4626.9901451352798</c:v>
                </c:pt>
                <c:pt idx="17">
                  <c:v>5398.1551693244928</c:v>
                </c:pt>
                <c:pt idx="18">
                  <c:v>6169.3201935137067</c:v>
                </c:pt>
                <c:pt idx="19">
                  <c:v>7896.7298476975438</c:v>
                </c:pt>
                <c:pt idx="20">
                  <c:v>9253.9802902705596</c:v>
                </c:pt>
                <c:pt idx="21">
                  <c:v>10796.310338648986</c:v>
                </c:pt>
                <c:pt idx="22">
                  <c:v>12338.640387027413</c:v>
                </c:pt>
                <c:pt idx="23">
                  <c:v>14806.368464432895</c:v>
                </c:pt>
                <c:pt idx="24">
                  <c:v>17274.096541838378</c:v>
                </c:pt>
                <c:pt idx="25">
                  <c:v>19741.82461924386</c:v>
                </c:pt>
                <c:pt idx="26">
                  <c:v>22209.552696649342</c:v>
                </c:pt>
                <c:pt idx="27">
                  <c:v>24677.280774054827</c:v>
                </c:pt>
                <c:pt idx="28">
                  <c:v>29612.73692886579</c:v>
                </c:pt>
                <c:pt idx="29">
                  <c:v>34548.193083676757</c:v>
                </c:pt>
                <c:pt idx="30">
                  <c:v>39483.64923848772</c:v>
                </c:pt>
                <c:pt idx="31">
                  <c:v>44419.105393298683</c:v>
                </c:pt>
                <c:pt idx="32">
                  <c:v>49354.561548109654</c:v>
                </c:pt>
                <c:pt idx="33">
                  <c:v>59225.47385773158</c:v>
                </c:pt>
                <c:pt idx="34">
                  <c:v>69096.386167353514</c:v>
                </c:pt>
                <c:pt idx="35">
                  <c:v>78967.29847697544</c:v>
                </c:pt>
                <c:pt idx="36">
                  <c:v>88838.210786597367</c:v>
                </c:pt>
                <c:pt idx="37">
                  <c:v>98709.123096219308</c:v>
                </c:pt>
              </c:numCache>
            </c:numRef>
          </c:val>
          <c:smooth val="0"/>
          <c:extLst>
            <c:ext xmlns:c16="http://schemas.microsoft.com/office/drawing/2014/chart" uri="{C3380CC4-5D6E-409C-BE32-E72D297353CC}">
              <c16:uniqueId val="{00000002-FE50-482D-905D-7C3B099138E4}"/>
            </c:ext>
          </c:extLst>
        </c:ser>
        <c:ser>
          <c:idx val="7"/>
          <c:order val="3"/>
          <c:tx>
            <c:strRef>
              <c:f>Projections!$A$404</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Projections!$R$405:$BM$405</c15:sqref>
                  </c15:fullRef>
                </c:ext>
              </c:extLst>
              <c:f>Projections!$R$405:$BC$405</c:f>
              <c:numCache>
                <c:formatCode>#,##0</c:formatCode>
                <c:ptCount val="38"/>
                <c:pt idx="0">
                  <c:v>6.3110329690019701E-2</c:v>
                </c:pt>
                <c:pt idx="1">
                  <c:v>0.1262206593800394</c:v>
                </c:pt>
                <c:pt idx="2">
                  <c:v>0.2524413187600788</c:v>
                </c:pt>
                <c:pt idx="3">
                  <c:v>0.50488263752015761</c:v>
                </c:pt>
                <c:pt idx="4">
                  <c:v>1.0097652750403152</c:v>
                </c:pt>
                <c:pt idx="5">
                  <c:v>2.0195305500806304</c:v>
                </c:pt>
                <c:pt idx="6">
                  <c:v>4.0390611001612609</c:v>
                </c:pt>
                <c:pt idx="7">
                  <c:v>8.0781222003225217</c:v>
                </c:pt>
                <c:pt idx="8">
                  <c:v>16.156244400645043</c:v>
                </c:pt>
                <c:pt idx="9">
                  <c:v>32.312488801290087</c:v>
                </c:pt>
                <c:pt idx="10">
                  <c:v>64.624977602580174</c:v>
                </c:pt>
                <c:pt idx="11">
                  <c:v>129.24995520516035</c:v>
                </c:pt>
                <c:pt idx="12">
                  <c:v>258.49991041032069</c:v>
                </c:pt>
                <c:pt idx="13">
                  <c:v>516.99982082064139</c:v>
                </c:pt>
                <c:pt idx="14">
                  <c:v>1033.9996416412828</c:v>
                </c:pt>
                <c:pt idx="15">
                  <c:v>1292.4995520516036</c:v>
                </c:pt>
                <c:pt idx="16">
                  <c:v>1550.9994624619244</c:v>
                </c:pt>
                <c:pt idx="17">
                  <c:v>1809.4993728722452</c:v>
                </c:pt>
                <c:pt idx="18">
                  <c:v>2067.9992832825656</c:v>
                </c:pt>
                <c:pt idx="19">
                  <c:v>2647.0390826016842</c:v>
                </c:pt>
                <c:pt idx="20">
                  <c:v>3101.9989249238488</c:v>
                </c:pt>
                <c:pt idx="21">
                  <c:v>3618.9987457444904</c:v>
                </c:pt>
                <c:pt idx="22">
                  <c:v>4135.9985665651311</c:v>
                </c:pt>
                <c:pt idx="23">
                  <c:v>4963.1982798781582</c:v>
                </c:pt>
                <c:pt idx="24">
                  <c:v>5790.3979931911845</c:v>
                </c:pt>
                <c:pt idx="25">
                  <c:v>6617.5977065042107</c:v>
                </c:pt>
                <c:pt idx="26">
                  <c:v>7444.7974198172369</c:v>
                </c:pt>
                <c:pt idx="27">
                  <c:v>8271.9971331302622</c:v>
                </c:pt>
                <c:pt idx="28">
                  <c:v>9926.3965597563165</c:v>
                </c:pt>
                <c:pt idx="29">
                  <c:v>11580.795986382369</c:v>
                </c:pt>
                <c:pt idx="30">
                  <c:v>13235.195413008421</c:v>
                </c:pt>
                <c:pt idx="31">
                  <c:v>14889.594839634474</c:v>
                </c:pt>
                <c:pt idx="32">
                  <c:v>16543.994266260524</c:v>
                </c:pt>
                <c:pt idx="33">
                  <c:v>19852.793119512633</c:v>
                </c:pt>
                <c:pt idx="34">
                  <c:v>23161.591972764738</c:v>
                </c:pt>
                <c:pt idx="35">
                  <c:v>26470.390826016843</c:v>
                </c:pt>
                <c:pt idx="36">
                  <c:v>29779.189679268948</c:v>
                </c:pt>
                <c:pt idx="37">
                  <c:v>33087.988532521049</c:v>
                </c:pt>
              </c:numCache>
            </c:numRef>
          </c:val>
          <c:smooth val="0"/>
          <c:extLst>
            <c:ext xmlns:c16="http://schemas.microsoft.com/office/drawing/2014/chart" uri="{C3380CC4-5D6E-409C-BE32-E72D297353CC}">
              <c16:uniqueId val="{00000003-FE50-482D-905D-7C3B099138E4}"/>
            </c:ext>
          </c:extLst>
        </c:ser>
        <c:ser>
          <c:idx val="9"/>
          <c:order val="4"/>
          <c:tx>
            <c:strRef>
              <c:f>Projections!$A$406</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Projections!$R$407:$BM$407</c15:sqref>
                  </c15:fullRef>
                </c:ext>
              </c:extLst>
              <c:f>Projections!$R$407:$BC$407</c:f>
              <c:numCache>
                <c:formatCode>#,##0</c:formatCode>
                <c:ptCount val="38"/>
                <c:pt idx="0">
                  <c:v>1.6215731947679626E-2</c:v>
                </c:pt>
                <c:pt idx="1">
                  <c:v>3.2431463895359253E-2</c:v>
                </c:pt>
                <c:pt idx="2">
                  <c:v>6.4862927790718505E-2</c:v>
                </c:pt>
                <c:pt idx="3">
                  <c:v>0.12972585558143701</c:v>
                </c:pt>
                <c:pt idx="4">
                  <c:v>0.25945171116287402</c:v>
                </c:pt>
                <c:pt idx="5">
                  <c:v>0.51890342232574804</c:v>
                </c:pt>
                <c:pt idx="6">
                  <c:v>1.0378068446514961</c:v>
                </c:pt>
                <c:pt idx="7">
                  <c:v>2.0756136893029922</c:v>
                </c:pt>
                <c:pt idx="8">
                  <c:v>4.1512273786059843</c:v>
                </c:pt>
                <c:pt idx="9">
                  <c:v>8.3024547572119687</c:v>
                </c:pt>
                <c:pt idx="10">
                  <c:v>16.604909514423937</c:v>
                </c:pt>
                <c:pt idx="11">
                  <c:v>33.209819028847875</c:v>
                </c:pt>
                <c:pt idx="12">
                  <c:v>66.419638057695749</c:v>
                </c:pt>
                <c:pt idx="13">
                  <c:v>132.8392761153915</c:v>
                </c:pt>
                <c:pt idx="14">
                  <c:v>265.678552230783</c:v>
                </c:pt>
                <c:pt idx="15">
                  <c:v>332.09819028847875</c:v>
                </c:pt>
                <c:pt idx="16">
                  <c:v>398.5178283461745</c:v>
                </c:pt>
                <c:pt idx="17">
                  <c:v>464.93746640387025</c:v>
                </c:pt>
                <c:pt idx="18">
                  <c:v>531.357104461566</c:v>
                </c:pt>
                <c:pt idx="19">
                  <c:v>680.13709371080449</c:v>
                </c:pt>
                <c:pt idx="20">
                  <c:v>797.03565669234899</c:v>
                </c:pt>
                <c:pt idx="21">
                  <c:v>929.87493280774049</c:v>
                </c:pt>
                <c:pt idx="22">
                  <c:v>1062.714208923132</c:v>
                </c:pt>
                <c:pt idx="23">
                  <c:v>1275.2570507077585</c:v>
                </c:pt>
                <c:pt idx="24">
                  <c:v>1487.799892492385</c:v>
                </c:pt>
                <c:pt idx="25">
                  <c:v>1700.3427342770112</c:v>
                </c:pt>
                <c:pt idx="26">
                  <c:v>1912.8855760616377</c:v>
                </c:pt>
                <c:pt idx="27">
                  <c:v>2125.428417846264</c:v>
                </c:pt>
                <c:pt idx="28">
                  <c:v>2550.514101415517</c:v>
                </c:pt>
                <c:pt idx="29">
                  <c:v>2975.5997849847699</c:v>
                </c:pt>
                <c:pt idx="30">
                  <c:v>3400.6854685540225</c:v>
                </c:pt>
                <c:pt idx="31">
                  <c:v>3825.7711521232754</c:v>
                </c:pt>
                <c:pt idx="32">
                  <c:v>4250.856835692528</c:v>
                </c:pt>
                <c:pt idx="33">
                  <c:v>5101.0282028310339</c:v>
                </c:pt>
                <c:pt idx="34">
                  <c:v>5951.1995699695399</c:v>
                </c:pt>
                <c:pt idx="35">
                  <c:v>6801.3709371080449</c:v>
                </c:pt>
                <c:pt idx="36">
                  <c:v>7651.5423042465509</c:v>
                </c:pt>
                <c:pt idx="37">
                  <c:v>8501.7136713850559</c:v>
                </c:pt>
              </c:numCache>
            </c:numRef>
          </c:val>
          <c:smooth val="0"/>
          <c:extLst>
            <c:ext xmlns:c16="http://schemas.microsoft.com/office/drawing/2014/chart" uri="{C3380CC4-5D6E-409C-BE32-E72D297353CC}">
              <c16:uniqueId val="{00000004-FE50-482D-905D-7C3B099138E4}"/>
            </c:ext>
          </c:extLst>
        </c:ser>
        <c:ser>
          <c:idx val="11"/>
          <c:order val="5"/>
          <c:tx>
            <c:strRef>
              <c:f>Projections!$A$408</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Projections!$R$409:$BM$409</c15:sqref>
                  </c15:fullRef>
                </c:ext>
              </c:extLst>
              <c:f>Projections!$R$409:$BC$409</c:f>
              <c:numCache>
                <c:formatCode>#,##0</c:formatCode>
                <c:ptCount val="38"/>
                <c:pt idx="0">
                  <c:v>9.8324672997670663E-3</c:v>
                </c:pt>
                <c:pt idx="1">
                  <c:v>1.9664934599534133E-2</c:v>
                </c:pt>
                <c:pt idx="2">
                  <c:v>3.9329869199068265E-2</c:v>
                </c:pt>
                <c:pt idx="3">
                  <c:v>7.8659738398136531E-2</c:v>
                </c:pt>
                <c:pt idx="4">
                  <c:v>0.15731947679627306</c:v>
                </c:pt>
                <c:pt idx="5">
                  <c:v>0.31463895359254612</c:v>
                </c:pt>
                <c:pt idx="6">
                  <c:v>0.62927790718509224</c:v>
                </c:pt>
                <c:pt idx="7">
                  <c:v>1.2585558143701845</c:v>
                </c:pt>
                <c:pt idx="8">
                  <c:v>2.517111628740369</c:v>
                </c:pt>
                <c:pt idx="9">
                  <c:v>5.034223257480738</c:v>
                </c:pt>
                <c:pt idx="10">
                  <c:v>10.068446514961476</c:v>
                </c:pt>
                <c:pt idx="11">
                  <c:v>20.136893029922952</c:v>
                </c:pt>
                <c:pt idx="12">
                  <c:v>40.273786059845904</c:v>
                </c:pt>
                <c:pt idx="13">
                  <c:v>80.547572119691807</c:v>
                </c:pt>
                <c:pt idx="14">
                  <c:v>161.09514423938361</c:v>
                </c:pt>
                <c:pt idx="15">
                  <c:v>201.3689302992295</c:v>
                </c:pt>
                <c:pt idx="16">
                  <c:v>241.64271635907542</c:v>
                </c:pt>
                <c:pt idx="17">
                  <c:v>281.91650241892131</c:v>
                </c:pt>
                <c:pt idx="18">
                  <c:v>322.19028847876723</c:v>
                </c:pt>
                <c:pt idx="19">
                  <c:v>412.40356925282208</c:v>
                </c:pt>
                <c:pt idx="20">
                  <c:v>483.28543271815084</c:v>
                </c:pt>
                <c:pt idx="21">
                  <c:v>563.83300483784262</c:v>
                </c:pt>
                <c:pt idx="22">
                  <c:v>644.38057695753446</c:v>
                </c:pt>
                <c:pt idx="23">
                  <c:v>773.25669234904137</c:v>
                </c:pt>
                <c:pt idx="24">
                  <c:v>902.13280774054829</c:v>
                </c:pt>
                <c:pt idx="25">
                  <c:v>1031.0089231320551</c:v>
                </c:pt>
                <c:pt idx="26">
                  <c:v>1159.8850385235621</c:v>
                </c:pt>
                <c:pt idx="27">
                  <c:v>1288.7611539150689</c:v>
                </c:pt>
                <c:pt idx="28">
                  <c:v>1546.5133846980827</c:v>
                </c:pt>
                <c:pt idx="29">
                  <c:v>1804.2656154810966</c:v>
                </c:pt>
                <c:pt idx="30">
                  <c:v>2062.0178462641102</c:v>
                </c:pt>
                <c:pt idx="31">
                  <c:v>2319.7700770471242</c:v>
                </c:pt>
                <c:pt idx="32">
                  <c:v>2577.5223078301378</c:v>
                </c:pt>
                <c:pt idx="33">
                  <c:v>3093.0267693961655</c:v>
                </c:pt>
                <c:pt idx="34">
                  <c:v>3608.5312309621931</c:v>
                </c:pt>
                <c:pt idx="35">
                  <c:v>4124.0356925282204</c:v>
                </c:pt>
                <c:pt idx="36">
                  <c:v>4639.5401540942485</c:v>
                </c:pt>
                <c:pt idx="37">
                  <c:v>5155.0446156602757</c:v>
                </c:pt>
              </c:numCache>
            </c:numRef>
          </c:val>
          <c:smooth val="0"/>
          <c:extLst>
            <c:ext xmlns:c16="http://schemas.microsoft.com/office/drawing/2014/chart" uri="{C3380CC4-5D6E-409C-BE32-E72D297353CC}">
              <c16:uniqueId val="{00000005-FE50-482D-905D-7C3B099138E4}"/>
            </c:ext>
          </c:extLst>
        </c:ser>
        <c:ser>
          <c:idx val="13"/>
          <c:order val="6"/>
          <c:tx>
            <c:strRef>
              <c:f>Projections!$A$410</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Projections!$R$411:$BM$411</c15:sqref>
                  </c15:fullRef>
                </c:ext>
              </c:extLst>
              <c:f>Projections!$R$411:$BC$411</c:f>
              <c:numCache>
                <c:formatCode>#,##0</c:formatCode>
                <c:ptCount val="38"/>
                <c:pt idx="0">
                  <c:v>1.3505644149793944E-2</c:v>
                </c:pt>
                <c:pt idx="1">
                  <c:v>2.7011288299587887E-2</c:v>
                </c:pt>
                <c:pt idx="2">
                  <c:v>5.4022576599175774E-2</c:v>
                </c:pt>
                <c:pt idx="3">
                  <c:v>0.10804515319835155</c:v>
                </c:pt>
                <c:pt idx="4">
                  <c:v>0.2160903063967031</c:v>
                </c:pt>
                <c:pt idx="5">
                  <c:v>0.43218061279340619</c:v>
                </c:pt>
                <c:pt idx="6">
                  <c:v>0.86436122558681239</c:v>
                </c:pt>
                <c:pt idx="7">
                  <c:v>1.7287224511736248</c:v>
                </c:pt>
                <c:pt idx="8">
                  <c:v>3.4574449023472495</c:v>
                </c:pt>
                <c:pt idx="9">
                  <c:v>6.9148898046944991</c:v>
                </c:pt>
                <c:pt idx="10">
                  <c:v>13.829779609388998</c:v>
                </c:pt>
                <c:pt idx="11">
                  <c:v>27.659559218777996</c:v>
                </c:pt>
                <c:pt idx="12">
                  <c:v>55.319118437555993</c:v>
                </c:pt>
                <c:pt idx="13">
                  <c:v>110.63823687511199</c:v>
                </c:pt>
                <c:pt idx="14">
                  <c:v>221.27647375022397</c:v>
                </c:pt>
                <c:pt idx="15">
                  <c:v>276.59559218777997</c:v>
                </c:pt>
                <c:pt idx="16">
                  <c:v>331.914710625336</c:v>
                </c:pt>
                <c:pt idx="17">
                  <c:v>387.23382906289197</c:v>
                </c:pt>
                <c:pt idx="18">
                  <c:v>442.55294750044794</c:v>
                </c:pt>
                <c:pt idx="19">
                  <c:v>566.46777280057336</c:v>
                </c:pt>
                <c:pt idx="20">
                  <c:v>663.829421250672</c:v>
                </c:pt>
                <c:pt idx="21">
                  <c:v>774.46765812578394</c:v>
                </c:pt>
                <c:pt idx="22">
                  <c:v>885.10589500089588</c:v>
                </c:pt>
                <c:pt idx="23">
                  <c:v>1062.127074001075</c:v>
                </c:pt>
                <c:pt idx="24">
                  <c:v>1239.1482530012543</c:v>
                </c:pt>
                <c:pt idx="25">
                  <c:v>1416.1694320014333</c:v>
                </c:pt>
                <c:pt idx="26">
                  <c:v>1593.1906110016128</c:v>
                </c:pt>
                <c:pt idx="27">
                  <c:v>1770.2117900017918</c:v>
                </c:pt>
                <c:pt idx="28">
                  <c:v>2124.25414800215</c:v>
                </c:pt>
                <c:pt idx="29">
                  <c:v>2478.2965060025085</c:v>
                </c:pt>
                <c:pt idx="30">
                  <c:v>2832.3388640028666</c:v>
                </c:pt>
                <c:pt idx="31">
                  <c:v>3186.3812220032255</c:v>
                </c:pt>
                <c:pt idx="32">
                  <c:v>3540.4235800035835</c:v>
                </c:pt>
                <c:pt idx="33">
                  <c:v>4248.5082960043001</c:v>
                </c:pt>
                <c:pt idx="34">
                  <c:v>4956.593012005017</c:v>
                </c:pt>
                <c:pt idx="35">
                  <c:v>5664.6777280057331</c:v>
                </c:pt>
                <c:pt idx="36">
                  <c:v>6372.762444006451</c:v>
                </c:pt>
                <c:pt idx="37">
                  <c:v>7080.8471600071671</c:v>
                </c:pt>
              </c:numCache>
            </c:numRef>
          </c:val>
          <c:smooth val="0"/>
          <c:extLst>
            <c:ext xmlns:c16="http://schemas.microsoft.com/office/drawing/2014/chart" uri="{C3380CC4-5D6E-409C-BE32-E72D297353CC}">
              <c16:uniqueId val="{00000006-FE50-482D-905D-7C3B099138E4}"/>
            </c:ext>
          </c:extLst>
        </c:ser>
        <c:ser>
          <c:idx val="15"/>
          <c:order val="7"/>
          <c:tx>
            <c:strRef>
              <c:f>Projections!$A$412</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Projections!$R$413:$BM$413</c15:sqref>
                  </c15:fullRef>
                </c:ext>
              </c:extLst>
              <c:f>Projections!$R$413:$BC$413</c:f>
              <c:numCache>
                <c:formatCode>#,##0</c:formatCode>
                <c:ptCount val="38"/>
                <c:pt idx="0">
                  <c:v>1.8029922952875828E-3</c:v>
                </c:pt>
                <c:pt idx="1">
                  <c:v>3.6059845905751656E-3</c:v>
                </c:pt>
                <c:pt idx="2">
                  <c:v>7.2119691811503312E-3</c:v>
                </c:pt>
                <c:pt idx="3">
                  <c:v>1.4423938362300662E-2</c:v>
                </c:pt>
                <c:pt idx="4">
                  <c:v>2.8847876724601325E-2</c:v>
                </c:pt>
                <c:pt idx="5">
                  <c:v>5.769575344920265E-2</c:v>
                </c:pt>
                <c:pt idx="6">
                  <c:v>0.1153915068984053</c:v>
                </c:pt>
                <c:pt idx="7">
                  <c:v>0.2307830137968106</c:v>
                </c:pt>
                <c:pt idx="8">
                  <c:v>0.4615660275936212</c:v>
                </c:pt>
                <c:pt idx="9">
                  <c:v>0.9231320551872424</c:v>
                </c:pt>
                <c:pt idx="10">
                  <c:v>1.8462641103744848</c:v>
                </c:pt>
                <c:pt idx="11">
                  <c:v>3.6925282207489696</c:v>
                </c:pt>
                <c:pt idx="12">
                  <c:v>7.3850564414979392</c:v>
                </c:pt>
                <c:pt idx="13">
                  <c:v>14.770112882995878</c:v>
                </c:pt>
                <c:pt idx="14">
                  <c:v>29.540225765991757</c:v>
                </c:pt>
                <c:pt idx="15">
                  <c:v>36.925282207489701</c:v>
                </c:pt>
                <c:pt idx="16">
                  <c:v>44.310338648987639</c:v>
                </c:pt>
                <c:pt idx="17">
                  <c:v>51.695395090485576</c:v>
                </c:pt>
                <c:pt idx="18">
                  <c:v>59.080451531983513</c:v>
                </c:pt>
                <c:pt idx="19">
                  <c:v>75.622977960938897</c:v>
                </c:pt>
                <c:pt idx="20">
                  <c:v>88.620677297975277</c:v>
                </c:pt>
                <c:pt idx="21">
                  <c:v>103.39079018097115</c:v>
                </c:pt>
                <c:pt idx="22">
                  <c:v>118.16090306396703</c:v>
                </c:pt>
                <c:pt idx="23">
                  <c:v>141.79308367676043</c:v>
                </c:pt>
                <c:pt idx="24">
                  <c:v>165.42526428955384</c:v>
                </c:pt>
                <c:pt idx="25">
                  <c:v>189.05744490234727</c:v>
                </c:pt>
                <c:pt idx="26">
                  <c:v>212.68962551514065</c:v>
                </c:pt>
                <c:pt idx="27">
                  <c:v>236.32180612793405</c:v>
                </c:pt>
                <c:pt idx="28">
                  <c:v>283.58616735352086</c:v>
                </c:pt>
                <c:pt idx="29">
                  <c:v>330.85052857910767</c:v>
                </c:pt>
                <c:pt idx="30">
                  <c:v>378.11488980469454</c:v>
                </c:pt>
                <c:pt idx="31">
                  <c:v>425.3792510302813</c:v>
                </c:pt>
                <c:pt idx="32">
                  <c:v>472.64361225586811</c:v>
                </c:pt>
                <c:pt idx="33">
                  <c:v>567.17233470704173</c:v>
                </c:pt>
                <c:pt idx="34">
                  <c:v>661.70105715821535</c:v>
                </c:pt>
                <c:pt idx="35">
                  <c:v>756.22977960938908</c:v>
                </c:pt>
                <c:pt idx="36">
                  <c:v>850.75850206056259</c:v>
                </c:pt>
                <c:pt idx="37">
                  <c:v>945.28722451173621</c:v>
                </c:pt>
              </c:numCache>
            </c:numRef>
          </c:val>
          <c:smooth val="0"/>
          <c:extLst>
            <c:ext xmlns:c16="http://schemas.microsoft.com/office/drawing/2014/chart" uri="{C3380CC4-5D6E-409C-BE32-E72D297353CC}">
              <c16:uniqueId val="{00000007-FE50-482D-905D-7C3B099138E4}"/>
            </c:ext>
          </c:extLst>
        </c:ser>
        <c:ser>
          <c:idx val="17"/>
          <c:order val="8"/>
          <c:tx>
            <c:strRef>
              <c:f>Projections!$A$414</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Projections!$R$415:$BM$415</c15:sqref>
                  </c15:fullRef>
                </c:ext>
              </c:extLst>
              <c:f>Projections!$R$415:$BC$415</c:f>
              <c:numCache>
                <c:formatCode>#,##0</c:formatCode>
                <c:ptCount val="3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Projections!$A$427</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Projections!$R$427:$BM$427</c15:sqref>
                  </c15:fullRef>
                </c:ext>
              </c:extLst>
              <c:f>Projections!$R$427:$BC$427</c:f>
              <c:numCache>
                <c:formatCode>#,##0</c:formatCode>
                <c:ptCount val="38"/>
                <c:pt idx="0">
                  <c:v>14.375</c:v>
                </c:pt>
                <c:pt idx="1">
                  <c:v>28.75</c:v>
                </c:pt>
                <c:pt idx="2">
                  <c:v>57.5</c:v>
                </c:pt>
                <c:pt idx="3">
                  <c:v>115</c:v>
                </c:pt>
                <c:pt idx="4">
                  <c:v>230</c:v>
                </c:pt>
                <c:pt idx="5">
                  <c:v>460</c:v>
                </c:pt>
                <c:pt idx="6">
                  <c:v>920</c:v>
                </c:pt>
                <c:pt idx="7">
                  <c:v>1840</c:v>
                </c:pt>
                <c:pt idx="8">
                  <c:v>3680</c:v>
                </c:pt>
                <c:pt idx="9">
                  <c:v>7360</c:v>
                </c:pt>
                <c:pt idx="10">
                  <c:v>14720</c:v>
                </c:pt>
                <c:pt idx="11">
                  <c:v>29440</c:v>
                </c:pt>
                <c:pt idx="12">
                  <c:v>58880</c:v>
                </c:pt>
                <c:pt idx="13">
                  <c:v>117760</c:v>
                </c:pt>
                <c:pt idx="14">
                  <c:v>235520</c:v>
                </c:pt>
                <c:pt idx="15">
                  <c:v>294400</c:v>
                </c:pt>
                <c:pt idx="16">
                  <c:v>353280</c:v>
                </c:pt>
                <c:pt idx="17">
                  <c:v>412160</c:v>
                </c:pt>
                <c:pt idx="18">
                  <c:v>471040</c:v>
                </c:pt>
                <c:pt idx="19">
                  <c:v>602931.20000000007</c:v>
                </c:pt>
                <c:pt idx="20">
                  <c:v>706560</c:v>
                </c:pt>
                <c:pt idx="21">
                  <c:v>824320</c:v>
                </c:pt>
                <c:pt idx="22">
                  <c:v>942080</c:v>
                </c:pt>
                <c:pt idx="23">
                  <c:v>1130496</c:v>
                </c:pt>
                <c:pt idx="24">
                  <c:v>1318912</c:v>
                </c:pt>
                <c:pt idx="25">
                  <c:v>1507328</c:v>
                </c:pt>
                <c:pt idx="26">
                  <c:v>1695744</c:v>
                </c:pt>
                <c:pt idx="27">
                  <c:v>1884160</c:v>
                </c:pt>
                <c:pt idx="28">
                  <c:v>2260992</c:v>
                </c:pt>
                <c:pt idx="29">
                  <c:v>2637824</c:v>
                </c:pt>
                <c:pt idx="30">
                  <c:v>3014656</c:v>
                </c:pt>
                <c:pt idx="31">
                  <c:v>3391488</c:v>
                </c:pt>
                <c:pt idx="32">
                  <c:v>3768320</c:v>
                </c:pt>
                <c:pt idx="33">
                  <c:v>4521984</c:v>
                </c:pt>
                <c:pt idx="34">
                  <c:v>5275648</c:v>
                </c:pt>
                <c:pt idx="35">
                  <c:v>6029312</c:v>
                </c:pt>
                <c:pt idx="36">
                  <c:v>6782976</c:v>
                </c:pt>
                <c:pt idx="37">
                  <c:v>7536640</c:v>
                </c:pt>
              </c:numCache>
            </c:numRef>
          </c:val>
          <c:smooth val="0"/>
          <c:extLst>
            <c:ext xmlns:c16="http://schemas.microsoft.com/office/drawing/2014/chart" uri="{C3380CC4-5D6E-409C-BE32-E72D297353CC}">
              <c16:uniqueId val="{00000000-C5BA-4495-93D4-AC4CA8674604}"/>
            </c:ext>
          </c:extLst>
        </c:ser>
        <c:ser>
          <c:idx val="4"/>
          <c:order val="1"/>
          <c:tx>
            <c:strRef>
              <c:f>Projections!$A$425</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Projections!$R$425:$BM$425</c15:sqref>
                  </c15:fullRef>
                </c:ext>
              </c:extLst>
              <c:f>Projections!$R$425:$BC$425</c:f>
              <c:numCache>
                <c:formatCode>#,##0</c:formatCode>
                <c:ptCount val="38"/>
                <c:pt idx="0">
                  <c:v>4.1875</c:v>
                </c:pt>
                <c:pt idx="1">
                  <c:v>8.375</c:v>
                </c:pt>
                <c:pt idx="2">
                  <c:v>16.75</c:v>
                </c:pt>
                <c:pt idx="3">
                  <c:v>33.5</c:v>
                </c:pt>
                <c:pt idx="4">
                  <c:v>67</c:v>
                </c:pt>
                <c:pt idx="5">
                  <c:v>134</c:v>
                </c:pt>
                <c:pt idx="6">
                  <c:v>268</c:v>
                </c:pt>
                <c:pt idx="7">
                  <c:v>536</c:v>
                </c:pt>
                <c:pt idx="8">
                  <c:v>1072</c:v>
                </c:pt>
                <c:pt idx="9">
                  <c:v>2144</c:v>
                </c:pt>
                <c:pt idx="10">
                  <c:v>4288</c:v>
                </c:pt>
                <c:pt idx="11">
                  <c:v>8576</c:v>
                </c:pt>
                <c:pt idx="12">
                  <c:v>17152</c:v>
                </c:pt>
                <c:pt idx="13">
                  <c:v>34304</c:v>
                </c:pt>
                <c:pt idx="14">
                  <c:v>68608</c:v>
                </c:pt>
                <c:pt idx="15">
                  <c:v>85760</c:v>
                </c:pt>
                <c:pt idx="16">
                  <c:v>102912</c:v>
                </c:pt>
                <c:pt idx="17">
                  <c:v>120064</c:v>
                </c:pt>
                <c:pt idx="18">
                  <c:v>137216</c:v>
                </c:pt>
                <c:pt idx="19">
                  <c:v>175636.48000000001</c:v>
                </c:pt>
                <c:pt idx="20">
                  <c:v>205824</c:v>
                </c:pt>
                <c:pt idx="21">
                  <c:v>240128</c:v>
                </c:pt>
                <c:pt idx="22">
                  <c:v>274432</c:v>
                </c:pt>
                <c:pt idx="23">
                  <c:v>329318.40000000002</c:v>
                </c:pt>
                <c:pt idx="24">
                  <c:v>384204.80000000005</c:v>
                </c:pt>
                <c:pt idx="25">
                  <c:v>439091.20000000001</c:v>
                </c:pt>
                <c:pt idx="26">
                  <c:v>493977.60000000003</c:v>
                </c:pt>
                <c:pt idx="27">
                  <c:v>548864</c:v>
                </c:pt>
                <c:pt idx="28">
                  <c:v>658636.80000000005</c:v>
                </c:pt>
                <c:pt idx="29">
                  <c:v>768409.60000000009</c:v>
                </c:pt>
                <c:pt idx="30">
                  <c:v>878182.40000000002</c:v>
                </c:pt>
                <c:pt idx="31">
                  <c:v>987955.20000000007</c:v>
                </c:pt>
                <c:pt idx="32">
                  <c:v>1097728</c:v>
                </c:pt>
                <c:pt idx="33">
                  <c:v>1317273.6000000001</c:v>
                </c:pt>
                <c:pt idx="34">
                  <c:v>1536819.2000000002</c:v>
                </c:pt>
                <c:pt idx="35">
                  <c:v>1756364.8</c:v>
                </c:pt>
                <c:pt idx="36">
                  <c:v>1975910.4000000001</c:v>
                </c:pt>
                <c:pt idx="37">
                  <c:v>2195456</c:v>
                </c:pt>
              </c:numCache>
            </c:numRef>
          </c:val>
          <c:smooth val="0"/>
          <c:extLst>
            <c:ext xmlns:c16="http://schemas.microsoft.com/office/drawing/2014/chart" uri="{C3380CC4-5D6E-409C-BE32-E72D297353CC}">
              <c16:uniqueId val="{00000001-C5BA-4495-93D4-AC4CA8674604}"/>
            </c:ext>
          </c:extLst>
        </c:ser>
        <c:ser>
          <c:idx val="10"/>
          <c:order val="2"/>
          <c:tx>
            <c:strRef>
              <c:f>Projections!$A$431</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Projections!$R$431:$BM$431</c15:sqref>
                  </c15:fullRef>
                </c:ext>
              </c:extLst>
              <c:f>Projections!$R$431:$BC$431</c:f>
              <c:numCache>
                <c:formatCode>#,##0</c:formatCode>
                <c:ptCount val="38"/>
                <c:pt idx="0">
                  <c:v>4.84375</c:v>
                </c:pt>
                <c:pt idx="1">
                  <c:v>9.6875</c:v>
                </c:pt>
                <c:pt idx="2">
                  <c:v>19.375</c:v>
                </c:pt>
                <c:pt idx="3">
                  <c:v>38.75</c:v>
                </c:pt>
                <c:pt idx="4">
                  <c:v>77.5</c:v>
                </c:pt>
                <c:pt idx="5">
                  <c:v>155</c:v>
                </c:pt>
                <c:pt idx="6">
                  <c:v>310</c:v>
                </c:pt>
                <c:pt idx="7">
                  <c:v>620</c:v>
                </c:pt>
                <c:pt idx="8">
                  <c:v>1240</c:v>
                </c:pt>
                <c:pt idx="9">
                  <c:v>2480</c:v>
                </c:pt>
                <c:pt idx="10">
                  <c:v>4960</c:v>
                </c:pt>
                <c:pt idx="11">
                  <c:v>9920</c:v>
                </c:pt>
                <c:pt idx="12">
                  <c:v>19840</c:v>
                </c:pt>
                <c:pt idx="13">
                  <c:v>39680</c:v>
                </c:pt>
                <c:pt idx="14">
                  <c:v>79360</c:v>
                </c:pt>
                <c:pt idx="15">
                  <c:v>99200</c:v>
                </c:pt>
                <c:pt idx="16">
                  <c:v>119040</c:v>
                </c:pt>
                <c:pt idx="17">
                  <c:v>138880</c:v>
                </c:pt>
                <c:pt idx="18">
                  <c:v>158720</c:v>
                </c:pt>
                <c:pt idx="19">
                  <c:v>203161.60000000001</c:v>
                </c:pt>
                <c:pt idx="20">
                  <c:v>238080</c:v>
                </c:pt>
                <c:pt idx="21">
                  <c:v>277760</c:v>
                </c:pt>
                <c:pt idx="22">
                  <c:v>317440</c:v>
                </c:pt>
                <c:pt idx="23">
                  <c:v>380928</c:v>
                </c:pt>
                <c:pt idx="24">
                  <c:v>444416</c:v>
                </c:pt>
                <c:pt idx="25">
                  <c:v>507904</c:v>
                </c:pt>
                <c:pt idx="26">
                  <c:v>571392</c:v>
                </c:pt>
                <c:pt idx="27">
                  <c:v>634880</c:v>
                </c:pt>
                <c:pt idx="28">
                  <c:v>761856</c:v>
                </c:pt>
                <c:pt idx="29">
                  <c:v>888832</c:v>
                </c:pt>
                <c:pt idx="30">
                  <c:v>1015808</c:v>
                </c:pt>
                <c:pt idx="31">
                  <c:v>1142784</c:v>
                </c:pt>
                <c:pt idx="32">
                  <c:v>1269760</c:v>
                </c:pt>
                <c:pt idx="33">
                  <c:v>1523712</c:v>
                </c:pt>
                <c:pt idx="34">
                  <c:v>1777664</c:v>
                </c:pt>
                <c:pt idx="35">
                  <c:v>2031616</c:v>
                </c:pt>
                <c:pt idx="36">
                  <c:v>2285568</c:v>
                </c:pt>
                <c:pt idx="37">
                  <c:v>2539520</c:v>
                </c:pt>
              </c:numCache>
            </c:numRef>
          </c:val>
          <c:smooth val="0"/>
          <c:extLst>
            <c:ext xmlns:c16="http://schemas.microsoft.com/office/drawing/2014/chart" uri="{C3380CC4-5D6E-409C-BE32-E72D297353CC}">
              <c16:uniqueId val="{00000002-C5BA-4495-93D4-AC4CA8674604}"/>
            </c:ext>
          </c:extLst>
        </c:ser>
        <c:ser>
          <c:idx val="0"/>
          <c:order val="3"/>
          <c:tx>
            <c:strRef>
              <c:f>Projections!$A$421</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Projections!$R$421:$BM$421</c15:sqref>
                  </c15:fullRef>
                </c:ext>
              </c:extLst>
              <c:f>Projections!$R$421:$BC$421</c:f>
              <c:numCache>
                <c:formatCode>#,##0</c:formatCode>
                <c:ptCount val="38"/>
                <c:pt idx="0">
                  <c:v>11.5</c:v>
                </c:pt>
                <c:pt idx="1">
                  <c:v>23</c:v>
                </c:pt>
                <c:pt idx="2">
                  <c:v>46</c:v>
                </c:pt>
                <c:pt idx="3">
                  <c:v>92</c:v>
                </c:pt>
                <c:pt idx="4">
                  <c:v>184</c:v>
                </c:pt>
                <c:pt idx="5">
                  <c:v>368</c:v>
                </c:pt>
                <c:pt idx="6">
                  <c:v>736</c:v>
                </c:pt>
                <c:pt idx="7">
                  <c:v>1472</c:v>
                </c:pt>
                <c:pt idx="8">
                  <c:v>2944</c:v>
                </c:pt>
                <c:pt idx="9">
                  <c:v>5888</c:v>
                </c:pt>
                <c:pt idx="10">
                  <c:v>11776</c:v>
                </c:pt>
                <c:pt idx="11">
                  <c:v>23552</c:v>
                </c:pt>
                <c:pt idx="12">
                  <c:v>47104</c:v>
                </c:pt>
                <c:pt idx="13">
                  <c:v>94208</c:v>
                </c:pt>
                <c:pt idx="14">
                  <c:v>188416</c:v>
                </c:pt>
                <c:pt idx="15">
                  <c:v>235520</c:v>
                </c:pt>
                <c:pt idx="16">
                  <c:v>282624</c:v>
                </c:pt>
                <c:pt idx="17">
                  <c:v>329728</c:v>
                </c:pt>
                <c:pt idx="18">
                  <c:v>376832</c:v>
                </c:pt>
                <c:pt idx="19">
                  <c:v>482344.95999999996</c:v>
                </c:pt>
                <c:pt idx="20">
                  <c:v>565248</c:v>
                </c:pt>
                <c:pt idx="21">
                  <c:v>659456</c:v>
                </c:pt>
                <c:pt idx="22">
                  <c:v>753664</c:v>
                </c:pt>
                <c:pt idx="23">
                  <c:v>904396.79999999993</c:v>
                </c:pt>
                <c:pt idx="24">
                  <c:v>1055129.6000000001</c:v>
                </c:pt>
                <c:pt idx="25">
                  <c:v>1205862.3999999999</c:v>
                </c:pt>
                <c:pt idx="26">
                  <c:v>1356595.2</c:v>
                </c:pt>
                <c:pt idx="27">
                  <c:v>1507328</c:v>
                </c:pt>
                <c:pt idx="28">
                  <c:v>1808793.5999999999</c:v>
                </c:pt>
                <c:pt idx="29">
                  <c:v>2110259.2000000002</c:v>
                </c:pt>
                <c:pt idx="30">
                  <c:v>2411724.7999999998</c:v>
                </c:pt>
                <c:pt idx="31">
                  <c:v>2713190.3999999999</c:v>
                </c:pt>
                <c:pt idx="32">
                  <c:v>3014656</c:v>
                </c:pt>
                <c:pt idx="33">
                  <c:v>3617587.1999999997</c:v>
                </c:pt>
                <c:pt idx="34">
                  <c:v>4220518.4000000004</c:v>
                </c:pt>
                <c:pt idx="35">
                  <c:v>4823449.5999999996</c:v>
                </c:pt>
                <c:pt idx="36">
                  <c:v>5426380.7999999998</c:v>
                </c:pt>
                <c:pt idx="37">
                  <c:v>6029312</c:v>
                </c:pt>
              </c:numCache>
            </c:numRef>
          </c:val>
          <c:smooth val="0"/>
          <c:extLst>
            <c:ext xmlns:c16="http://schemas.microsoft.com/office/drawing/2014/chart" uri="{C3380CC4-5D6E-409C-BE32-E72D297353CC}">
              <c16:uniqueId val="{00000003-C5BA-4495-93D4-AC4CA8674604}"/>
            </c:ext>
          </c:extLst>
        </c:ser>
        <c:ser>
          <c:idx val="2"/>
          <c:order val="4"/>
          <c:tx>
            <c:strRef>
              <c:f>Projections!$A$423</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Projections!$R$423:$BM$423</c15:sqref>
                  </c15:fullRef>
                </c:ext>
              </c:extLst>
              <c:f>Projections!$R$423:$BC$423</c:f>
              <c:numCache>
                <c:formatCode>#,##0</c:formatCode>
                <c:ptCount val="38"/>
                <c:pt idx="0">
                  <c:v>3.0625</c:v>
                </c:pt>
                <c:pt idx="1">
                  <c:v>6.125</c:v>
                </c:pt>
                <c:pt idx="2">
                  <c:v>12.25</c:v>
                </c:pt>
                <c:pt idx="3">
                  <c:v>24.5</c:v>
                </c:pt>
                <c:pt idx="4">
                  <c:v>49</c:v>
                </c:pt>
                <c:pt idx="5">
                  <c:v>98</c:v>
                </c:pt>
                <c:pt idx="6">
                  <c:v>196</c:v>
                </c:pt>
                <c:pt idx="7">
                  <c:v>392</c:v>
                </c:pt>
                <c:pt idx="8">
                  <c:v>784</c:v>
                </c:pt>
                <c:pt idx="9">
                  <c:v>1568</c:v>
                </c:pt>
                <c:pt idx="10">
                  <c:v>3136</c:v>
                </c:pt>
                <c:pt idx="11">
                  <c:v>6272</c:v>
                </c:pt>
                <c:pt idx="12">
                  <c:v>12544</c:v>
                </c:pt>
                <c:pt idx="13">
                  <c:v>25088</c:v>
                </c:pt>
                <c:pt idx="14">
                  <c:v>50176</c:v>
                </c:pt>
                <c:pt idx="15">
                  <c:v>62720</c:v>
                </c:pt>
                <c:pt idx="16">
                  <c:v>75264</c:v>
                </c:pt>
                <c:pt idx="17">
                  <c:v>87808</c:v>
                </c:pt>
                <c:pt idx="18">
                  <c:v>100352</c:v>
                </c:pt>
                <c:pt idx="19">
                  <c:v>128450.56</c:v>
                </c:pt>
                <c:pt idx="20">
                  <c:v>150528</c:v>
                </c:pt>
                <c:pt idx="21">
                  <c:v>175616</c:v>
                </c:pt>
                <c:pt idx="22">
                  <c:v>200704</c:v>
                </c:pt>
                <c:pt idx="23">
                  <c:v>240844.80000000002</c:v>
                </c:pt>
                <c:pt idx="24">
                  <c:v>280985.60000000003</c:v>
                </c:pt>
                <c:pt idx="25">
                  <c:v>321126.40000000002</c:v>
                </c:pt>
                <c:pt idx="26">
                  <c:v>361267.20000000001</c:v>
                </c:pt>
                <c:pt idx="27">
                  <c:v>401408</c:v>
                </c:pt>
                <c:pt idx="28">
                  <c:v>481689.60000000003</c:v>
                </c:pt>
                <c:pt idx="29">
                  <c:v>561971.20000000007</c:v>
                </c:pt>
                <c:pt idx="30">
                  <c:v>642252.80000000005</c:v>
                </c:pt>
                <c:pt idx="31">
                  <c:v>722534.40000000002</c:v>
                </c:pt>
                <c:pt idx="32">
                  <c:v>802816</c:v>
                </c:pt>
                <c:pt idx="33">
                  <c:v>963379.20000000007</c:v>
                </c:pt>
                <c:pt idx="34">
                  <c:v>1123942.4000000001</c:v>
                </c:pt>
                <c:pt idx="35">
                  <c:v>1284505.6000000001</c:v>
                </c:pt>
                <c:pt idx="36">
                  <c:v>1445068.8</c:v>
                </c:pt>
                <c:pt idx="37">
                  <c:v>1605632</c:v>
                </c:pt>
              </c:numCache>
            </c:numRef>
          </c:val>
          <c:smooth val="0"/>
          <c:extLst>
            <c:ext xmlns:c16="http://schemas.microsoft.com/office/drawing/2014/chart" uri="{C3380CC4-5D6E-409C-BE32-E72D297353CC}">
              <c16:uniqueId val="{00000004-C5BA-4495-93D4-AC4CA8674604}"/>
            </c:ext>
          </c:extLst>
        </c:ser>
        <c:ser>
          <c:idx val="8"/>
          <c:order val="5"/>
          <c:tx>
            <c:strRef>
              <c:f>Projections!$A$429</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Projections!$R$429:$BM$429</c15:sqref>
                  </c15:fullRef>
                </c:ext>
              </c:extLst>
              <c:f>Projections!$R$429:$BC$429</c:f>
              <c:numCache>
                <c:formatCode>#,##0</c:formatCode>
                <c:ptCount val="38"/>
                <c:pt idx="0">
                  <c:v>0.13718749999999999</c:v>
                </c:pt>
                <c:pt idx="1">
                  <c:v>0.27437499999999998</c:v>
                </c:pt>
                <c:pt idx="2">
                  <c:v>0.54874999999999996</c:v>
                </c:pt>
                <c:pt idx="3">
                  <c:v>1.0974999999999999</c:v>
                </c:pt>
                <c:pt idx="4">
                  <c:v>2.1949999999999998</c:v>
                </c:pt>
                <c:pt idx="5">
                  <c:v>4.3899999999999997</c:v>
                </c:pt>
                <c:pt idx="6">
                  <c:v>8.7799999999999994</c:v>
                </c:pt>
                <c:pt idx="7">
                  <c:v>17.559999999999999</c:v>
                </c:pt>
                <c:pt idx="8">
                  <c:v>35.119999999999997</c:v>
                </c:pt>
                <c:pt idx="9">
                  <c:v>70.239999999999995</c:v>
                </c:pt>
                <c:pt idx="10">
                  <c:v>140.47999999999999</c:v>
                </c:pt>
                <c:pt idx="11">
                  <c:v>280.95999999999998</c:v>
                </c:pt>
                <c:pt idx="12">
                  <c:v>561.91999999999996</c:v>
                </c:pt>
                <c:pt idx="13">
                  <c:v>1123.8399999999999</c:v>
                </c:pt>
                <c:pt idx="14">
                  <c:v>2247.6799999999998</c:v>
                </c:pt>
                <c:pt idx="15">
                  <c:v>2809.6</c:v>
                </c:pt>
                <c:pt idx="16">
                  <c:v>3371.52</c:v>
                </c:pt>
                <c:pt idx="17">
                  <c:v>3933.4399999999996</c:v>
                </c:pt>
                <c:pt idx="18">
                  <c:v>4495.3599999999997</c:v>
                </c:pt>
                <c:pt idx="19">
                  <c:v>5754.0607999999993</c:v>
                </c:pt>
                <c:pt idx="20">
                  <c:v>6743.04</c:v>
                </c:pt>
                <c:pt idx="21">
                  <c:v>7866.8799999999992</c:v>
                </c:pt>
                <c:pt idx="22">
                  <c:v>8990.7199999999993</c:v>
                </c:pt>
                <c:pt idx="23">
                  <c:v>10788.864</c:v>
                </c:pt>
                <c:pt idx="24">
                  <c:v>12587.008</c:v>
                </c:pt>
                <c:pt idx="25">
                  <c:v>14385.152</c:v>
                </c:pt>
                <c:pt idx="26">
                  <c:v>16183.295999999998</c:v>
                </c:pt>
                <c:pt idx="27">
                  <c:v>17981.439999999999</c:v>
                </c:pt>
                <c:pt idx="28">
                  <c:v>21577.727999999999</c:v>
                </c:pt>
                <c:pt idx="29">
                  <c:v>25174.016</c:v>
                </c:pt>
                <c:pt idx="30">
                  <c:v>28770.304</c:v>
                </c:pt>
                <c:pt idx="31">
                  <c:v>32366.591999999997</c:v>
                </c:pt>
                <c:pt idx="32">
                  <c:v>35962.879999999997</c:v>
                </c:pt>
                <c:pt idx="33">
                  <c:v>43155.455999999998</c:v>
                </c:pt>
                <c:pt idx="34">
                  <c:v>50348.031999999999</c:v>
                </c:pt>
                <c:pt idx="35">
                  <c:v>57540.608</c:v>
                </c:pt>
                <c:pt idx="36">
                  <c:v>64733.183999999994</c:v>
                </c:pt>
                <c:pt idx="37">
                  <c:v>71925.759999999995</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Projections!$A$427</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Projections!$R$428:$BM$428</c15:sqref>
                  </c15:fullRef>
                </c:ext>
              </c:extLst>
              <c:f>Projections!$R$428:$BC$428</c:f>
              <c:numCache>
                <c:formatCode>#,##0</c:formatCode>
                <c:ptCount val="38"/>
                <c:pt idx="0">
                  <c:v>0.86249999999999993</c:v>
                </c:pt>
                <c:pt idx="1">
                  <c:v>1.7249999999999999</c:v>
                </c:pt>
                <c:pt idx="2">
                  <c:v>3.4499999999999997</c:v>
                </c:pt>
                <c:pt idx="3">
                  <c:v>6.8999999999999995</c:v>
                </c:pt>
                <c:pt idx="4">
                  <c:v>13.799999999999999</c:v>
                </c:pt>
                <c:pt idx="5">
                  <c:v>27.599999999999998</c:v>
                </c:pt>
                <c:pt idx="6">
                  <c:v>55.199999999999996</c:v>
                </c:pt>
                <c:pt idx="7">
                  <c:v>110.39999999999999</c:v>
                </c:pt>
                <c:pt idx="8">
                  <c:v>220.79999999999998</c:v>
                </c:pt>
                <c:pt idx="9">
                  <c:v>441.59999999999997</c:v>
                </c:pt>
                <c:pt idx="10">
                  <c:v>883.19999999999993</c:v>
                </c:pt>
                <c:pt idx="11">
                  <c:v>1766.3999999999999</c:v>
                </c:pt>
                <c:pt idx="12">
                  <c:v>3532.7999999999997</c:v>
                </c:pt>
                <c:pt idx="13">
                  <c:v>7065.5999999999995</c:v>
                </c:pt>
                <c:pt idx="14">
                  <c:v>14131.199999999999</c:v>
                </c:pt>
                <c:pt idx="15">
                  <c:v>17664</c:v>
                </c:pt>
                <c:pt idx="16">
                  <c:v>21196.799999999999</c:v>
                </c:pt>
                <c:pt idx="17">
                  <c:v>24729.599999999999</c:v>
                </c:pt>
                <c:pt idx="18">
                  <c:v>28262.399999999998</c:v>
                </c:pt>
                <c:pt idx="19">
                  <c:v>36175.872000000003</c:v>
                </c:pt>
                <c:pt idx="20">
                  <c:v>42393.599999999999</c:v>
                </c:pt>
                <c:pt idx="21">
                  <c:v>49459.199999999997</c:v>
                </c:pt>
                <c:pt idx="22">
                  <c:v>56524.799999999996</c:v>
                </c:pt>
                <c:pt idx="23">
                  <c:v>67829.759999999995</c:v>
                </c:pt>
                <c:pt idx="24">
                  <c:v>79134.720000000001</c:v>
                </c:pt>
                <c:pt idx="25">
                  <c:v>90439.679999999993</c:v>
                </c:pt>
                <c:pt idx="26">
                  <c:v>101744.64</c:v>
                </c:pt>
                <c:pt idx="27">
                  <c:v>113049.59999999999</c:v>
                </c:pt>
                <c:pt idx="28">
                  <c:v>135659.51999999999</c:v>
                </c:pt>
                <c:pt idx="29">
                  <c:v>158269.44</c:v>
                </c:pt>
                <c:pt idx="30">
                  <c:v>180879.35999999999</c:v>
                </c:pt>
                <c:pt idx="31">
                  <c:v>203489.28</c:v>
                </c:pt>
                <c:pt idx="32">
                  <c:v>226099.19999999998</c:v>
                </c:pt>
                <c:pt idx="33">
                  <c:v>271319.03999999998</c:v>
                </c:pt>
                <c:pt idx="34">
                  <c:v>316538.88</c:v>
                </c:pt>
                <c:pt idx="35">
                  <c:v>361758.71999999997</c:v>
                </c:pt>
                <c:pt idx="36">
                  <c:v>406978.56</c:v>
                </c:pt>
                <c:pt idx="37">
                  <c:v>452198.39999999997</c:v>
                </c:pt>
              </c:numCache>
            </c:numRef>
          </c:val>
          <c:smooth val="0"/>
          <c:extLst>
            <c:ext xmlns:c16="http://schemas.microsoft.com/office/drawing/2014/chart" uri="{C3380CC4-5D6E-409C-BE32-E72D297353CC}">
              <c16:uniqueId val="{00000000-5E66-4AF0-A3CA-7CF12153AA8E}"/>
            </c:ext>
          </c:extLst>
        </c:ser>
        <c:ser>
          <c:idx val="5"/>
          <c:order val="1"/>
          <c:tx>
            <c:strRef>
              <c:f>Projections!$A$425</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Projections!$R$426:$BM$426</c15:sqref>
                  </c15:fullRef>
                </c:ext>
              </c:extLst>
              <c:f>Projections!$R$426:$BC$426</c:f>
              <c:numCache>
                <c:formatCode>#,##0</c:formatCode>
                <c:ptCount val="38"/>
                <c:pt idx="0">
                  <c:v>0.26381250000000001</c:v>
                </c:pt>
                <c:pt idx="1">
                  <c:v>0.52762500000000001</c:v>
                </c:pt>
                <c:pt idx="2">
                  <c:v>1.05525</c:v>
                </c:pt>
                <c:pt idx="3">
                  <c:v>2.1105</c:v>
                </c:pt>
                <c:pt idx="4">
                  <c:v>4.2210000000000001</c:v>
                </c:pt>
                <c:pt idx="5">
                  <c:v>8.4420000000000002</c:v>
                </c:pt>
                <c:pt idx="6">
                  <c:v>16.884</c:v>
                </c:pt>
                <c:pt idx="7">
                  <c:v>33.768000000000001</c:v>
                </c:pt>
                <c:pt idx="8">
                  <c:v>67.536000000000001</c:v>
                </c:pt>
                <c:pt idx="9">
                  <c:v>135.072</c:v>
                </c:pt>
                <c:pt idx="10">
                  <c:v>270.14400000000001</c:v>
                </c:pt>
                <c:pt idx="11">
                  <c:v>540.28800000000001</c:v>
                </c:pt>
                <c:pt idx="12">
                  <c:v>1080.576</c:v>
                </c:pt>
                <c:pt idx="13">
                  <c:v>2161.152</c:v>
                </c:pt>
                <c:pt idx="14">
                  <c:v>4322.3040000000001</c:v>
                </c:pt>
                <c:pt idx="15">
                  <c:v>5402.88</c:v>
                </c:pt>
                <c:pt idx="16">
                  <c:v>6483.4560000000001</c:v>
                </c:pt>
                <c:pt idx="17">
                  <c:v>7564.0320000000002</c:v>
                </c:pt>
                <c:pt idx="18">
                  <c:v>8644.6080000000002</c:v>
                </c:pt>
                <c:pt idx="19">
                  <c:v>11065.098240000001</c:v>
                </c:pt>
                <c:pt idx="20">
                  <c:v>12966.912</c:v>
                </c:pt>
                <c:pt idx="21">
                  <c:v>15128.064</c:v>
                </c:pt>
                <c:pt idx="22">
                  <c:v>17289.216</c:v>
                </c:pt>
                <c:pt idx="23">
                  <c:v>20747.059200000003</c:v>
                </c:pt>
                <c:pt idx="24">
                  <c:v>24204.902400000003</c:v>
                </c:pt>
                <c:pt idx="25">
                  <c:v>27662.745600000002</c:v>
                </c:pt>
                <c:pt idx="26">
                  <c:v>31120.588800000001</c:v>
                </c:pt>
                <c:pt idx="27">
                  <c:v>34578.432000000001</c:v>
                </c:pt>
                <c:pt idx="28">
                  <c:v>41494.118400000007</c:v>
                </c:pt>
                <c:pt idx="29">
                  <c:v>48409.804800000005</c:v>
                </c:pt>
                <c:pt idx="30">
                  <c:v>55325.491200000004</c:v>
                </c:pt>
                <c:pt idx="31">
                  <c:v>62241.177600000003</c:v>
                </c:pt>
                <c:pt idx="32">
                  <c:v>69156.864000000001</c:v>
                </c:pt>
                <c:pt idx="33">
                  <c:v>82988.236800000013</c:v>
                </c:pt>
                <c:pt idx="34">
                  <c:v>96819.609600000011</c:v>
                </c:pt>
                <c:pt idx="35">
                  <c:v>110650.98240000001</c:v>
                </c:pt>
                <c:pt idx="36">
                  <c:v>124482.35520000001</c:v>
                </c:pt>
                <c:pt idx="37">
                  <c:v>138313.728</c:v>
                </c:pt>
              </c:numCache>
            </c:numRef>
          </c:val>
          <c:smooth val="0"/>
          <c:extLst>
            <c:ext xmlns:c16="http://schemas.microsoft.com/office/drawing/2014/chart" uri="{C3380CC4-5D6E-409C-BE32-E72D297353CC}">
              <c16:uniqueId val="{00000001-5E66-4AF0-A3CA-7CF12153AA8E}"/>
            </c:ext>
          </c:extLst>
        </c:ser>
        <c:ser>
          <c:idx val="1"/>
          <c:order val="2"/>
          <c:tx>
            <c:strRef>
              <c:f>Projections!$A$421</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Projections!$R$422:$BM$422</c15:sqref>
                  </c15:fullRef>
                </c:ext>
              </c:extLst>
              <c:f>Projections!$R$422:$BC$422</c:f>
              <c:numCache>
                <c:formatCode>#,##0</c:formatCode>
                <c:ptCount val="38"/>
                <c:pt idx="0">
                  <c:v>1.2075</c:v>
                </c:pt>
                <c:pt idx="1">
                  <c:v>2.415</c:v>
                </c:pt>
                <c:pt idx="2">
                  <c:v>4.83</c:v>
                </c:pt>
                <c:pt idx="3">
                  <c:v>9.66</c:v>
                </c:pt>
                <c:pt idx="4">
                  <c:v>19.32</c:v>
                </c:pt>
                <c:pt idx="5">
                  <c:v>38.64</c:v>
                </c:pt>
                <c:pt idx="6">
                  <c:v>77.28</c:v>
                </c:pt>
                <c:pt idx="7">
                  <c:v>154.56</c:v>
                </c:pt>
                <c:pt idx="8">
                  <c:v>309.12</c:v>
                </c:pt>
                <c:pt idx="9">
                  <c:v>618.24</c:v>
                </c:pt>
                <c:pt idx="10">
                  <c:v>1236.48</c:v>
                </c:pt>
                <c:pt idx="11">
                  <c:v>2472.96</c:v>
                </c:pt>
                <c:pt idx="12">
                  <c:v>4945.92</c:v>
                </c:pt>
                <c:pt idx="13">
                  <c:v>9891.84</c:v>
                </c:pt>
                <c:pt idx="14">
                  <c:v>19783.68</c:v>
                </c:pt>
                <c:pt idx="15">
                  <c:v>24729.599999999999</c:v>
                </c:pt>
                <c:pt idx="16">
                  <c:v>29675.52</c:v>
                </c:pt>
                <c:pt idx="17">
                  <c:v>34621.440000000002</c:v>
                </c:pt>
                <c:pt idx="18">
                  <c:v>39567.360000000001</c:v>
                </c:pt>
                <c:pt idx="19">
                  <c:v>50646.220799999996</c:v>
                </c:pt>
                <c:pt idx="20">
                  <c:v>59351.040000000001</c:v>
                </c:pt>
                <c:pt idx="21">
                  <c:v>69242.880000000005</c:v>
                </c:pt>
                <c:pt idx="22">
                  <c:v>79134.720000000001</c:v>
                </c:pt>
                <c:pt idx="23">
                  <c:v>94961.66399999999</c:v>
                </c:pt>
                <c:pt idx="24">
                  <c:v>110788.60800000001</c:v>
                </c:pt>
                <c:pt idx="25">
                  <c:v>126615.55199999998</c:v>
                </c:pt>
                <c:pt idx="26">
                  <c:v>142442.49599999998</c:v>
                </c:pt>
                <c:pt idx="27">
                  <c:v>158269.44</c:v>
                </c:pt>
                <c:pt idx="28">
                  <c:v>189923.32799999998</c:v>
                </c:pt>
                <c:pt idx="29">
                  <c:v>221577.21600000001</c:v>
                </c:pt>
                <c:pt idx="30">
                  <c:v>253231.10399999996</c:v>
                </c:pt>
                <c:pt idx="31">
                  <c:v>284884.99199999997</c:v>
                </c:pt>
                <c:pt idx="32">
                  <c:v>316538.88</c:v>
                </c:pt>
                <c:pt idx="33">
                  <c:v>379846.65599999996</c:v>
                </c:pt>
                <c:pt idx="34">
                  <c:v>443154.43200000003</c:v>
                </c:pt>
                <c:pt idx="35">
                  <c:v>506462.20799999993</c:v>
                </c:pt>
                <c:pt idx="36">
                  <c:v>569769.98399999994</c:v>
                </c:pt>
                <c:pt idx="37">
                  <c:v>633077.76000000001</c:v>
                </c:pt>
              </c:numCache>
            </c:numRef>
          </c:val>
          <c:smooth val="0"/>
          <c:extLst>
            <c:ext xmlns:c16="http://schemas.microsoft.com/office/drawing/2014/chart" uri="{C3380CC4-5D6E-409C-BE32-E72D297353CC}">
              <c16:uniqueId val="{00000002-5E66-4AF0-A3CA-7CF12153AA8E}"/>
            </c:ext>
          </c:extLst>
        </c:ser>
        <c:ser>
          <c:idx val="3"/>
          <c:order val="3"/>
          <c:tx>
            <c:strRef>
              <c:f>Projections!$A$423</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Projections!$R$424:$BM$424</c15:sqref>
                  </c15:fullRef>
                </c:ext>
              </c:extLst>
              <c:f>Projections!$R$424:$BC$424</c:f>
              <c:numCache>
                <c:formatCode>#,##0</c:formatCode>
                <c:ptCount val="38"/>
                <c:pt idx="0">
                  <c:v>0.2235625</c:v>
                </c:pt>
                <c:pt idx="1">
                  <c:v>0.44712499999999999</c:v>
                </c:pt>
                <c:pt idx="2">
                  <c:v>0.89424999999999999</c:v>
                </c:pt>
                <c:pt idx="3">
                  <c:v>1.7885</c:v>
                </c:pt>
                <c:pt idx="4">
                  <c:v>3.577</c:v>
                </c:pt>
                <c:pt idx="5">
                  <c:v>7.1539999999999999</c:v>
                </c:pt>
                <c:pt idx="6">
                  <c:v>14.308</c:v>
                </c:pt>
                <c:pt idx="7">
                  <c:v>28.616</c:v>
                </c:pt>
                <c:pt idx="8">
                  <c:v>57.231999999999999</c:v>
                </c:pt>
                <c:pt idx="9">
                  <c:v>114.464</c:v>
                </c:pt>
                <c:pt idx="10">
                  <c:v>228.928</c:v>
                </c:pt>
                <c:pt idx="11">
                  <c:v>457.85599999999999</c:v>
                </c:pt>
                <c:pt idx="12">
                  <c:v>915.71199999999999</c:v>
                </c:pt>
                <c:pt idx="13">
                  <c:v>1831.424</c:v>
                </c:pt>
                <c:pt idx="14">
                  <c:v>3662.848</c:v>
                </c:pt>
                <c:pt idx="15">
                  <c:v>4578.5599999999995</c:v>
                </c:pt>
                <c:pt idx="16">
                  <c:v>5494.2719999999999</c:v>
                </c:pt>
                <c:pt idx="17">
                  <c:v>6409.9839999999995</c:v>
                </c:pt>
                <c:pt idx="18">
                  <c:v>7325.6959999999999</c:v>
                </c:pt>
                <c:pt idx="19">
                  <c:v>9376.890879999999</c:v>
                </c:pt>
                <c:pt idx="20">
                  <c:v>10988.544</c:v>
                </c:pt>
                <c:pt idx="21">
                  <c:v>12819.967999999999</c:v>
                </c:pt>
                <c:pt idx="22">
                  <c:v>14651.392</c:v>
                </c:pt>
                <c:pt idx="23">
                  <c:v>17581.670399999999</c:v>
                </c:pt>
                <c:pt idx="24">
                  <c:v>20511.948800000002</c:v>
                </c:pt>
                <c:pt idx="25">
                  <c:v>23442.227200000001</c:v>
                </c:pt>
                <c:pt idx="26">
                  <c:v>26372.5056</c:v>
                </c:pt>
                <c:pt idx="27">
                  <c:v>29302.784</c:v>
                </c:pt>
                <c:pt idx="28">
                  <c:v>35163.340799999998</c:v>
                </c:pt>
                <c:pt idx="29">
                  <c:v>41023.897600000004</c:v>
                </c:pt>
                <c:pt idx="30">
                  <c:v>46884.454400000002</c:v>
                </c:pt>
                <c:pt idx="31">
                  <c:v>52745.011200000001</c:v>
                </c:pt>
                <c:pt idx="32">
                  <c:v>58605.567999999999</c:v>
                </c:pt>
                <c:pt idx="33">
                  <c:v>70326.681599999996</c:v>
                </c:pt>
                <c:pt idx="34">
                  <c:v>82047.795200000008</c:v>
                </c:pt>
                <c:pt idx="35">
                  <c:v>93768.908800000005</c:v>
                </c:pt>
                <c:pt idx="36">
                  <c:v>105490.0224</c:v>
                </c:pt>
                <c:pt idx="37">
                  <c:v>117211.136</c:v>
                </c:pt>
              </c:numCache>
            </c:numRef>
          </c:val>
          <c:smooth val="0"/>
          <c:extLst>
            <c:ext xmlns:c16="http://schemas.microsoft.com/office/drawing/2014/chart" uri="{C3380CC4-5D6E-409C-BE32-E72D297353CC}">
              <c16:uniqueId val="{00000003-5E66-4AF0-A3CA-7CF12153AA8E}"/>
            </c:ext>
          </c:extLst>
        </c:ser>
        <c:ser>
          <c:idx val="9"/>
          <c:order val="4"/>
          <c:tx>
            <c:strRef>
              <c:f>Projections!$A$429</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Projections!$R$430:$BM$430</c15:sqref>
                  </c15:fullRef>
                </c:ext>
              </c:extLst>
              <c:f>Projections!$R$430:$BC$430</c:f>
              <c:numCache>
                <c:formatCode>#,##0</c:formatCode>
                <c:ptCount val="38"/>
                <c:pt idx="0">
                  <c:v>7.6824999999999992E-3</c:v>
                </c:pt>
                <c:pt idx="1">
                  <c:v>1.5364999999999998E-2</c:v>
                </c:pt>
                <c:pt idx="2">
                  <c:v>3.0729999999999997E-2</c:v>
                </c:pt>
                <c:pt idx="3">
                  <c:v>6.1459999999999994E-2</c:v>
                </c:pt>
                <c:pt idx="4">
                  <c:v>0.12291999999999999</c:v>
                </c:pt>
                <c:pt idx="5">
                  <c:v>0.24583999999999998</c:v>
                </c:pt>
                <c:pt idx="6">
                  <c:v>0.49167999999999995</c:v>
                </c:pt>
                <c:pt idx="7">
                  <c:v>0.9833599999999999</c:v>
                </c:pt>
                <c:pt idx="8">
                  <c:v>1.9667199999999998</c:v>
                </c:pt>
                <c:pt idx="9">
                  <c:v>3.9334399999999996</c:v>
                </c:pt>
                <c:pt idx="10">
                  <c:v>7.8668799999999992</c:v>
                </c:pt>
                <c:pt idx="11">
                  <c:v>15.733759999999998</c:v>
                </c:pt>
                <c:pt idx="12">
                  <c:v>31.467519999999997</c:v>
                </c:pt>
                <c:pt idx="13">
                  <c:v>62.935039999999994</c:v>
                </c:pt>
                <c:pt idx="14">
                  <c:v>125.87007999999999</c:v>
                </c:pt>
                <c:pt idx="15">
                  <c:v>157.33760000000001</c:v>
                </c:pt>
                <c:pt idx="16">
                  <c:v>188.80512000000002</c:v>
                </c:pt>
                <c:pt idx="17">
                  <c:v>220.27264</c:v>
                </c:pt>
                <c:pt idx="18">
                  <c:v>251.74015999999997</c:v>
                </c:pt>
                <c:pt idx="19">
                  <c:v>322.22740479999999</c:v>
                </c:pt>
                <c:pt idx="20">
                  <c:v>377.61024000000003</c:v>
                </c:pt>
                <c:pt idx="21">
                  <c:v>440.54527999999999</c:v>
                </c:pt>
                <c:pt idx="22">
                  <c:v>503.48031999999995</c:v>
                </c:pt>
                <c:pt idx="23">
                  <c:v>604.17638399999998</c:v>
                </c:pt>
                <c:pt idx="24">
                  <c:v>704.87244799999996</c:v>
                </c:pt>
                <c:pt idx="25">
                  <c:v>805.56851200000006</c:v>
                </c:pt>
                <c:pt idx="26">
                  <c:v>906.26457599999992</c:v>
                </c:pt>
                <c:pt idx="27">
                  <c:v>1006.9606399999999</c:v>
                </c:pt>
                <c:pt idx="28">
                  <c:v>1208.352768</c:v>
                </c:pt>
                <c:pt idx="29">
                  <c:v>1409.7448959999999</c:v>
                </c:pt>
                <c:pt idx="30">
                  <c:v>1611.1370240000001</c:v>
                </c:pt>
                <c:pt idx="31">
                  <c:v>1812.5291519999998</c:v>
                </c:pt>
                <c:pt idx="32">
                  <c:v>2013.9212799999998</c:v>
                </c:pt>
                <c:pt idx="33">
                  <c:v>2416.7055359999999</c:v>
                </c:pt>
                <c:pt idx="34">
                  <c:v>2819.4897919999999</c:v>
                </c:pt>
                <c:pt idx="35">
                  <c:v>3222.2740480000002</c:v>
                </c:pt>
                <c:pt idx="36">
                  <c:v>3625.0583039999997</c:v>
                </c:pt>
                <c:pt idx="37">
                  <c:v>4027.8425599999996</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Projections!$A$367</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Projections!$R$366:$BM$366</c15:sqref>
                  </c15:fullRef>
                </c:ext>
              </c:extLst>
              <c:f>Projections!$R$366:$AZ$366</c:f>
              <c:numCache>
                <c:formatCode>m/d/yyyy</c:formatCode>
                <c:ptCount val="35"/>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numCache>
            </c:numRef>
          </c:cat>
          <c:val>
            <c:numRef>
              <c:extLst>
                <c:ext xmlns:c15="http://schemas.microsoft.com/office/drawing/2012/chart" uri="{02D57815-91ED-43cb-92C2-25804820EDAC}">
                  <c15:fullRef>
                    <c15:sqref>Projections!$R$367:$BM$367</c15:sqref>
                  </c15:fullRef>
                </c:ext>
              </c:extLst>
              <c:f>Projections!$R$367:$AZ$367</c:f>
              <c:numCache>
                <c:formatCode>#,##0_ ;[Red]\-#,##0\ </c:formatCode>
                <c:ptCount val="35"/>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640000</c:v>
                </c:pt>
                <c:pt idx="16">
                  <c:v>768000</c:v>
                </c:pt>
                <c:pt idx="17">
                  <c:v>896000</c:v>
                </c:pt>
                <c:pt idx="18">
                  <c:v>1024000</c:v>
                </c:pt>
                <c:pt idx="19">
                  <c:v>1310720</c:v>
                </c:pt>
                <c:pt idx="20">
                  <c:v>1536000</c:v>
                </c:pt>
                <c:pt idx="21">
                  <c:v>1792000</c:v>
                </c:pt>
                <c:pt idx="22">
                  <c:v>2048000</c:v>
                </c:pt>
                <c:pt idx="23">
                  <c:v>2457600</c:v>
                </c:pt>
                <c:pt idx="24">
                  <c:v>2867200</c:v>
                </c:pt>
                <c:pt idx="25">
                  <c:v>3276800</c:v>
                </c:pt>
                <c:pt idx="26">
                  <c:v>3686400</c:v>
                </c:pt>
                <c:pt idx="27">
                  <c:v>4096000</c:v>
                </c:pt>
                <c:pt idx="28">
                  <c:v>4915200</c:v>
                </c:pt>
                <c:pt idx="29">
                  <c:v>5734400</c:v>
                </c:pt>
                <c:pt idx="30">
                  <c:v>6553600</c:v>
                </c:pt>
                <c:pt idx="31">
                  <c:v>7372800</c:v>
                </c:pt>
                <c:pt idx="32">
                  <c:v>8192000</c:v>
                </c:pt>
                <c:pt idx="33">
                  <c:v>9830400</c:v>
                </c:pt>
                <c:pt idx="34">
                  <c:v>11468800</c:v>
                </c:pt>
              </c:numCache>
            </c:numRef>
          </c:val>
          <c:smooth val="0"/>
          <c:extLst>
            <c:ext xmlns:c16="http://schemas.microsoft.com/office/drawing/2014/chart" uri="{C3380CC4-5D6E-409C-BE32-E72D297353CC}">
              <c16:uniqueId val="{00000000-9DE3-43B6-B60B-9B4AA4851702}"/>
            </c:ext>
          </c:extLst>
        </c:ser>
        <c:ser>
          <c:idx val="1"/>
          <c:order val="1"/>
          <c:tx>
            <c:strRef>
              <c:f>Projections!$A$390</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Projections!$R$366:$BM$366</c15:sqref>
                  </c15:fullRef>
                </c:ext>
              </c:extLst>
              <c:f>Projections!$R$366:$AZ$366</c:f>
              <c:numCache>
                <c:formatCode>m/d/yyyy</c:formatCode>
                <c:ptCount val="35"/>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numCache>
            </c:numRef>
          </c:cat>
          <c:val>
            <c:numRef>
              <c:extLst>
                <c:ext xmlns:c15="http://schemas.microsoft.com/office/drawing/2012/chart" uri="{02D57815-91ED-43cb-92C2-25804820EDAC}">
                  <c15:fullRef>
                    <c15:sqref>Projections!$R$390:$BM$390</c15:sqref>
                  </c15:fullRef>
                </c:ext>
              </c:extLst>
              <c:f>Projections!$R$390:$AZ$390</c:f>
              <c:numCache>
                <c:formatCode>General</c:formatCode>
                <c:ptCount val="35"/>
                <c:pt idx="0">
                  <c:v>35</c:v>
                </c:pt>
                <c:pt idx="1">
                  <c:v>68</c:v>
                </c:pt>
                <c:pt idx="2" formatCode="#,##0">
                  <c:v>124</c:v>
                </c:pt>
                <c:pt idx="3" formatCode="#,##0">
                  <c:v>221</c:v>
                </c:pt>
                <c:pt idx="4" formatCode="#,##0">
                  <c:v>541</c:v>
                </c:pt>
                <c:pt idx="5" formatCode="#,##0">
                  <c:v>1301</c:v>
                </c:pt>
                <c:pt idx="6" formatCode="#,##0">
                  <c:v>2771</c:v>
                </c:pt>
                <c:pt idx="7" formatCode="#,##0">
                  <c:v>4604</c:v>
                </c:pt>
                <c:pt idx="8" formatCode="#,##0">
                  <c:v>9317</c:v>
                </c:pt>
                <c:pt idx="9" formatCode="#,##0">
                  <c:v>19551</c:v>
                </c:pt>
                <c:pt idx="10" formatCode="#,##0">
                  <c:v>33840</c:v>
                </c:pt>
                <c:pt idx="11" formatCode="#,##0">
                  <c:v>68905</c:v>
                </c:pt>
                <c:pt idx="12" formatCode="#,##0">
                  <c:v>124788</c:v>
                </c:pt>
                <c:pt idx="13" formatCode="#,##0">
                  <c:v>250708</c:v>
                </c:pt>
                <c:pt idx="14" formatCode="#,##0">
                  <c:v>539942</c:v>
                </c:pt>
                <c:pt idx="15" formatCode="#,##0">
                  <c:v>652474</c:v>
                </c:pt>
                <c:pt idx="16" formatCode="#,##0">
                  <c:v>770014</c:v>
                </c:pt>
                <c:pt idx="17" formatCode="#,##0">
                  <c:v>886274</c:v>
                </c:pt>
                <c:pt idx="18" formatCode="#,##0">
                  <c:v>1010356</c:v>
                </c:pt>
                <c:pt idx="19" formatCode="#,##0">
                  <c:v>1292623</c:v>
                </c:pt>
                <c:pt idx="20" formatCode="#,##0">
                  <c:v>1550294</c:v>
                </c:pt>
                <c:pt idx="21" formatCode="#,##0">
                  <c:v>1793530</c:v>
                </c:pt>
                <c:pt idx="22" formatCode="#,##0">
                  <c:v>2045549</c:v>
                </c:pt>
                <c:pt idx="23" formatCode="#,##0">
                  <c:v>2464771</c:v>
                </c:pt>
                <c:pt idx="24" formatCode="#,##0">
                  <c:v>2890588</c:v>
                </c:pt>
                <c:pt idx="25" formatCode="#,##0">
                  <c:v>3297170</c:v>
                </c:pt>
                <c:pt idx="26" formatCode="#,##0">
                  <c:v>3695025</c:v>
                </c:pt>
                <c:pt idx="27" formatCode="#,##0">
                  <c:v>4102038</c:v>
                </c:pt>
                <c:pt idx="28" formatCode="#,##0">
                  <c:v>4920098</c:v>
                </c:pt>
                <c:pt idx="29" formatCode="#,##0">
                  <c:v>5746272</c:v>
                </c:pt>
                <c:pt idx="30" formatCode="#,##0">
                  <c:v>6548312</c:v>
                </c:pt>
                <c:pt idx="31" formatCode="#,##0">
                  <c:v>7362126</c:v>
                </c:pt>
                <c:pt idx="32" formatCode="#,##0">
                  <c:v>8226538</c:v>
                </c:pt>
                <c:pt idx="33" formatCode="#,##0">
                  <c:v>9807400</c:v>
                </c:pt>
                <c:pt idx="34" formatCode="#,##0">
                  <c:v>11468800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Projections!$A$381</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Projections!$R$366:$BM$366</c15:sqref>
                  </c15:fullRef>
                </c:ext>
              </c:extLst>
              <c:f>Projections!$R$366:$AZ$366</c:f>
              <c:numCache>
                <c:formatCode>m/d/yyyy</c:formatCode>
                <c:ptCount val="35"/>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numCache>
            </c:numRef>
          </c:cat>
          <c:val>
            <c:numRef>
              <c:extLst>
                <c:ext xmlns:c15="http://schemas.microsoft.com/office/drawing/2012/chart" uri="{02D57815-91ED-43cb-92C2-25804820EDAC}">
                  <c15:fullRef>
                    <c15:sqref>Projections!$R$381:$BM$381</c15:sqref>
                  </c15:fullRef>
                </c:ext>
              </c:extLst>
              <c:f>Projections!$R$381:$AZ$381</c:f>
              <c:numCache>
                <c:formatCode>#,##0_ ;[Red]\-#,##0\ </c:formatCode>
                <c:ptCount val="35"/>
                <c:pt idx="0">
                  <c:v>0.75</c:v>
                </c:pt>
                <c:pt idx="1">
                  <c:v>1.5</c:v>
                </c:pt>
                <c:pt idx="2">
                  <c:v>3</c:v>
                </c:pt>
                <c:pt idx="3">
                  <c:v>6</c:v>
                </c:pt>
                <c:pt idx="4">
                  <c:v>12</c:v>
                </c:pt>
                <c:pt idx="5">
                  <c:v>24</c:v>
                </c:pt>
                <c:pt idx="6">
                  <c:v>48</c:v>
                </c:pt>
                <c:pt idx="7">
                  <c:v>96</c:v>
                </c:pt>
                <c:pt idx="8">
                  <c:v>192</c:v>
                </c:pt>
                <c:pt idx="9">
                  <c:v>384</c:v>
                </c:pt>
                <c:pt idx="10">
                  <c:v>768</c:v>
                </c:pt>
                <c:pt idx="11">
                  <c:v>1536</c:v>
                </c:pt>
                <c:pt idx="12">
                  <c:v>3072</c:v>
                </c:pt>
                <c:pt idx="13">
                  <c:v>6144</c:v>
                </c:pt>
                <c:pt idx="14">
                  <c:v>12288</c:v>
                </c:pt>
                <c:pt idx="15">
                  <c:v>15360</c:v>
                </c:pt>
                <c:pt idx="16">
                  <c:v>18432</c:v>
                </c:pt>
                <c:pt idx="17">
                  <c:v>21504</c:v>
                </c:pt>
                <c:pt idx="18">
                  <c:v>24576</c:v>
                </c:pt>
                <c:pt idx="19">
                  <c:v>31457.279999999999</c:v>
                </c:pt>
                <c:pt idx="20">
                  <c:v>36864</c:v>
                </c:pt>
                <c:pt idx="21">
                  <c:v>43008</c:v>
                </c:pt>
                <c:pt idx="22">
                  <c:v>49152</c:v>
                </c:pt>
                <c:pt idx="23">
                  <c:v>58982.400000000001</c:v>
                </c:pt>
                <c:pt idx="24">
                  <c:v>68812.800000000003</c:v>
                </c:pt>
                <c:pt idx="25">
                  <c:v>78643.199999999997</c:v>
                </c:pt>
                <c:pt idx="26">
                  <c:v>88473.600000000006</c:v>
                </c:pt>
                <c:pt idx="27">
                  <c:v>98304</c:v>
                </c:pt>
                <c:pt idx="28">
                  <c:v>117964.8</c:v>
                </c:pt>
                <c:pt idx="29">
                  <c:v>137625.60000000001</c:v>
                </c:pt>
                <c:pt idx="30">
                  <c:v>157286.39999999999</c:v>
                </c:pt>
                <c:pt idx="31">
                  <c:v>176947.20000000001</c:v>
                </c:pt>
                <c:pt idx="32">
                  <c:v>196608</c:v>
                </c:pt>
                <c:pt idx="33">
                  <c:v>235929.60000000001</c:v>
                </c:pt>
                <c:pt idx="34">
                  <c:v>275251.20000000001</c:v>
                </c:pt>
              </c:numCache>
            </c:numRef>
          </c:val>
          <c:smooth val="0"/>
          <c:extLst>
            <c:ext xmlns:c16="http://schemas.microsoft.com/office/drawing/2014/chart" uri="{C3380CC4-5D6E-409C-BE32-E72D297353CC}">
              <c16:uniqueId val="{00000000-FE1B-4946-A476-7952C5C71231}"/>
            </c:ext>
          </c:extLst>
        </c:ser>
        <c:ser>
          <c:idx val="1"/>
          <c:order val="1"/>
          <c:tx>
            <c:strRef>
              <c:f>Projections!$A$394</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Projections!$R$366:$BM$366</c15:sqref>
                  </c15:fullRef>
                </c:ext>
              </c:extLst>
              <c:f>Projections!$R$366:$AZ$366</c:f>
              <c:numCache>
                <c:formatCode>m/d/yyyy</c:formatCode>
                <c:ptCount val="35"/>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numCache>
            </c:numRef>
          </c:cat>
          <c:val>
            <c:numRef>
              <c:extLst>
                <c:ext xmlns:c15="http://schemas.microsoft.com/office/drawing/2012/chart" uri="{02D57815-91ED-43cb-92C2-25804820EDAC}">
                  <c15:fullRef>
                    <c15:sqref>Projections!$R$394:$BM$394</c15:sqref>
                  </c15:fullRef>
                </c:ext>
              </c:extLst>
              <c:f>Projections!$R$394:$AZ$394</c:f>
              <c:numCache>
                <c:formatCode>General</c:formatCode>
                <c:ptCount val="35"/>
                <c:pt idx="0">
                  <c:v>0</c:v>
                </c:pt>
                <c:pt idx="1">
                  <c:v>1</c:v>
                </c:pt>
                <c:pt idx="2" formatCode="#,##0">
                  <c:v>9</c:v>
                </c:pt>
                <c:pt idx="3" formatCode="#,##0">
                  <c:v>12</c:v>
                </c:pt>
                <c:pt idx="4" formatCode="#,##0">
                  <c:v>22</c:v>
                </c:pt>
                <c:pt idx="5" formatCode="#,##0">
                  <c:v>38</c:v>
                </c:pt>
                <c:pt idx="6" formatCode="#,##0">
                  <c:v>58</c:v>
                </c:pt>
                <c:pt idx="7" formatCode="#,##0">
                  <c:v>95</c:v>
                </c:pt>
                <c:pt idx="8" formatCode="#,##0">
                  <c:v>171</c:v>
                </c:pt>
                <c:pt idx="9" formatCode="#,##0">
                  <c:v>309</c:v>
                </c:pt>
                <c:pt idx="10" formatCode="#,##0">
                  <c:v>509</c:v>
                </c:pt>
                <c:pt idx="11" formatCode="#,##0">
                  <c:v>1260</c:v>
                </c:pt>
                <c:pt idx="12" formatCode="#,##0">
                  <c:v>2754</c:v>
                </c:pt>
                <c:pt idx="13" formatCode="#,##0">
                  <c:v>7576</c:v>
                </c:pt>
                <c:pt idx="14" formatCode="#,##0">
                  <c:v>24062</c:v>
                </c:pt>
                <c:pt idx="15" formatCode="#,##0">
                  <c:v>32712</c:v>
                </c:pt>
                <c:pt idx="16" formatCode="#,##0">
                  <c:v>40901</c:v>
                </c:pt>
                <c:pt idx="17" formatCode="#,##0">
                  <c:v>50234</c:v>
                </c:pt>
                <c:pt idx="18" formatCode="#,##0">
                  <c:v>56795</c:v>
                </c:pt>
                <c:pt idx="19" formatCode="#,##0">
                  <c:v>76928</c:v>
                </c:pt>
                <c:pt idx="20" formatCode="#,##0">
                  <c:v>91981</c:v>
                </c:pt>
                <c:pt idx="21" formatCode="#,##0">
                  <c:v>104542</c:v>
                </c:pt>
                <c:pt idx="22" formatCode="#,##0">
                  <c:v>114148</c:v>
                </c:pt>
                <c:pt idx="23" formatCode="#,##0">
                  <c:v>126879</c:v>
                </c:pt>
                <c:pt idx="24" formatCode="#,##0">
                  <c:v>132101</c:v>
                </c:pt>
                <c:pt idx="25" formatCode="#,##0">
                  <c:v>136639</c:v>
                </c:pt>
                <c:pt idx="26" formatCode="#,##0">
                  <c:v>141118</c:v>
                </c:pt>
                <c:pt idx="27" formatCode="#,##0">
                  <c:v>146759</c:v>
                </c:pt>
                <c:pt idx="28" formatCode="#,##0">
                  <c:v>160338</c:v>
                </c:pt>
                <c:pt idx="29" formatCode="#,##0">
                  <c:v>178030</c:v>
                </c:pt>
                <c:pt idx="30" formatCode="#,##0">
                  <c:v>194154</c:v>
                </c:pt>
                <c:pt idx="31" formatCode="#,##0">
                  <c:v>209808</c:v>
                </c:pt>
                <c:pt idx="32" formatCode="#,##0">
                  <c:v>222731</c:v>
                </c:pt>
                <c:pt idx="33" formatCode="#,##0">
                  <c:v>239834</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44110.838846527775</c:v>
                </c:pt>
                <c:pt idx="1">
                  <c:v>44113.838846527775</c:v>
                </c:pt>
                <c:pt idx="2">
                  <c:v>44116.838846527775</c:v>
                </c:pt>
                <c:pt idx="3">
                  <c:v>44119.838846527775</c:v>
                </c:pt>
                <c:pt idx="4">
                  <c:v>44122.838846527775</c:v>
                </c:pt>
                <c:pt idx="5">
                  <c:v>44125.838846527775</c:v>
                </c:pt>
                <c:pt idx="6">
                  <c:v>44128.838846527775</c:v>
                </c:pt>
                <c:pt idx="7">
                  <c:v>44131.838846527775</c:v>
                </c:pt>
                <c:pt idx="8">
                  <c:v>44134.838846527775</c:v>
                </c:pt>
                <c:pt idx="9">
                  <c:v>44137.838846527775</c:v>
                </c:pt>
                <c:pt idx="10">
                  <c:v>44140.838846527775</c:v>
                </c:pt>
                <c:pt idx="11">
                  <c:v>44143.838846527775</c:v>
                </c:pt>
                <c:pt idx="12">
                  <c:v>44146.838846527775</c:v>
                </c:pt>
                <c:pt idx="13">
                  <c:v>44149.838846527775</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41.666666666666664</c:v>
                </c:pt>
                <c:pt idx="4">
                  <c:v>83.333333333333329</c:v>
                </c:pt>
                <c:pt idx="5">
                  <c:v>166.66666666666666</c:v>
                </c:pt>
                <c:pt idx="6">
                  <c:v>333.33333333333331</c:v>
                </c:pt>
                <c:pt idx="7">
                  <c:v>666.66666666666663</c:v>
                </c:pt>
                <c:pt idx="8">
                  <c:v>1333.3333333333333</c:v>
                </c:pt>
                <c:pt idx="9">
                  <c:v>2666.6666666666665</c:v>
                </c:pt>
                <c:pt idx="10">
                  <c:v>5333.333333333333</c:v>
                </c:pt>
                <c:pt idx="11">
                  <c:v>10666.666666666666</c:v>
                </c:pt>
                <c:pt idx="12">
                  <c:v>21333.333333333332</c:v>
                </c:pt>
                <c:pt idx="13">
                  <c:v>42666.666666666664</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44110.838846527775</c:v>
                </c:pt>
                <c:pt idx="1">
                  <c:v>44113.838846527775</c:v>
                </c:pt>
                <c:pt idx="2">
                  <c:v>44116.838846527775</c:v>
                </c:pt>
                <c:pt idx="3">
                  <c:v>44119.838846527775</c:v>
                </c:pt>
                <c:pt idx="4">
                  <c:v>44122.838846527775</c:v>
                </c:pt>
                <c:pt idx="5">
                  <c:v>44125.838846527775</c:v>
                </c:pt>
                <c:pt idx="6">
                  <c:v>44128.838846527775</c:v>
                </c:pt>
                <c:pt idx="7">
                  <c:v>44131.838846527775</c:v>
                </c:pt>
                <c:pt idx="8">
                  <c:v>44134.838846527775</c:v>
                </c:pt>
                <c:pt idx="9">
                  <c:v>44137.838846527775</c:v>
                </c:pt>
                <c:pt idx="10">
                  <c:v>44140.838846527775</c:v>
                </c:pt>
                <c:pt idx="11">
                  <c:v>44143.838846527775</c:v>
                </c:pt>
                <c:pt idx="12">
                  <c:v>44146.838846527775</c:v>
                </c:pt>
                <c:pt idx="13">
                  <c:v>44149.838846527775</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41.666666666666657</c:v>
                </c:pt>
                <c:pt idx="3">
                  <c:v>83.333333333333314</c:v>
                </c:pt>
                <c:pt idx="4">
                  <c:v>134.99999999999997</c:v>
                </c:pt>
                <c:pt idx="5">
                  <c:v>269.99999999999994</c:v>
                </c:pt>
                <c:pt idx="6">
                  <c:v>539.99999999999989</c:v>
                </c:pt>
                <c:pt idx="7">
                  <c:v>1046.2499999999998</c:v>
                </c:pt>
                <c:pt idx="8">
                  <c:v>2092.4999999999995</c:v>
                </c:pt>
                <c:pt idx="9">
                  <c:v>4184.9999999999991</c:v>
                </c:pt>
                <c:pt idx="10">
                  <c:v>8369.9999999999982</c:v>
                </c:pt>
                <c:pt idx="11">
                  <c:v>16739.999999999996</c:v>
                </c:pt>
                <c:pt idx="12">
                  <c:v>33513.749999999993</c:v>
                </c:pt>
                <c:pt idx="13">
                  <c:v>67027.499999999985</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44110.838846527775</c:v>
                </c:pt>
                <c:pt idx="1">
                  <c:v>44113.838846527775</c:v>
                </c:pt>
                <c:pt idx="2">
                  <c:v>44116.838846527775</c:v>
                </c:pt>
                <c:pt idx="3">
                  <c:v>44119.838846527775</c:v>
                </c:pt>
                <c:pt idx="4">
                  <c:v>44122.838846527775</c:v>
                </c:pt>
                <c:pt idx="5">
                  <c:v>44125.838846527775</c:v>
                </c:pt>
                <c:pt idx="6">
                  <c:v>44128.838846527775</c:v>
                </c:pt>
                <c:pt idx="7">
                  <c:v>44131.838846527775</c:v>
                </c:pt>
                <c:pt idx="8">
                  <c:v>44134.838846527775</c:v>
                </c:pt>
                <c:pt idx="9">
                  <c:v>44137.838846527775</c:v>
                </c:pt>
                <c:pt idx="10">
                  <c:v>44140.838846527775</c:v>
                </c:pt>
                <c:pt idx="11">
                  <c:v>44143.838846527775</c:v>
                </c:pt>
                <c:pt idx="12">
                  <c:v>44146.838846527775</c:v>
                </c:pt>
                <c:pt idx="13">
                  <c:v>44149.838846527775</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31.666666666666661</c:v>
                </c:pt>
                <c:pt idx="5">
                  <c:v>63.333333333333321</c:v>
                </c:pt>
                <c:pt idx="6">
                  <c:v>93.333333333333314</c:v>
                </c:pt>
                <c:pt idx="7">
                  <c:v>186.66666666666663</c:v>
                </c:pt>
                <c:pt idx="8">
                  <c:v>373.33333333333326</c:v>
                </c:pt>
                <c:pt idx="9">
                  <c:v>746.66666666666652</c:v>
                </c:pt>
                <c:pt idx="10">
                  <c:v>1493.333333333333</c:v>
                </c:pt>
                <c:pt idx="11">
                  <c:v>2986.6666666666661</c:v>
                </c:pt>
                <c:pt idx="12">
                  <c:v>5973.3333333333321</c:v>
                </c:pt>
                <c:pt idx="13">
                  <c:v>11946.666666666664</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44110.838846527775</c:v>
                </c:pt>
                <c:pt idx="1">
                  <c:v>44113.838846527775</c:v>
                </c:pt>
                <c:pt idx="2">
                  <c:v>44116.838846527775</c:v>
                </c:pt>
                <c:pt idx="3">
                  <c:v>44119.838846527775</c:v>
                </c:pt>
                <c:pt idx="4">
                  <c:v>44122.838846527775</c:v>
                </c:pt>
                <c:pt idx="5">
                  <c:v>44125.838846527775</c:v>
                </c:pt>
                <c:pt idx="6">
                  <c:v>44128.838846527775</c:v>
                </c:pt>
                <c:pt idx="7">
                  <c:v>44131.838846527775</c:v>
                </c:pt>
                <c:pt idx="8">
                  <c:v>44134.838846527775</c:v>
                </c:pt>
                <c:pt idx="9">
                  <c:v>44137.838846527775</c:v>
                </c:pt>
                <c:pt idx="10">
                  <c:v>44140.838846527775</c:v>
                </c:pt>
                <c:pt idx="11">
                  <c:v>44143.838846527775</c:v>
                </c:pt>
                <c:pt idx="12">
                  <c:v>44146.838846527775</c:v>
                </c:pt>
                <c:pt idx="13">
                  <c:v>44149.838846527775</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33.333333333333329</c:v>
                </c:pt>
                <c:pt idx="7">
                  <c:v>66.666666666666657</c:v>
                </c:pt>
                <c:pt idx="8">
                  <c:v>133.33333333333331</c:v>
                </c:pt>
                <c:pt idx="9">
                  <c:v>266.66666666666663</c:v>
                </c:pt>
                <c:pt idx="10">
                  <c:v>533.33333333333326</c:v>
                </c:pt>
                <c:pt idx="11">
                  <c:v>1066.6666666666665</c:v>
                </c:pt>
                <c:pt idx="12">
                  <c:v>2133.333333333333</c:v>
                </c:pt>
                <c:pt idx="13">
                  <c:v>4266.6666666666661</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44110.838846527775</c:v>
                </c:pt>
                <c:pt idx="1">
                  <c:v>44113.838846527775</c:v>
                </c:pt>
                <c:pt idx="2">
                  <c:v>44116.838846527775</c:v>
                </c:pt>
                <c:pt idx="3">
                  <c:v>44119.838846527775</c:v>
                </c:pt>
                <c:pt idx="4">
                  <c:v>44122.838846527775</c:v>
                </c:pt>
                <c:pt idx="5">
                  <c:v>44125.838846527775</c:v>
                </c:pt>
                <c:pt idx="6">
                  <c:v>44128.838846527775</c:v>
                </c:pt>
                <c:pt idx="7">
                  <c:v>44131.838846527775</c:v>
                </c:pt>
                <c:pt idx="8">
                  <c:v>44134.838846527775</c:v>
                </c:pt>
                <c:pt idx="9">
                  <c:v>44137.838846527775</c:v>
                </c:pt>
                <c:pt idx="10">
                  <c:v>44140.838846527775</c:v>
                </c:pt>
                <c:pt idx="11">
                  <c:v>44143.838846527775</c:v>
                </c:pt>
                <c:pt idx="12">
                  <c:v>44146.838846527775</c:v>
                </c:pt>
                <c:pt idx="13">
                  <c:v>44149.838846527775</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71.428571428571416</c:v>
                </c:pt>
                <c:pt idx="1">
                  <c:v>142.85714285714283</c:v>
                </c:pt>
                <c:pt idx="2">
                  <c:v>285.71428571428567</c:v>
                </c:pt>
                <c:pt idx="3">
                  <c:v>571.42857142857133</c:v>
                </c:pt>
                <c:pt idx="4">
                  <c:v>1142.8571428571427</c:v>
                </c:pt>
                <c:pt idx="5">
                  <c:v>2285.7142857142853</c:v>
                </c:pt>
                <c:pt idx="6">
                  <c:v>4571.4285714285706</c:v>
                </c:pt>
                <c:pt idx="7">
                  <c:v>9142.8571428571413</c:v>
                </c:pt>
                <c:pt idx="8">
                  <c:v>18285.714285714283</c:v>
                </c:pt>
                <c:pt idx="9">
                  <c:v>36571.428571428565</c:v>
                </c:pt>
                <c:pt idx="10">
                  <c:v>73142.85714285713</c:v>
                </c:pt>
                <c:pt idx="11">
                  <c:v>146285.71428571426</c:v>
                </c:pt>
                <c:pt idx="12">
                  <c:v>292571.42857142852</c:v>
                </c:pt>
                <c:pt idx="13">
                  <c:v>585142.85714285704</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44110.838846527775</c:v>
                </c:pt>
                <c:pt idx="1">
                  <c:v>44113.838846527775</c:v>
                </c:pt>
                <c:pt idx="2">
                  <c:v>44116.838846527775</c:v>
                </c:pt>
                <c:pt idx="3">
                  <c:v>44119.838846527775</c:v>
                </c:pt>
                <c:pt idx="4">
                  <c:v>44122.838846527775</c:v>
                </c:pt>
                <c:pt idx="5">
                  <c:v>44125.838846527775</c:v>
                </c:pt>
                <c:pt idx="6">
                  <c:v>44128.838846527775</c:v>
                </c:pt>
                <c:pt idx="7">
                  <c:v>44131.838846527775</c:v>
                </c:pt>
                <c:pt idx="8">
                  <c:v>44134.838846527775</c:v>
                </c:pt>
                <c:pt idx="9">
                  <c:v>44137.838846527775</c:v>
                </c:pt>
                <c:pt idx="10">
                  <c:v>44140.838846527775</c:v>
                </c:pt>
                <c:pt idx="11">
                  <c:v>44143.838846527775</c:v>
                </c:pt>
                <c:pt idx="12">
                  <c:v>44146.838846527775</c:v>
                </c:pt>
                <c:pt idx="13">
                  <c:v>44149.838846527775</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29.761904761904756</c:v>
                </c:pt>
                <c:pt idx="1">
                  <c:v>59.523809523809511</c:v>
                </c:pt>
                <c:pt idx="2">
                  <c:v>119.04761904761902</c:v>
                </c:pt>
                <c:pt idx="3">
                  <c:v>238.09523809523805</c:v>
                </c:pt>
                <c:pt idx="4">
                  <c:v>476.19047619047609</c:v>
                </c:pt>
                <c:pt idx="5">
                  <c:v>952.38095238095218</c:v>
                </c:pt>
                <c:pt idx="6">
                  <c:v>1904.7619047619044</c:v>
                </c:pt>
                <c:pt idx="7">
                  <c:v>3809.5238095238087</c:v>
                </c:pt>
                <c:pt idx="8">
                  <c:v>7619.0476190476174</c:v>
                </c:pt>
                <c:pt idx="9">
                  <c:v>15238.095238095235</c:v>
                </c:pt>
                <c:pt idx="10">
                  <c:v>30476.19047619047</c:v>
                </c:pt>
                <c:pt idx="11">
                  <c:v>60952.38095238094</c:v>
                </c:pt>
                <c:pt idx="12">
                  <c:v>121904.76190476188</c:v>
                </c:pt>
                <c:pt idx="13">
                  <c:v>243809.52380952376</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44110.838846527775</c:v>
                </c:pt>
                <c:pt idx="1">
                  <c:v>44113.838846527775</c:v>
                </c:pt>
                <c:pt idx="2">
                  <c:v>44116.838846527775</c:v>
                </c:pt>
                <c:pt idx="3">
                  <c:v>44119.838846527775</c:v>
                </c:pt>
                <c:pt idx="4">
                  <c:v>44122.838846527775</c:v>
                </c:pt>
                <c:pt idx="5">
                  <c:v>44125.838846527775</c:v>
                </c:pt>
                <c:pt idx="6">
                  <c:v>44128.838846527775</c:v>
                </c:pt>
                <c:pt idx="7">
                  <c:v>44131.838846527775</c:v>
                </c:pt>
                <c:pt idx="8">
                  <c:v>44134.838846527775</c:v>
                </c:pt>
                <c:pt idx="9">
                  <c:v>44137.838846527775</c:v>
                </c:pt>
                <c:pt idx="10">
                  <c:v>44140.838846527775</c:v>
                </c:pt>
                <c:pt idx="11">
                  <c:v>44143.838846527775</c:v>
                </c:pt>
                <c:pt idx="12">
                  <c:v>44146.838846527775</c:v>
                </c:pt>
                <c:pt idx="13">
                  <c:v>44149.838846527775</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41.666666666666664</c:v>
                </c:pt>
                <c:pt idx="4">
                  <c:v>83.333333333333329</c:v>
                </c:pt>
                <c:pt idx="5">
                  <c:v>166.66666666666666</c:v>
                </c:pt>
                <c:pt idx="6">
                  <c:v>333.33333333333331</c:v>
                </c:pt>
                <c:pt idx="7">
                  <c:v>666.66666666666663</c:v>
                </c:pt>
                <c:pt idx="8">
                  <c:v>1333.3333333333333</c:v>
                </c:pt>
                <c:pt idx="9">
                  <c:v>2666.6666666666665</c:v>
                </c:pt>
                <c:pt idx="10">
                  <c:v>5333.333333333333</c:v>
                </c:pt>
                <c:pt idx="11">
                  <c:v>10666.666666666666</c:v>
                </c:pt>
                <c:pt idx="12">
                  <c:v>21333.333333333332</c:v>
                </c:pt>
                <c:pt idx="13">
                  <c:v>42666.666666666664</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44110.838846527775</c:v>
                </c:pt>
                <c:pt idx="1">
                  <c:v>44113.838846527775</c:v>
                </c:pt>
                <c:pt idx="2">
                  <c:v>44116.838846527775</c:v>
                </c:pt>
                <c:pt idx="3">
                  <c:v>44119.838846527775</c:v>
                </c:pt>
                <c:pt idx="4">
                  <c:v>44122.838846527775</c:v>
                </c:pt>
                <c:pt idx="5">
                  <c:v>44125.838846527775</c:v>
                </c:pt>
                <c:pt idx="6">
                  <c:v>44128.838846527775</c:v>
                </c:pt>
                <c:pt idx="7">
                  <c:v>44131.838846527775</c:v>
                </c:pt>
                <c:pt idx="8">
                  <c:v>44134.838846527775</c:v>
                </c:pt>
                <c:pt idx="9">
                  <c:v>44137.838846527775</c:v>
                </c:pt>
                <c:pt idx="10">
                  <c:v>44140.838846527775</c:v>
                </c:pt>
                <c:pt idx="11">
                  <c:v>44143.838846527775</c:v>
                </c:pt>
                <c:pt idx="12">
                  <c:v>44146.838846527775</c:v>
                </c:pt>
                <c:pt idx="13">
                  <c:v>44149.838846527775</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41.666666666666664</c:v>
                </c:pt>
                <c:pt idx="4">
                  <c:v>83.333333333333329</c:v>
                </c:pt>
                <c:pt idx="5">
                  <c:v>166.66666666666666</c:v>
                </c:pt>
                <c:pt idx="6">
                  <c:v>333.33333333333331</c:v>
                </c:pt>
                <c:pt idx="7">
                  <c:v>666.66666666666663</c:v>
                </c:pt>
                <c:pt idx="8">
                  <c:v>1333.3333333333333</c:v>
                </c:pt>
                <c:pt idx="9">
                  <c:v>2666.6666666666665</c:v>
                </c:pt>
                <c:pt idx="10">
                  <c:v>5333.333333333333</c:v>
                </c:pt>
                <c:pt idx="11">
                  <c:v>10666.666666666666</c:v>
                </c:pt>
                <c:pt idx="12">
                  <c:v>21333.333333333332</c:v>
                </c:pt>
                <c:pt idx="13">
                  <c:v>42666.666666666664</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44110.838846527775</c:v>
                </c:pt>
                <c:pt idx="1">
                  <c:v>44113.838846527775</c:v>
                </c:pt>
                <c:pt idx="2">
                  <c:v>44116.838846527775</c:v>
                </c:pt>
                <c:pt idx="3">
                  <c:v>44119.838846527775</c:v>
                </c:pt>
                <c:pt idx="4">
                  <c:v>44122.838846527775</c:v>
                </c:pt>
                <c:pt idx="5">
                  <c:v>44125.838846527775</c:v>
                </c:pt>
                <c:pt idx="6">
                  <c:v>44128.838846527775</c:v>
                </c:pt>
                <c:pt idx="7">
                  <c:v>44131.838846527775</c:v>
                </c:pt>
                <c:pt idx="8">
                  <c:v>44134.838846527775</c:v>
                </c:pt>
                <c:pt idx="9">
                  <c:v>44137.838846527775</c:v>
                </c:pt>
                <c:pt idx="10">
                  <c:v>44140.838846527775</c:v>
                </c:pt>
                <c:pt idx="11">
                  <c:v>44143.838846527775</c:v>
                </c:pt>
                <c:pt idx="12">
                  <c:v>44146.838846527775</c:v>
                </c:pt>
                <c:pt idx="13">
                  <c:v>44149.838846527775</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41.666666666666657</c:v>
                </c:pt>
                <c:pt idx="3">
                  <c:v>83.333333333333314</c:v>
                </c:pt>
                <c:pt idx="4">
                  <c:v>134.99999999999997</c:v>
                </c:pt>
                <c:pt idx="5">
                  <c:v>269.99999999999994</c:v>
                </c:pt>
                <c:pt idx="6">
                  <c:v>539.99999999999989</c:v>
                </c:pt>
                <c:pt idx="7">
                  <c:v>1046.2499999999998</c:v>
                </c:pt>
                <c:pt idx="8">
                  <c:v>2092.4999999999995</c:v>
                </c:pt>
                <c:pt idx="9">
                  <c:v>4184.9999999999991</c:v>
                </c:pt>
                <c:pt idx="10">
                  <c:v>8369.9999999999982</c:v>
                </c:pt>
                <c:pt idx="11">
                  <c:v>16739.999999999996</c:v>
                </c:pt>
                <c:pt idx="12">
                  <c:v>33513.749999999993</c:v>
                </c:pt>
                <c:pt idx="13">
                  <c:v>67027.499999999985</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44110.838846527775</c:v>
                </c:pt>
                <c:pt idx="1">
                  <c:v>44113.838846527775</c:v>
                </c:pt>
                <c:pt idx="2">
                  <c:v>44116.838846527775</c:v>
                </c:pt>
                <c:pt idx="3">
                  <c:v>44119.838846527775</c:v>
                </c:pt>
                <c:pt idx="4">
                  <c:v>44122.838846527775</c:v>
                </c:pt>
                <c:pt idx="5">
                  <c:v>44125.838846527775</c:v>
                </c:pt>
                <c:pt idx="6">
                  <c:v>44128.838846527775</c:v>
                </c:pt>
                <c:pt idx="7">
                  <c:v>44131.838846527775</c:v>
                </c:pt>
                <c:pt idx="8">
                  <c:v>44134.838846527775</c:v>
                </c:pt>
                <c:pt idx="9">
                  <c:v>44137.838846527775</c:v>
                </c:pt>
                <c:pt idx="10">
                  <c:v>44140.838846527775</c:v>
                </c:pt>
                <c:pt idx="11">
                  <c:v>44143.838846527775</c:v>
                </c:pt>
                <c:pt idx="12">
                  <c:v>44146.838846527775</c:v>
                </c:pt>
                <c:pt idx="13">
                  <c:v>44149.838846527775</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31.666666666666661</c:v>
                </c:pt>
                <c:pt idx="5">
                  <c:v>63.333333333333321</c:v>
                </c:pt>
                <c:pt idx="6">
                  <c:v>93.333333333333314</c:v>
                </c:pt>
                <c:pt idx="7">
                  <c:v>186.66666666666663</c:v>
                </c:pt>
                <c:pt idx="8">
                  <c:v>373.33333333333326</c:v>
                </c:pt>
                <c:pt idx="9">
                  <c:v>746.66666666666652</c:v>
                </c:pt>
                <c:pt idx="10">
                  <c:v>1493.333333333333</c:v>
                </c:pt>
                <c:pt idx="11">
                  <c:v>2986.6666666666661</c:v>
                </c:pt>
                <c:pt idx="12">
                  <c:v>5973.3333333333321</c:v>
                </c:pt>
                <c:pt idx="13">
                  <c:v>11946.666666666664</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44110.838846527775</c:v>
                </c:pt>
                <c:pt idx="1">
                  <c:v>44113.838846527775</c:v>
                </c:pt>
                <c:pt idx="2">
                  <c:v>44116.838846527775</c:v>
                </c:pt>
                <c:pt idx="3">
                  <c:v>44119.838846527775</c:v>
                </c:pt>
                <c:pt idx="4">
                  <c:v>44122.838846527775</c:v>
                </c:pt>
                <c:pt idx="5">
                  <c:v>44125.838846527775</c:v>
                </c:pt>
                <c:pt idx="6">
                  <c:v>44128.838846527775</c:v>
                </c:pt>
                <c:pt idx="7">
                  <c:v>44131.838846527775</c:v>
                </c:pt>
                <c:pt idx="8">
                  <c:v>44134.838846527775</c:v>
                </c:pt>
                <c:pt idx="9">
                  <c:v>44137.838846527775</c:v>
                </c:pt>
                <c:pt idx="10">
                  <c:v>44140.838846527775</c:v>
                </c:pt>
                <c:pt idx="11">
                  <c:v>44143.838846527775</c:v>
                </c:pt>
                <c:pt idx="12">
                  <c:v>44146.838846527775</c:v>
                </c:pt>
                <c:pt idx="13">
                  <c:v>44149.838846527775</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33.333333333333329</c:v>
                </c:pt>
                <c:pt idx="7">
                  <c:v>66.666666666666657</c:v>
                </c:pt>
                <c:pt idx="8">
                  <c:v>133.33333333333331</c:v>
                </c:pt>
                <c:pt idx="9">
                  <c:v>266.66666666666663</c:v>
                </c:pt>
                <c:pt idx="10">
                  <c:v>533.33333333333326</c:v>
                </c:pt>
                <c:pt idx="11">
                  <c:v>1066.6666666666665</c:v>
                </c:pt>
                <c:pt idx="12">
                  <c:v>2133.333333333333</c:v>
                </c:pt>
                <c:pt idx="13">
                  <c:v>4266.6666666666661</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Projections!$A$377</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Projections!$R$377:$BM$377</c15:sqref>
                  </c15:fullRef>
                </c:ext>
              </c:extLst>
              <c:f>Projections!$R$377:$BC$377</c:f>
              <c:numCache>
                <c:formatCode>#,##0_ ;[Red]\-#,##0\ </c:formatCode>
                <c:ptCount val="38"/>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89600.000000000015</c:v>
                </c:pt>
                <c:pt idx="16">
                  <c:v>107520.00000000001</c:v>
                </c:pt>
                <c:pt idx="17">
                  <c:v>125440.00000000001</c:v>
                </c:pt>
                <c:pt idx="18">
                  <c:v>143360</c:v>
                </c:pt>
                <c:pt idx="19">
                  <c:v>183500.80000000002</c:v>
                </c:pt>
                <c:pt idx="20">
                  <c:v>215040.00000000003</c:v>
                </c:pt>
                <c:pt idx="21">
                  <c:v>250880.00000000003</c:v>
                </c:pt>
                <c:pt idx="22">
                  <c:v>286720</c:v>
                </c:pt>
                <c:pt idx="23">
                  <c:v>344064.00000000006</c:v>
                </c:pt>
                <c:pt idx="24">
                  <c:v>401408.00000000006</c:v>
                </c:pt>
                <c:pt idx="25">
                  <c:v>458752.00000000006</c:v>
                </c:pt>
                <c:pt idx="26">
                  <c:v>516096.00000000006</c:v>
                </c:pt>
                <c:pt idx="27">
                  <c:v>573440</c:v>
                </c:pt>
                <c:pt idx="28">
                  <c:v>688128.00000000012</c:v>
                </c:pt>
                <c:pt idx="29">
                  <c:v>802816.00000000012</c:v>
                </c:pt>
                <c:pt idx="30">
                  <c:v>917504.00000000012</c:v>
                </c:pt>
                <c:pt idx="31">
                  <c:v>1032192.0000000001</c:v>
                </c:pt>
                <c:pt idx="32">
                  <c:v>1146880</c:v>
                </c:pt>
                <c:pt idx="33">
                  <c:v>1376256.0000000002</c:v>
                </c:pt>
                <c:pt idx="34">
                  <c:v>1605632.0000000002</c:v>
                </c:pt>
                <c:pt idx="35">
                  <c:v>1835008.0000000002</c:v>
                </c:pt>
                <c:pt idx="36">
                  <c:v>2064384.0000000002</c:v>
                </c:pt>
                <c:pt idx="37">
                  <c:v>2293760</c:v>
                </c:pt>
              </c:numCache>
            </c:numRef>
          </c:val>
          <c:smooth val="0"/>
          <c:extLst>
            <c:ext xmlns:c16="http://schemas.microsoft.com/office/drawing/2014/chart" uri="{C3380CC4-5D6E-409C-BE32-E72D297353CC}">
              <c16:uniqueId val="{00000003-5231-4BE2-97ED-54F0C3DB105C}"/>
            </c:ext>
          </c:extLst>
        </c:ser>
        <c:ser>
          <c:idx val="2"/>
          <c:order val="1"/>
          <c:tx>
            <c:strRef>
              <c:f>Projections!$A$378</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Projections!$R$378:$BM$378</c15:sqref>
                  </c15:fullRef>
                </c:ext>
              </c:extLst>
              <c:f>Projections!$R$378:$BC$378</c:f>
              <c:numCache>
                <c:formatCode>#,##0_ ;[Red]\-#,##0\ </c:formatCode>
                <c:ptCount val="38"/>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46084.599992887612</c:v>
                </c:pt>
                <c:pt idx="15">
                  <c:v>57640.691423978322</c:v>
                </c:pt>
                <c:pt idx="16">
                  <c:v>69203.274247754365</c:v>
                </c:pt>
                <c:pt idx="17">
                  <c:v>80958.879409970832</c:v>
                </c:pt>
                <c:pt idx="18">
                  <c:v>93484.241075724261</c:v>
                </c:pt>
                <c:pt idx="19">
                  <c:v>118252.27542348154</c:v>
                </c:pt>
                <c:pt idx="20">
                  <c:v>94257.189472761398</c:v>
                </c:pt>
                <c:pt idx="21">
                  <c:v>73461.771132579917</c:v>
                </c:pt>
                <c:pt idx="22">
                  <c:v>139160.77936945786</c:v>
                </c:pt>
                <c:pt idx="23">
                  <c:v>0</c:v>
                </c:pt>
                <c:pt idx="24">
                  <c:v>67910.216651757597</c:v>
                </c:pt>
                <c:pt idx="25">
                  <c:v>0</c:v>
                </c:pt>
                <c:pt idx="26">
                  <c:v>33660.681129508652</c:v>
                </c:pt>
                <c:pt idx="27">
                  <c:v>290226.93205865647</c:v>
                </c:pt>
                <c:pt idx="28">
                  <c:v>0</c:v>
                </c:pt>
                <c:pt idx="29">
                  <c:v>164075.82743118674</c:v>
                </c:pt>
                <c:pt idx="30">
                  <c:v>76097.612996206037</c:v>
                </c:pt>
                <c:pt idx="31">
                  <c:v>0</c:v>
                </c:pt>
                <c:pt idx="32">
                  <c:v>0</c:v>
                </c:pt>
                <c:pt idx="33">
                  <c:v>0</c:v>
                </c:pt>
                <c:pt idx="34">
                  <c:v>0</c:v>
                </c:pt>
                <c:pt idx="35">
                  <c:v>0</c:v>
                </c:pt>
                <c:pt idx="36">
                  <c:v>0</c:v>
                </c:pt>
                <c:pt idx="37">
                  <c:v>0</c:v>
                </c:pt>
              </c:numCache>
            </c:numRef>
          </c:val>
          <c:smooth val="0"/>
          <c:extLst>
            <c:ext xmlns:c16="http://schemas.microsoft.com/office/drawing/2014/chart" uri="{C3380CC4-5D6E-409C-BE32-E72D297353CC}">
              <c16:uniqueId val="{00000002-9381-4A4E-BB43-DCD8EC2F4E00}"/>
            </c:ext>
          </c:extLst>
        </c:ser>
        <c:ser>
          <c:idx val="0"/>
          <c:order val="2"/>
          <c:tx>
            <c:strRef>
              <c:f>Projections!$A$379</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Projections!$R$379:$BM$379</c15:sqref>
                  </c15:fullRef>
                </c:ext>
              </c:extLst>
              <c:f>Projections!$R$379:$BC$379</c:f>
              <c:numCache>
                <c:formatCode>#,##0_ ;[Red]\-#,##0\ </c:formatCode>
                <c:ptCount val="38"/>
                <c:pt idx="0">
                  <c:v>1.5625</c:v>
                </c:pt>
                <c:pt idx="1">
                  <c:v>3.125</c:v>
                </c:pt>
                <c:pt idx="2">
                  <c:v>6.25</c:v>
                </c:pt>
                <c:pt idx="3">
                  <c:v>12.5</c:v>
                </c:pt>
                <c:pt idx="4">
                  <c:v>25</c:v>
                </c:pt>
                <c:pt idx="5">
                  <c:v>50</c:v>
                </c:pt>
                <c:pt idx="6">
                  <c:v>100</c:v>
                </c:pt>
                <c:pt idx="7">
                  <c:v>200</c:v>
                </c:pt>
                <c:pt idx="8">
                  <c:v>400</c:v>
                </c:pt>
                <c:pt idx="9">
                  <c:v>800</c:v>
                </c:pt>
                <c:pt idx="10">
                  <c:v>1600</c:v>
                </c:pt>
                <c:pt idx="11">
                  <c:v>3200</c:v>
                </c:pt>
                <c:pt idx="12">
                  <c:v>6400</c:v>
                </c:pt>
                <c:pt idx="13">
                  <c:v>12800</c:v>
                </c:pt>
                <c:pt idx="14">
                  <c:v>25600</c:v>
                </c:pt>
                <c:pt idx="15">
                  <c:v>32000</c:v>
                </c:pt>
                <c:pt idx="16">
                  <c:v>38400</c:v>
                </c:pt>
                <c:pt idx="17">
                  <c:v>44800</c:v>
                </c:pt>
                <c:pt idx="18">
                  <c:v>51200</c:v>
                </c:pt>
                <c:pt idx="19">
                  <c:v>65536</c:v>
                </c:pt>
                <c:pt idx="20">
                  <c:v>76800</c:v>
                </c:pt>
                <c:pt idx="21">
                  <c:v>89600</c:v>
                </c:pt>
                <c:pt idx="22">
                  <c:v>102400</c:v>
                </c:pt>
                <c:pt idx="23">
                  <c:v>122880</c:v>
                </c:pt>
                <c:pt idx="24">
                  <c:v>143360</c:v>
                </c:pt>
                <c:pt idx="25">
                  <c:v>163840</c:v>
                </c:pt>
                <c:pt idx="26">
                  <c:v>184320</c:v>
                </c:pt>
                <c:pt idx="27">
                  <c:v>204800</c:v>
                </c:pt>
                <c:pt idx="28">
                  <c:v>245760</c:v>
                </c:pt>
                <c:pt idx="29">
                  <c:v>286720</c:v>
                </c:pt>
                <c:pt idx="30">
                  <c:v>327680</c:v>
                </c:pt>
                <c:pt idx="31">
                  <c:v>368640</c:v>
                </c:pt>
                <c:pt idx="32">
                  <c:v>409600</c:v>
                </c:pt>
                <c:pt idx="33">
                  <c:v>491520</c:v>
                </c:pt>
                <c:pt idx="34">
                  <c:v>573440</c:v>
                </c:pt>
                <c:pt idx="35">
                  <c:v>655360</c:v>
                </c:pt>
                <c:pt idx="36">
                  <c:v>737280</c:v>
                </c:pt>
                <c:pt idx="37">
                  <c:v>819200</c:v>
                </c:pt>
              </c:numCache>
            </c:numRef>
          </c:val>
          <c:smooth val="0"/>
          <c:extLst>
            <c:ext xmlns:c16="http://schemas.microsoft.com/office/drawing/2014/chart" uri="{C3380CC4-5D6E-409C-BE32-E72D297353CC}">
              <c16:uniqueId val="{00000000-9381-4A4E-BB43-DCD8EC2F4E00}"/>
            </c:ext>
          </c:extLst>
        </c:ser>
        <c:ser>
          <c:idx val="4"/>
          <c:order val="3"/>
          <c:tx>
            <c:strRef>
              <c:f>Projections!$A$380</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Projections!$R$380:$BM$380</c15:sqref>
                  </c15:fullRef>
                </c:ext>
              </c:extLst>
              <c:f>Projections!$R$380:$BC$380</c:f>
              <c:numCache>
                <c:formatCode>#,##0_ ;[Red]\-#,##0\ </c:formatCode>
                <c:ptCount val="38"/>
                <c:pt idx="0">
                  <c:v>1.5625</c:v>
                </c:pt>
                <c:pt idx="1">
                  <c:v>3.125</c:v>
                </c:pt>
                <c:pt idx="2">
                  <c:v>6.25</c:v>
                </c:pt>
                <c:pt idx="3">
                  <c:v>12.5</c:v>
                </c:pt>
                <c:pt idx="4">
                  <c:v>25</c:v>
                </c:pt>
                <c:pt idx="5">
                  <c:v>50</c:v>
                </c:pt>
                <c:pt idx="6">
                  <c:v>100</c:v>
                </c:pt>
                <c:pt idx="7">
                  <c:v>200</c:v>
                </c:pt>
                <c:pt idx="8">
                  <c:v>400</c:v>
                </c:pt>
                <c:pt idx="9">
                  <c:v>800</c:v>
                </c:pt>
                <c:pt idx="10">
                  <c:v>1600</c:v>
                </c:pt>
                <c:pt idx="11">
                  <c:v>3200</c:v>
                </c:pt>
                <c:pt idx="12">
                  <c:v>6398.2476184477409</c:v>
                </c:pt>
                <c:pt idx="13">
                  <c:v>12796.890633569014</c:v>
                </c:pt>
                <c:pt idx="14">
                  <c:v>25586.900007112388</c:v>
                </c:pt>
                <c:pt idx="15">
                  <c:v>31941.919642857141</c:v>
                </c:pt>
                <c:pt idx="16">
                  <c:v>38249.100752245642</c:v>
                </c:pt>
                <c:pt idx="17">
                  <c:v>44284.409021302978</c:v>
                </c:pt>
                <c:pt idx="18">
                  <c:v>49300.258924275739</c:v>
                </c:pt>
                <c:pt idx="19">
                  <c:v>52370.410836069677</c:v>
                </c:pt>
                <c:pt idx="20">
                  <c:v>37759.709027151504</c:v>
                </c:pt>
                <c:pt idx="21">
                  <c:v>33729.695574653124</c:v>
                </c:pt>
                <c:pt idx="22">
                  <c:v>0</c:v>
                </c:pt>
                <c:pt idx="23">
                  <c:v>34712.968101625316</c:v>
                </c:pt>
                <c:pt idx="24">
                  <c:v>0</c:v>
                </c:pt>
                <c:pt idx="25">
                  <c:v>0</c:v>
                </c:pt>
                <c:pt idx="26">
                  <c:v>62768.717277388205</c:v>
                </c:pt>
                <c:pt idx="27">
                  <c:v>431.25347847890225</c:v>
                </c:pt>
                <c:pt idx="28">
                  <c:v>55273.658116872364</c:v>
                </c:pt>
                <c:pt idx="29">
                  <c:v>48293.780140987074</c:v>
                </c:pt>
                <c:pt idx="30">
                  <c:v>0</c:v>
                </c:pt>
                <c:pt idx="31">
                  <c:v>50662.094121746137</c:v>
                </c:pt>
                <c:pt idx="32">
                  <c:v>88494.240551042021</c:v>
                </c:pt>
                <c:pt idx="33">
                  <c:v>115835.21077850688</c:v>
                </c:pt>
                <c:pt idx="34">
                  <c:v>0</c:v>
                </c:pt>
                <c:pt idx="35">
                  <c:v>0</c:v>
                </c:pt>
                <c:pt idx="36">
                  <c:v>0</c:v>
                </c:pt>
                <c:pt idx="37">
                  <c:v>0</c:v>
                </c:pt>
              </c:numCache>
            </c:numRef>
          </c:val>
          <c:smooth val="0"/>
          <c:extLst>
            <c:ext xmlns:c16="http://schemas.microsoft.com/office/drawing/2014/chart" uri="{C3380CC4-5D6E-409C-BE32-E72D297353CC}">
              <c16:uniqueId val="{00000003-9381-4A4E-BB43-DCD8EC2F4E00}"/>
            </c:ext>
          </c:extLst>
        </c:ser>
        <c:ser>
          <c:idx val="1"/>
          <c:order val="4"/>
          <c:tx>
            <c:strRef>
              <c:f>Projections!$A$381</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Projections!$R$381:$BM$381</c15:sqref>
                  </c15:fullRef>
                </c:ext>
              </c:extLst>
              <c:f>Projections!$R$381:$BC$381</c:f>
              <c:numCache>
                <c:formatCode>#,##0_ ;[Red]\-#,##0\ </c:formatCode>
                <c:ptCount val="38"/>
                <c:pt idx="0">
                  <c:v>0.75</c:v>
                </c:pt>
                <c:pt idx="1">
                  <c:v>1.5</c:v>
                </c:pt>
                <c:pt idx="2">
                  <c:v>3</c:v>
                </c:pt>
                <c:pt idx="3">
                  <c:v>6</c:v>
                </c:pt>
                <c:pt idx="4">
                  <c:v>12</c:v>
                </c:pt>
                <c:pt idx="5">
                  <c:v>24</c:v>
                </c:pt>
                <c:pt idx="6">
                  <c:v>48</c:v>
                </c:pt>
                <c:pt idx="7">
                  <c:v>96</c:v>
                </c:pt>
                <c:pt idx="8">
                  <c:v>192</c:v>
                </c:pt>
                <c:pt idx="9">
                  <c:v>384</c:v>
                </c:pt>
                <c:pt idx="10">
                  <c:v>768</c:v>
                </c:pt>
                <c:pt idx="11">
                  <c:v>1536</c:v>
                </c:pt>
                <c:pt idx="12">
                  <c:v>3072</c:v>
                </c:pt>
                <c:pt idx="13">
                  <c:v>6144</c:v>
                </c:pt>
                <c:pt idx="14">
                  <c:v>12288</c:v>
                </c:pt>
                <c:pt idx="15">
                  <c:v>15360</c:v>
                </c:pt>
                <c:pt idx="16">
                  <c:v>18432</c:v>
                </c:pt>
                <c:pt idx="17">
                  <c:v>21504</c:v>
                </c:pt>
                <c:pt idx="18">
                  <c:v>24576</c:v>
                </c:pt>
                <c:pt idx="19">
                  <c:v>31457.279999999999</c:v>
                </c:pt>
                <c:pt idx="20">
                  <c:v>36864</c:v>
                </c:pt>
                <c:pt idx="21">
                  <c:v>43008</c:v>
                </c:pt>
                <c:pt idx="22">
                  <c:v>49152</c:v>
                </c:pt>
                <c:pt idx="23">
                  <c:v>58982.400000000001</c:v>
                </c:pt>
                <c:pt idx="24">
                  <c:v>68812.800000000003</c:v>
                </c:pt>
                <c:pt idx="25">
                  <c:v>78643.199999999997</c:v>
                </c:pt>
                <c:pt idx="26">
                  <c:v>88473.600000000006</c:v>
                </c:pt>
                <c:pt idx="27">
                  <c:v>98304</c:v>
                </c:pt>
                <c:pt idx="28">
                  <c:v>117964.8</c:v>
                </c:pt>
                <c:pt idx="29">
                  <c:v>137625.60000000001</c:v>
                </c:pt>
                <c:pt idx="30">
                  <c:v>157286.39999999999</c:v>
                </c:pt>
                <c:pt idx="31">
                  <c:v>176947.20000000001</c:v>
                </c:pt>
                <c:pt idx="32">
                  <c:v>196608</c:v>
                </c:pt>
                <c:pt idx="33">
                  <c:v>235929.60000000001</c:v>
                </c:pt>
                <c:pt idx="34">
                  <c:v>275251.20000000001</c:v>
                </c:pt>
                <c:pt idx="35">
                  <c:v>314572.79999999999</c:v>
                </c:pt>
                <c:pt idx="36">
                  <c:v>353894.40000000002</c:v>
                </c:pt>
                <c:pt idx="37">
                  <c:v>393216</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Projections!$A$398</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Projections!$R$398:$BM$398</c15:sqref>
                  </c15:fullRef>
                </c:ext>
              </c:extLst>
              <c:f>Projections!$R$398:$BC$398</c:f>
              <c:numCache>
                <c:formatCode>#,##0</c:formatCode>
                <c:ptCount val="3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pt idx="28">
                  <c:v>141793.08367676043</c:v>
                </c:pt>
                <c:pt idx="29">
                  <c:v>165425.26428955383</c:v>
                </c:pt>
                <c:pt idx="30">
                  <c:v>189057.44490234726</c:v>
                </c:pt>
                <c:pt idx="31">
                  <c:v>212689.62551514065</c:v>
                </c:pt>
                <c:pt idx="32">
                  <c:v>236321.80612793405</c:v>
                </c:pt>
                <c:pt idx="33">
                  <c:v>283586.16735352087</c:v>
                </c:pt>
                <c:pt idx="34">
                  <c:v>330850.52857910766</c:v>
                </c:pt>
                <c:pt idx="35">
                  <c:v>378114.88980469451</c:v>
                </c:pt>
                <c:pt idx="36">
                  <c:v>425379.2510302813</c:v>
                </c:pt>
                <c:pt idx="37">
                  <c:v>472643.61225586809</c:v>
                </c:pt>
              </c:numCache>
            </c:numRef>
          </c:val>
          <c:smooth val="0"/>
          <c:extLst>
            <c:ext xmlns:c16="http://schemas.microsoft.com/office/drawing/2014/chart" uri="{C3380CC4-5D6E-409C-BE32-E72D297353CC}">
              <c16:uniqueId val="{00000000-04B6-450D-AD81-6BF382C059D1}"/>
            </c:ext>
          </c:extLst>
        </c:ser>
        <c:ser>
          <c:idx val="2"/>
          <c:order val="1"/>
          <c:tx>
            <c:strRef>
              <c:f>Projections!$A$400</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Projections!$R$400:$BM$400</c15:sqref>
                  </c15:fullRef>
                </c:ext>
              </c:extLst>
              <c:f>Projections!$R$400:$BC$400</c:f>
              <c:numCache>
                <c:formatCode>#,##0</c:formatCode>
                <c:ptCount val="38"/>
                <c:pt idx="0">
                  <c:v>3.3316161978140117</c:v>
                </c:pt>
                <c:pt idx="1">
                  <c:v>6.6632323956280235</c:v>
                </c:pt>
                <c:pt idx="2">
                  <c:v>13.326464791256047</c:v>
                </c:pt>
                <c:pt idx="3">
                  <c:v>26.652929582512094</c:v>
                </c:pt>
                <c:pt idx="4">
                  <c:v>53.305859165024188</c:v>
                </c:pt>
                <c:pt idx="5">
                  <c:v>106.61171833004838</c:v>
                </c:pt>
                <c:pt idx="6">
                  <c:v>213.22343666009675</c:v>
                </c:pt>
                <c:pt idx="7">
                  <c:v>426.4468733201935</c:v>
                </c:pt>
                <c:pt idx="8">
                  <c:v>852.89374664038701</c:v>
                </c:pt>
                <c:pt idx="9">
                  <c:v>1705.787493280774</c:v>
                </c:pt>
                <c:pt idx="10">
                  <c:v>3411.574986561548</c:v>
                </c:pt>
                <c:pt idx="11">
                  <c:v>6823.1499731230961</c:v>
                </c:pt>
                <c:pt idx="12">
                  <c:v>13646.299946246192</c:v>
                </c:pt>
                <c:pt idx="13">
                  <c:v>27292.599892492384</c:v>
                </c:pt>
                <c:pt idx="14">
                  <c:v>54585.199784984768</c:v>
                </c:pt>
                <c:pt idx="15">
                  <c:v>68231.499731230957</c:v>
                </c:pt>
                <c:pt idx="16">
                  <c:v>81877.799677477145</c:v>
                </c:pt>
                <c:pt idx="17">
                  <c:v>95524.099623723334</c:v>
                </c:pt>
                <c:pt idx="18">
                  <c:v>109170.39956996954</c:v>
                </c:pt>
                <c:pt idx="19">
                  <c:v>139738.11144956099</c:v>
                </c:pt>
                <c:pt idx="20">
                  <c:v>163755.59935495429</c:v>
                </c:pt>
                <c:pt idx="21">
                  <c:v>191048.19924744667</c:v>
                </c:pt>
                <c:pt idx="22">
                  <c:v>218340.79913993907</c:v>
                </c:pt>
                <c:pt idx="23">
                  <c:v>262008.95896792688</c:v>
                </c:pt>
                <c:pt idx="24">
                  <c:v>305677.11879591469</c:v>
                </c:pt>
                <c:pt idx="25">
                  <c:v>349345.27862390253</c:v>
                </c:pt>
                <c:pt idx="26">
                  <c:v>393013.43845189031</c:v>
                </c:pt>
                <c:pt idx="27">
                  <c:v>436681.59827987815</c:v>
                </c:pt>
                <c:pt idx="28">
                  <c:v>524017.91793585377</c:v>
                </c:pt>
                <c:pt idx="29">
                  <c:v>611354.23759182938</c:v>
                </c:pt>
                <c:pt idx="30">
                  <c:v>698690.55724780506</c:v>
                </c:pt>
                <c:pt idx="31">
                  <c:v>786026.87690378062</c:v>
                </c:pt>
                <c:pt idx="32">
                  <c:v>873363.1965597563</c:v>
                </c:pt>
                <c:pt idx="33">
                  <c:v>1048035.8358717075</c:v>
                </c:pt>
                <c:pt idx="34">
                  <c:v>1222708.4751836588</c:v>
                </c:pt>
                <c:pt idx="35">
                  <c:v>1397381.1144956101</c:v>
                </c:pt>
                <c:pt idx="36">
                  <c:v>1572053.7538075612</c:v>
                </c:pt>
                <c:pt idx="37">
                  <c:v>1746726.3931195126</c:v>
                </c:pt>
              </c:numCache>
            </c:numRef>
          </c:val>
          <c:smooth val="0"/>
          <c:extLst>
            <c:ext xmlns:c16="http://schemas.microsoft.com/office/drawing/2014/chart" uri="{C3380CC4-5D6E-409C-BE32-E72D297353CC}">
              <c16:uniqueId val="{00000002-04B6-450D-AD81-6BF382C059D1}"/>
            </c:ext>
          </c:extLst>
        </c:ser>
        <c:ser>
          <c:idx val="4"/>
          <c:order val="2"/>
          <c:tx>
            <c:strRef>
              <c:f>Projections!$A$402</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Projections!$R$402:$BM$402</c15:sqref>
                  </c15:fullRef>
                </c:ext>
              </c:extLst>
              <c:f>Projections!$R$402:$BC$402</c:f>
              <c:numCache>
                <c:formatCode>#,##0</c:formatCode>
                <c:ptCount val="38"/>
                <c:pt idx="0">
                  <c:v>5.2297975273248518</c:v>
                </c:pt>
                <c:pt idx="1">
                  <c:v>10.459595054649704</c:v>
                </c:pt>
                <c:pt idx="2">
                  <c:v>20.919190109299407</c:v>
                </c:pt>
                <c:pt idx="3">
                  <c:v>41.838380218598815</c:v>
                </c:pt>
                <c:pt idx="4">
                  <c:v>83.676760437197629</c:v>
                </c:pt>
                <c:pt idx="5">
                  <c:v>167.35352087439526</c:v>
                </c:pt>
                <c:pt idx="6">
                  <c:v>334.70704174879052</c:v>
                </c:pt>
                <c:pt idx="7">
                  <c:v>669.41408349758103</c:v>
                </c:pt>
                <c:pt idx="8">
                  <c:v>1338.8281669951621</c:v>
                </c:pt>
                <c:pt idx="9">
                  <c:v>2677.6563339903241</c:v>
                </c:pt>
                <c:pt idx="10">
                  <c:v>5355.3126679806483</c:v>
                </c:pt>
                <c:pt idx="11">
                  <c:v>10710.625335961297</c:v>
                </c:pt>
                <c:pt idx="12">
                  <c:v>21421.250671922593</c:v>
                </c:pt>
                <c:pt idx="13">
                  <c:v>42842.501343845186</c:v>
                </c:pt>
                <c:pt idx="14">
                  <c:v>85685.002687690372</c:v>
                </c:pt>
                <c:pt idx="15">
                  <c:v>107106.25335961297</c:v>
                </c:pt>
                <c:pt idx="16">
                  <c:v>128527.50403153556</c:v>
                </c:pt>
                <c:pt idx="17">
                  <c:v>149948.75470345814</c:v>
                </c:pt>
                <c:pt idx="18">
                  <c:v>171370.00537538074</c:v>
                </c:pt>
                <c:pt idx="19">
                  <c:v>219353.60688048735</c:v>
                </c:pt>
                <c:pt idx="20">
                  <c:v>257055.00806307112</c:v>
                </c:pt>
                <c:pt idx="21">
                  <c:v>299897.50940691627</c:v>
                </c:pt>
                <c:pt idx="22">
                  <c:v>342740.01075076149</c:v>
                </c:pt>
                <c:pt idx="23">
                  <c:v>411288.01290091377</c:v>
                </c:pt>
                <c:pt idx="24">
                  <c:v>479836.01505106606</c:v>
                </c:pt>
                <c:pt idx="25">
                  <c:v>548384.0172012184</c:v>
                </c:pt>
                <c:pt idx="26">
                  <c:v>616932.01935137063</c:v>
                </c:pt>
                <c:pt idx="27">
                  <c:v>685480.02150152298</c:v>
                </c:pt>
                <c:pt idx="28">
                  <c:v>822576.02580182755</c:v>
                </c:pt>
                <c:pt idx="29">
                  <c:v>959672.03010213212</c:v>
                </c:pt>
                <c:pt idx="30">
                  <c:v>1096768.0344024368</c:v>
                </c:pt>
                <c:pt idx="31">
                  <c:v>1233864.0387027413</c:v>
                </c:pt>
                <c:pt idx="32">
                  <c:v>1370960.043003046</c:v>
                </c:pt>
                <c:pt idx="33">
                  <c:v>1645152.0516036551</c:v>
                </c:pt>
                <c:pt idx="34">
                  <c:v>1919344.0602042642</c:v>
                </c:pt>
                <c:pt idx="35">
                  <c:v>2193536.0688048736</c:v>
                </c:pt>
                <c:pt idx="36">
                  <c:v>2467728.0774054825</c:v>
                </c:pt>
                <c:pt idx="37">
                  <c:v>2741920.0860060919</c:v>
                </c:pt>
              </c:numCache>
            </c:numRef>
          </c:val>
          <c:smooth val="0"/>
          <c:extLst>
            <c:ext xmlns:c16="http://schemas.microsoft.com/office/drawing/2014/chart" uri="{C3380CC4-5D6E-409C-BE32-E72D297353CC}">
              <c16:uniqueId val="{00000004-04B6-450D-AD81-6BF382C059D1}"/>
            </c:ext>
          </c:extLst>
        </c:ser>
        <c:ser>
          <c:idx val="6"/>
          <c:order val="3"/>
          <c:tx>
            <c:strRef>
              <c:f>Projections!$A$404</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Projections!$R$404:$BM$404</c15:sqref>
                  </c15:fullRef>
                </c:ext>
              </c:extLst>
              <c:f>Projections!$R$404:$BC$404</c:f>
              <c:numCache>
                <c:formatCode>#,##0</c:formatCode>
                <c:ptCount val="38"/>
                <c:pt idx="0">
                  <c:v>4.8546407453861313</c:v>
                </c:pt>
                <c:pt idx="1">
                  <c:v>9.7092814907722627</c:v>
                </c:pt>
                <c:pt idx="2">
                  <c:v>19.418562981544525</c:v>
                </c:pt>
                <c:pt idx="3">
                  <c:v>38.837125963089051</c:v>
                </c:pt>
                <c:pt idx="4">
                  <c:v>77.674251926178101</c:v>
                </c:pt>
                <c:pt idx="5">
                  <c:v>155.3485038523562</c:v>
                </c:pt>
                <c:pt idx="6">
                  <c:v>310.69700770471241</c:v>
                </c:pt>
                <c:pt idx="7">
                  <c:v>621.39401540942481</c:v>
                </c:pt>
                <c:pt idx="8">
                  <c:v>1242.7880308188496</c:v>
                </c:pt>
                <c:pt idx="9">
                  <c:v>2485.5760616376992</c:v>
                </c:pt>
                <c:pt idx="10">
                  <c:v>4971.1521232753985</c:v>
                </c:pt>
                <c:pt idx="11">
                  <c:v>9942.304246550797</c:v>
                </c:pt>
                <c:pt idx="12">
                  <c:v>19884.608493101594</c:v>
                </c:pt>
                <c:pt idx="13">
                  <c:v>39769.216986203188</c:v>
                </c:pt>
                <c:pt idx="14">
                  <c:v>79538.433972406376</c:v>
                </c:pt>
                <c:pt idx="15">
                  <c:v>99423.04246550797</c:v>
                </c:pt>
                <c:pt idx="16">
                  <c:v>119307.65095860958</c:v>
                </c:pt>
                <c:pt idx="17">
                  <c:v>139192.25945171117</c:v>
                </c:pt>
                <c:pt idx="18">
                  <c:v>159076.86794481275</c:v>
                </c:pt>
                <c:pt idx="19">
                  <c:v>203618.39096936033</c:v>
                </c:pt>
                <c:pt idx="20">
                  <c:v>238615.30191721916</c:v>
                </c:pt>
                <c:pt idx="21">
                  <c:v>278384.51890342234</c:v>
                </c:pt>
                <c:pt idx="22">
                  <c:v>318153.7358896255</c:v>
                </c:pt>
                <c:pt idx="23">
                  <c:v>381784.48306755064</c:v>
                </c:pt>
                <c:pt idx="24">
                  <c:v>445415.23024547572</c:v>
                </c:pt>
                <c:pt idx="25">
                  <c:v>509045.97742340085</c:v>
                </c:pt>
                <c:pt idx="26">
                  <c:v>572676.72460132593</c:v>
                </c:pt>
                <c:pt idx="27">
                  <c:v>636307.47177925101</c:v>
                </c:pt>
                <c:pt idx="28">
                  <c:v>763568.96613510128</c:v>
                </c:pt>
                <c:pt idx="29">
                  <c:v>890830.46049095143</c:v>
                </c:pt>
                <c:pt idx="30">
                  <c:v>1018091.9548468017</c:v>
                </c:pt>
                <c:pt idx="31">
                  <c:v>1145353.4492026519</c:v>
                </c:pt>
                <c:pt idx="32">
                  <c:v>1272614.943558502</c:v>
                </c:pt>
                <c:pt idx="33">
                  <c:v>1527137.9322702026</c:v>
                </c:pt>
                <c:pt idx="34">
                  <c:v>1781660.9209819029</c:v>
                </c:pt>
                <c:pt idx="35">
                  <c:v>2036183.9096936034</c:v>
                </c:pt>
                <c:pt idx="36">
                  <c:v>2290706.8984053037</c:v>
                </c:pt>
                <c:pt idx="37">
                  <c:v>2545229.887117004</c:v>
                </c:pt>
              </c:numCache>
            </c:numRef>
          </c:val>
          <c:smooth val="0"/>
          <c:extLst>
            <c:ext xmlns:c16="http://schemas.microsoft.com/office/drawing/2014/chart" uri="{C3380CC4-5D6E-409C-BE32-E72D297353CC}">
              <c16:uniqueId val="{00000006-04B6-450D-AD81-6BF382C059D1}"/>
            </c:ext>
          </c:extLst>
        </c:ser>
        <c:ser>
          <c:idx val="8"/>
          <c:order val="4"/>
          <c:tx>
            <c:strRef>
              <c:f>Projections!$A$406</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Projections!$R$406:$BM$406</c15:sqref>
                  </c15:fullRef>
                </c:ext>
              </c:extLst>
              <c:f>Projections!$R$406:$BC$406</c:f>
              <c:numCache>
                <c:formatCode>#,##0</c:formatCode>
                <c:ptCount val="38"/>
                <c:pt idx="0">
                  <c:v>4.0539329869199063</c:v>
                </c:pt>
                <c:pt idx="1">
                  <c:v>8.1078659738398127</c:v>
                </c:pt>
                <c:pt idx="2">
                  <c:v>16.215731947679625</c:v>
                </c:pt>
                <c:pt idx="3">
                  <c:v>32.431463895359251</c:v>
                </c:pt>
                <c:pt idx="4">
                  <c:v>64.862927790718501</c:v>
                </c:pt>
                <c:pt idx="5">
                  <c:v>129.725855581437</c:v>
                </c:pt>
                <c:pt idx="6">
                  <c:v>259.45171116287401</c:v>
                </c:pt>
                <c:pt idx="7">
                  <c:v>518.90342232574801</c:v>
                </c:pt>
                <c:pt idx="8">
                  <c:v>1037.806844651496</c:v>
                </c:pt>
                <c:pt idx="9">
                  <c:v>2075.613689302992</c:v>
                </c:pt>
                <c:pt idx="10">
                  <c:v>4151.2273786059841</c:v>
                </c:pt>
                <c:pt idx="11">
                  <c:v>8302.4547572119682</c:v>
                </c:pt>
                <c:pt idx="12">
                  <c:v>16604.909514423936</c:v>
                </c:pt>
                <c:pt idx="13">
                  <c:v>33209.819028847873</c:v>
                </c:pt>
                <c:pt idx="14">
                  <c:v>66419.638057695745</c:v>
                </c:pt>
                <c:pt idx="15">
                  <c:v>83024.547572119685</c:v>
                </c:pt>
                <c:pt idx="16">
                  <c:v>99629.457086543625</c:v>
                </c:pt>
                <c:pt idx="17">
                  <c:v>116234.36660096757</c:v>
                </c:pt>
                <c:pt idx="18">
                  <c:v>132839.27611539149</c:v>
                </c:pt>
                <c:pt idx="19">
                  <c:v>170034.27342770112</c:v>
                </c:pt>
                <c:pt idx="20">
                  <c:v>199258.91417308725</c:v>
                </c:pt>
                <c:pt idx="21">
                  <c:v>232468.73320193513</c:v>
                </c:pt>
                <c:pt idx="22">
                  <c:v>265678.55223078298</c:v>
                </c:pt>
                <c:pt idx="23">
                  <c:v>318814.2626769396</c:v>
                </c:pt>
                <c:pt idx="24">
                  <c:v>371949.97312309622</c:v>
                </c:pt>
                <c:pt idx="25">
                  <c:v>425085.68356925278</c:v>
                </c:pt>
                <c:pt idx="26">
                  <c:v>478221.3940154094</c:v>
                </c:pt>
                <c:pt idx="27">
                  <c:v>531357.10446156596</c:v>
                </c:pt>
                <c:pt idx="28">
                  <c:v>637628.5253538792</c:v>
                </c:pt>
                <c:pt idx="29">
                  <c:v>743899.94624619244</c:v>
                </c:pt>
                <c:pt idx="30">
                  <c:v>850171.36713850556</c:v>
                </c:pt>
                <c:pt idx="31">
                  <c:v>956442.7880308188</c:v>
                </c:pt>
                <c:pt idx="32">
                  <c:v>1062714.2089231319</c:v>
                </c:pt>
                <c:pt idx="33">
                  <c:v>1275257.0507077584</c:v>
                </c:pt>
                <c:pt idx="34">
                  <c:v>1487799.8924923849</c:v>
                </c:pt>
                <c:pt idx="35">
                  <c:v>1700342.7342770111</c:v>
                </c:pt>
                <c:pt idx="36">
                  <c:v>1912885.5760616376</c:v>
                </c:pt>
                <c:pt idx="37">
                  <c:v>2125428.4178462639</c:v>
                </c:pt>
              </c:numCache>
            </c:numRef>
          </c:val>
          <c:smooth val="0"/>
          <c:extLst>
            <c:ext xmlns:c16="http://schemas.microsoft.com/office/drawing/2014/chart" uri="{C3380CC4-5D6E-409C-BE32-E72D297353CC}">
              <c16:uniqueId val="{00000008-04B6-450D-AD81-6BF382C059D1}"/>
            </c:ext>
          </c:extLst>
        </c:ser>
        <c:ser>
          <c:idx val="10"/>
          <c:order val="5"/>
          <c:tx>
            <c:strRef>
              <c:f>Projections!$A$408</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Projections!$R$408:$BM$408</c15:sqref>
                  </c15:fullRef>
                </c:ext>
              </c:extLst>
              <c:f>Projections!$R$408:$BC$408</c:f>
              <c:numCache>
                <c:formatCode>#,##0</c:formatCode>
                <c:ptCount val="38"/>
                <c:pt idx="0">
                  <c:v>4.9162336498835328</c:v>
                </c:pt>
                <c:pt idx="1">
                  <c:v>9.8324672997670657</c:v>
                </c:pt>
                <c:pt idx="2">
                  <c:v>19.664934599534131</c:v>
                </c:pt>
                <c:pt idx="3">
                  <c:v>39.329869199068263</c:v>
                </c:pt>
                <c:pt idx="4">
                  <c:v>78.659738398136525</c:v>
                </c:pt>
                <c:pt idx="5">
                  <c:v>157.31947679627305</c:v>
                </c:pt>
                <c:pt idx="6">
                  <c:v>314.6389535925461</c:v>
                </c:pt>
                <c:pt idx="7">
                  <c:v>629.2779071850922</c:v>
                </c:pt>
                <c:pt idx="8">
                  <c:v>1258.5558143701844</c:v>
                </c:pt>
                <c:pt idx="9">
                  <c:v>2517.1116287403688</c:v>
                </c:pt>
                <c:pt idx="10">
                  <c:v>5034.2232574807376</c:v>
                </c:pt>
                <c:pt idx="11">
                  <c:v>10068.446514961475</c:v>
                </c:pt>
                <c:pt idx="12">
                  <c:v>20136.893029922951</c:v>
                </c:pt>
                <c:pt idx="13">
                  <c:v>40273.786059845901</c:v>
                </c:pt>
                <c:pt idx="14">
                  <c:v>80547.572119691802</c:v>
                </c:pt>
                <c:pt idx="15">
                  <c:v>100684.46514961476</c:v>
                </c:pt>
                <c:pt idx="16">
                  <c:v>120821.35817953771</c:v>
                </c:pt>
                <c:pt idx="17">
                  <c:v>140958.25120946066</c:v>
                </c:pt>
                <c:pt idx="18">
                  <c:v>161095.1442393836</c:v>
                </c:pt>
                <c:pt idx="19">
                  <c:v>206201.78462641104</c:v>
                </c:pt>
                <c:pt idx="20">
                  <c:v>241642.71635907542</c:v>
                </c:pt>
                <c:pt idx="21">
                  <c:v>281916.50241892133</c:v>
                </c:pt>
                <c:pt idx="22">
                  <c:v>322190.28847876721</c:v>
                </c:pt>
                <c:pt idx="23">
                  <c:v>386628.34617452067</c:v>
                </c:pt>
                <c:pt idx="24">
                  <c:v>451066.40387027414</c:v>
                </c:pt>
                <c:pt idx="25">
                  <c:v>515504.46156602754</c:v>
                </c:pt>
                <c:pt idx="26">
                  <c:v>579942.51926178101</c:v>
                </c:pt>
                <c:pt idx="27">
                  <c:v>644380.57695753442</c:v>
                </c:pt>
                <c:pt idx="28">
                  <c:v>773256.69234904135</c:v>
                </c:pt>
                <c:pt idx="29">
                  <c:v>902132.80774054828</c:v>
                </c:pt>
                <c:pt idx="30">
                  <c:v>1031008.9231320551</c:v>
                </c:pt>
                <c:pt idx="31">
                  <c:v>1159885.038523562</c:v>
                </c:pt>
                <c:pt idx="32">
                  <c:v>1288761.1539150688</c:v>
                </c:pt>
                <c:pt idx="33">
                  <c:v>1546513.3846980827</c:v>
                </c:pt>
                <c:pt idx="34">
                  <c:v>1804265.6154810966</c:v>
                </c:pt>
                <c:pt idx="35">
                  <c:v>2062017.8462641102</c:v>
                </c:pt>
                <c:pt idx="36">
                  <c:v>2319770.077047124</c:v>
                </c:pt>
                <c:pt idx="37">
                  <c:v>2577522.3078301377</c:v>
                </c:pt>
              </c:numCache>
            </c:numRef>
          </c:val>
          <c:smooth val="0"/>
          <c:extLst>
            <c:ext xmlns:c16="http://schemas.microsoft.com/office/drawing/2014/chart" uri="{C3380CC4-5D6E-409C-BE32-E72D297353CC}">
              <c16:uniqueId val="{0000000A-04B6-450D-AD81-6BF382C059D1}"/>
            </c:ext>
          </c:extLst>
        </c:ser>
        <c:ser>
          <c:idx val="12"/>
          <c:order val="6"/>
          <c:tx>
            <c:strRef>
              <c:f>Projections!$A$410</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Projections!$R$410:$BM$410</c15:sqref>
                  </c15:fullRef>
                </c:ext>
              </c:extLst>
              <c:f>Projections!$R$410:$BC$410</c:f>
              <c:numCache>
                <c:formatCode>#,##0</c:formatCode>
                <c:ptCount val="38"/>
                <c:pt idx="0">
                  <c:v>6.7528220748969714</c:v>
                </c:pt>
                <c:pt idx="1">
                  <c:v>13.505644149793943</c:v>
                </c:pt>
                <c:pt idx="2">
                  <c:v>27.011288299587886</c:v>
                </c:pt>
                <c:pt idx="3">
                  <c:v>54.022576599175771</c:v>
                </c:pt>
                <c:pt idx="4">
                  <c:v>108.04515319835154</c:v>
                </c:pt>
                <c:pt idx="5">
                  <c:v>216.09030639670308</c:v>
                </c:pt>
                <c:pt idx="6">
                  <c:v>432.18061279340617</c:v>
                </c:pt>
                <c:pt idx="7">
                  <c:v>864.36122558681234</c:v>
                </c:pt>
                <c:pt idx="8">
                  <c:v>1728.7224511736247</c:v>
                </c:pt>
                <c:pt idx="9">
                  <c:v>3457.4449023472494</c:v>
                </c:pt>
                <c:pt idx="10">
                  <c:v>6914.8898046944987</c:v>
                </c:pt>
                <c:pt idx="11">
                  <c:v>13829.779609388997</c:v>
                </c:pt>
                <c:pt idx="12">
                  <c:v>27659.559218777995</c:v>
                </c:pt>
                <c:pt idx="13">
                  <c:v>55319.11843755599</c:v>
                </c:pt>
                <c:pt idx="14">
                  <c:v>110638.23687511198</c:v>
                </c:pt>
                <c:pt idx="15">
                  <c:v>138297.79609388998</c:v>
                </c:pt>
                <c:pt idx="16">
                  <c:v>165957.35531266799</c:v>
                </c:pt>
                <c:pt idx="17">
                  <c:v>193616.91453144597</c:v>
                </c:pt>
                <c:pt idx="18">
                  <c:v>221276.47375022396</c:v>
                </c:pt>
                <c:pt idx="19">
                  <c:v>283233.88640028669</c:v>
                </c:pt>
                <c:pt idx="20">
                  <c:v>331914.71062533598</c:v>
                </c:pt>
                <c:pt idx="21">
                  <c:v>387233.82906289195</c:v>
                </c:pt>
                <c:pt idx="22">
                  <c:v>442552.94750044792</c:v>
                </c:pt>
                <c:pt idx="23">
                  <c:v>531063.5370005375</c:v>
                </c:pt>
                <c:pt idx="24">
                  <c:v>619574.12650062714</c:v>
                </c:pt>
                <c:pt idx="25">
                  <c:v>708084.71600071667</c:v>
                </c:pt>
                <c:pt idx="26">
                  <c:v>796595.30550080631</c:v>
                </c:pt>
                <c:pt idx="27">
                  <c:v>885105.89500089583</c:v>
                </c:pt>
                <c:pt idx="28">
                  <c:v>1062127.074001075</c:v>
                </c:pt>
                <c:pt idx="29">
                  <c:v>1239148.2530012543</c:v>
                </c:pt>
                <c:pt idx="30">
                  <c:v>1416169.4320014333</c:v>
                </c:pt>
                <c:pt idx="31">
                  <c:v>1593190.6110016126</c:v>
                </c:pt>
                <c:pt idx="32">
                  <c:v>1770211.7900017917</c:v>
                </c:pt>
                <c:pt idx="33">
                  <c:v>2124254.14800215</c:v>
                </c:pt>
                <c:pt idx="34">
                  <c:v>2478296.5060025086</c:v>
                </c:pt>
                <c:pt idx="35">
                  <c:v>2832338.8640028667</c:v>
                </c:pt>
                <c:pt idx="36">
                  <c:v>3186381.2220032252</c:v>
                </c:pt>
                <c:pt idx="37">
                  <c:v>3540423.5800035833</c:v>
                </c:pt>
              </c:numCache>
            </c:numRef>
          </c:val>
          <c:smooth val="0"/>
          <c:extLst>
            <c:ext xmlns:c16="http://schemas.microsoft.com/office/drawing/2014/chart" uri="{C3380CC4-5D6E-409C-BE32-E72D297353CC}">
              <c16:uniqueId val="{0000000C-04B6-450D-AD81-6BF382C059D1}"/>
            </c:ext>
          </c:extLst>
        </c:ser>
        <c:ser>
          <c:idx val="14"/>
          <c:order val="7"/>
          <c:tx>
            <c:strRef>
              <c:f>Projections!$A$412</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Projections!$R$412:$BM$412</c15:sqref>
                  </c15:fullRef>
                </c:ext>
              </c:extLst>
              <c:f>Projections!$R$412:$BC$412</c:f>
              <c:numCache>
                <c:formatCode>#,##0</c:formatCode>
                <c:ptCount val="3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pt idx="28">
                  <c:v>141793.08367676043</c:v>
                </c:pt>
                <c:pt idx="29">
                  <c:v>165425.26428955383</c:v>
                </c:pt>
                <c:pt idx="30">
                  <c:v>189057.44490234726</c:v>
                </c:pt>
                <c:pt idx="31">
                  <c:v>212689.62551514065</c:v>
                </c:pt>
                <c:pt idx="32">
                  <c:v>236321.80612793405</c:v>
                </c:pt>
                <c:pt idx="33">
                  <c:v>283586.16735352087</c:v>
                </c:pt>
                <c:pt idx="34">
                  <c:v>330850.52857910766</c:v>
                </c:pt>
                <c:pt idx="35">
                  <c:v>378114.88980469451</c:v>
                </c:pt>
                <c:pt idx="36">
                  <c:v>425379.2510302813</c:v>
                </c:pt>
                <c:pt idx="37">
                  <c:v>472643.61225586809</c:v>
                </c:pt>
              </c:numCache>
            </c:numRef>
          </c:val>
          <c:smooth val="0"/>
          <c:extLst>
            <c:ext xmlns:c16="http://schemas.microsoft.com/office/drawing/2014/chart" uri="{C3380CC4-5D6E-409C-BE32-E72D297353CC}">
              <c16:uniqueId val="{0000000E-04B6-450D-AD81-6BF382C059D1}"/>
            </c:ext>
          </c:extLst>
        </c:ser>
        <c:ser>
          <c:idx val="16"/>
          <c:order val="8"/>
          <c:tx>
            <c:strRef>
              <c:f>Projections!$A$414</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Projections!$R$414:$BM$414</c15:sqref>
                  </c15:fullRef>
                </c:ext>
              </c:extLst>
              <c:f>Projections!$R$414:$BC$414</c:f>
              <c:numCache>
                <c:formatCode>#,##0</c:formatCode>
                <c:ptCount val="38"/>
                <c:pt idx="0">
                  <c:v>0.30796452248700945</c:v>
                </c:pt>
                <c:pt idx="1">
                  <c:v>0.6159290449740189</c:v>
                </c:pt>
                <c:pt idx="2">
                  <c:v>1.2318580899480378</c:v>
                </c:pt>
                <c:pt idx="3">
                  <c:v>2.4637161798960756</c:v>
                </c:pt>
                <c:pt idx="4">
                  <c:v>4.9274323597921512</c:v>
                </c:pt>
                <c:pt idx="5">
                  <c:v>9.8548647195843024</c:v>
                </c:pt>
                <c:pt idx="6">
                  <c:v>19.709729439168605</c:v>
                </c:pt>
                <c:pt idx="7">
                  <c:v>39.41945887833721</c:v>
                </c:pt>
                <c:pt idx="8">
                  <c:v>78.838917756674419</c:v>
                </c:pt>
                <c:pt idx="9">
                  <c:v>157.67783551334884</c:v>
                </c:pt>
                <c:pt idx="10">
                  <c:v>315.35567102669768</c:v>
                </c:pt>
                <c:pt idx="11">
                  <c:v>630.71134205339536</c:v>
                </c:pt>
                <c:pt idx="12">
                  <c:v>1261.4226841067907</c:v>
                </c:pt>
                <c:pt idx="13">
                  <c:v>2522.8453682135814</c:v>
                </c:pt>
                <c:pt idx="14">
                  <c:v>5045.6907364271628</c:v>
                </c:pt>
                <c:pt idx="15">
                  <c:v>6307.113420533954</c:v>
                </c:pt>
                <c:pt idx="16">
                  <c:v>7568.5361046407452</c:v>
                </c:pt>
                <c:pt idx="17">
                  <c:v>8829.9587887475354</c:v>
                </c:pt>
                <c:pt idx="18">
                  <c:v>10091.381472854326</c:v>
                </c:pt>
                <c:pt idx="19">
                  <c:v>12916.968285253537</c:v>
                </c:pt>
                <c:pt idx="20">
                  <c:v>15137.07220928149</c:v>
                </c:pt>
                <c:pt idx="21">
                  <c:v>17659.917577495071</c:v>
                </c:pt>
                <c:pt idx="22">
                  <c:v>20182.762945708651</c:v>
                </c:pt>
                <c:pt idx="23">
                  <c:v>24219.315534850382</c:v>
                </c:pt>
                <c:pt idx="24">
                  <c:v>28255.868123992113</c:v>
                </c:pt>
                <c:pt idx="25">
                  <c:v>32292.420713133844</c:v>
                </c:pt>
                <c:pt idx="26">
                  <c:v>36328.973302275575</c:v>
                </c:pt>
                <c:pt idx="27">
                  <c:v>40365.525891417303</c:v>
                </c:pt>
                <c:pt idx="28">
                  <c:v>48438.631069700765</c:v>
                </c:pt>
                <c:pt idx="29">
                  <c:v>56511.736247984227</c:v>
                </c:pt>
                <c:pt idx="30">
                  <c:v>64584.841426267689</c:v>
                </c:pt>
                <c:pt idx="31">
                  <c:v>72657.946604551151</c:v>
                </c:pt>
                <c:pt idx="32">
                  <c:v>80731.051782834606</c:v>
                </c:pt>
                <c:pt idx="33">
                  <c:v>96877.26213940153</c:v>
                </c:pt>
                <c:pt idx="34">
                  <c:v>113023.47249596845</c:v>
                </c:pt>
                <c:pt idx="35">
                  <c:v>129169.68285253538</c:v>
                </c:pt>
                <c:pt idx="36">
                  <c:v>145315.8932091023</c:v>
                </c:pt>
                <c:pt idx="37">
                  <c:v>161462.10356566921</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Projections!$A$398</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Projections!$R$399:$BM$399</c15:sqref>
                  </c15:fullRef>
                </c:ext>
              </c:extLst>
              <c:f>Projections!$R$399:$BC$399</c:f>
              <c:numCache>
                <c:formatCode>#,##0</c:formatCode>
                <c:ptCount val="38"/>
                <c:pt idx="0">
                  <c:v>0.13342142985128111</c:v>
                </c:pt>
                <c:pt idx="1">
                  <c:v>0.26684285970256222</c:v>
                </c:pt>
                <c:pt idx="2">
                  <c:v>0.53368571940512444</c:v>
                </c:pt>
                <c:pt idx="3">
                  <c:v>1.0673714388102489</c:v>
                </c:pt>
                <c:pt idx="4">
                  <c:v>2.1347428776204977</c:v>
                </c:pt>
                <c:pt idx="5">
                  <c:v>4.2694857552409955</c:v>
                </c:pt>
                <c:pt idx="6">
                  <c:v>8.538971510481991</c:v>
                </c:pt>
                <c:pt idx="7">
                  <c:v>17.077943020963982</c:v>
                </c:pt>
                <c:pt idx="8">
                  <c:v>34.155886041927964</c:v>
                </c:pt>
                <c:pt idx="9">
                  <c:v>68.311772083855928</c:v>
                </c:pt>
                <c:pt idx="10">
                  <c:v>136.62354416771186</c:v>
                </c:pt>
                <c:pt idx="11">
                  <c:v>273.24708833542371</c:v>
                </c:pt>
                <c:pt idx="12">
                  <c:v>546.49417667084742</c:v>
                </c:pt>
                <c:pt idx="13">
                  <c:v>1092.9883533416948</c:v>
                </c:pt>
                <c:pt idx="14">
                  <c:v>2185.9767066833897</c:v>
                </c:pt>
                <c:pt idx="15">
                  <c:v>2732.4708833542377</c:v>
                </c:pt>
                <c:pt idx="16">
                  <c:v>3278.9650600250848</c:v>
                </c:pt>
                <c:pt idx="17">
                  <c:v>3825.4592366959323</c:v>
                </c:pt>
                <c:pt idx="18">
                  <c:v>4371.9534133667794</c:v>
                </c:pt>
                <c:pt idx="19">
                  <c:v>5596.1003691094775</c:v>
                </c:pt>
                <c:pt idx="20">
                  <c:v>6557.9301200501695</c:v>
                </c:pt>
                <c:pt idx="21">
                  <c:v>7650.9184733918646</c:v>
                </c:pt>
                <c:pt idx="22">
                  <c:v>8743.9068267335588</c:v>
                </c:pt>
                <c:pt idx="23">
                  <c:v>10492.688192080272</c:v>
                </c:pt>
                <c:pt idx="24">
                  <c:v>12241.469557426983</c:v>
                </c:pt>
                <c:pt idx="25">
                  <c:v>13990.250922773695</c:v>
                </c:pt>
                <c:pt idx="26">
                  <c:v>15739.032288120407</c:v>
                </c:pt>
                <c:pt idx="27">
                  <c:v>17487.813653467118</c:v>
                </c:pt>
                <c:pt idx="28">
                  <c:v>20985.376384160543</c:v>
                </c:pt>
                <c:pt idx="29">
                  <c:v>24482.939114853965</c:v>
                </c:pt>
                <c:pt idx="30">
                  <c:v>27980.501845547391</c:v>
                </c:pt>
                <c:pt idx="31">
                  <c:v>31478.064576240813</c:v>
                </c:pt>
                <c:pt idx="32">
                  <c:v>34975.627306934235</c:v>
                </c:pt>
                <c:pt idx="33">
                  <c:v>41970.752768321086</c:v>
                </c:pt>
                <c:pt idx="34">
                  <c:v>48965.878229707931</c:v>
                </c:pt>
                <c:pt idx="35">
                  <c:v>55961.003691094782</c:v>
                </c:pt>
                <c:pt idx="36">
                  <c:v>62956.129152481626</c:v>
                </c:pt>
                <c:pt idx="37">
                  <c:v>69951.25461386847</c:v>
                </c:pt>
              </c:numCache>
            </c:numRef>
          </c:val>
          <c:smooth val="0"/>
          <c:extLst>
            <c:ext xmlns:c16="http://schemas.microsoft.com/office/drawing/2014/chart" uri="{C3380CC4-5D6E-409C-BE32-E72D297353CC}">
              <c16:uniqueId val="{00000001-EBAD-48A5-9277-83F388186C0C}"/>
            </c:ext>
          </c:extLst>
        </c:ser>
        <c:ser>
          <c:idx val="3"/>
          <c:order val="1"/>
          <c:tx>
            <c:strRef>
              <c:f>Projections!$A$400</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Projections!$R$401:$BM$401</c15:sqref>
                  </c15:fullRef>
                </c:ext>
              </c:extLst>
              <c:f>Projections!$R$401:$BC$401</c:f>
              <c:numCache>
                <c:formatCode>#,##0</c:formatCode>
                <c:ptCount val="38"/>
                <c:pt idx="0">
                  <c:v>0.26652929582512097</c:v>
                </c:pt>
                <c:pt idx="1">
                  <c:v>0.53305859165024194</c:v>
                </c:pt>
                <c:pt idx="2">
                  <c:v>1.0661171833004839</c:v>
                </c:pt>
                <c:pt idx="3">
                  <c:v>2.1322343666009678</c:v>
                </c:pt>
                <c:pt idx="4">
                  <c:v>4.2644687332019355</c:v>
                </c:pt>
                <c:pt idx="5">
                  <c:v>8.5289374664038711</c:v>
                </c:pt>
                <c:pt idx="6">
                  <c:v>17.057874932807742</c:v>
                </c:pt>
                <c:pt idx="7">
                  <c:v>34.115749865615484</c:v>
                </c:pt>
                <c:pt idx="8">
                  <c:v>68.231499731230969</c:v>
                </c:pt>
                <c:pt idx="9">
                  <c:v>136.46299946246194</c:v>
                </c:pt>
                <c:pt idx="10">
                  <c:v>272.92599892492387</c:v>
                </c:pt>
                <c:pt idx="11">
                  <c:v>545.85199784984775</c:v>
                </c:pt>
                <c:pt idx="12">
                  <c:v>1091.7039956996955</c:v>
                </c:pt>
                <c:pt idx="13">
                  <c:v>2183.407991399391</c:v>
                </c:pt>
                <c:pt idx="14">
                  <c:v>4366.815982798782</c:v>
                </c:pt>
                <c:pt idx="15">
                  <c:v>5458.519978498477</c:v>
                </c:pt>
                <c:pt idx="16">
                  <c:v>6550.2239741981721</c:v>
                </c:pt>
                <c:pt idx="17">
                  <c:v>7641.9279698978671</c:v>
                </c:pt>
                <c:pt idx="18">
                  <c:v>8733.631965597564</c:v>
                </c:pt>
                <c:pt idx="19">
                  <c:v>11179.048915964881</c:v>
                </c:pt>
                <c:pt idx="20">
                  <c:v>13100.447948396344</c:v>
                </c:pt>
                <c:pt idx="21">
                  <c:v>15283.855939795734</c:v>
                </c:pt>
                <c:pt idx="22">
                  <c:v>17467.263931195128</c:v>
                </c:pt>
                <c:pt idx="23">
                  <c:v>20960.716717434152</c:v>
                </c:pt>
                <c:pt idx="24">
                  <c:v>24454.169503673176</c:v>
                </c:pt>
                <c:pt idx="25">
                  <c:v>27947.622289912204</c:v>
                </c:pt>
                <c:pt idx="26">
                  <c:v>31441.075076151224</c:v>
                </c:pt>
                <c:pt idx="27">
                  <c:v>34934.527862390256</c:v>
                </c:pt>
                <c:pt idx="28">
                  <c:v>41921.433434868304</c:v>
                </c:pt>
                <c:pt idx="29">
                  <c:v>48908.339007346352</c:v>
                </c:pt>
                <c:pt idx="30">
                  <c:v>55895.244579824408</c:v>
                </c:pt>
                <c:pt idx="31">
                  <c:v>62882.150152302449</c:v>
                </c:pt>
                <c:pt idx="32">
                  <c:v>69869.055724780512</c:v>
                </c:pt>
                <c:pt idx="33">
                  <c:v>83842.866869736608</c:v>
                </c:pt>
                <c:pt idx="34">
                  <c:v>97816.678014692705</c:v>
                </c:pt>
                <c:pt idx="35">
                  <c:v>111790.48915964882</c:v>
                </c:pt>
                <c:pt idx="36">
                  <c:v>125764.3003046049</c:v>
                </c:pt>
                <c:pt idx="37">
                  <c:v>139738.11144956102</c:v>
                </c:pt>
              </c:numCache>
            </c:numRef>
          </c:val>
          <c:smooth val="0"/>
          <c:extLst>
            <c:ext xmlns:c16="http://schemas.microsoft.com/office/drawing/2014/chart" uri="{C3380CC4-5D6E-409C-BE32-E72D297353CC}">
              <c16:uniqueId val="{00000003-EBAD-48A5-9277-83F388186C0C}"/>
            </c:ext>
          </c:extLst>
        </c:ser>
        <c:ser>
          <c:idx val="5"/>
          <c:order val="2"/>
          <c:tx>
            <c:strRef>
              <c:f>Projections!$A$402</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Projections!$R$403:$BM$403</c15:sqref>
                  </c15:fullRef>
                </c:ext>
              </c:extLst>
              <c:f>Projections!$R$403:$BC$403</c:f>
              <c:numCache>
                <c:formatCode>#,##0</c:formatCode>
                <c:ptCount val="38"/>
                <c:pt idx="0">
                  <c:v>0.18827271098369466</c:v>
                </c:pt>
                <c:pt idx="1">
                  <c:v>0.37654542196738933</c:v>
                </c:pt>
                <c:pt idx="2">
                  <c:v>0.75309084393477865</c:v>
                </c:pt>
                <c:pt idx="3">
                  <c:v>1.5061816878695573</c:v>
                </c:pt>
                <c:pt idx="4">
                  <c:v>3.0123633757391146</c:v>
                </c:pt>
                <c:pt idx="5">
                  <c:v>6.0247267514782292</c:v>
                </c:pt>
                <c:pt idx="6">
                  <c:v>12.049453502956458</c:v>
                </c:pt>
                <c:pt idx="7">
                  <c:v>24.098907005912917</c:v>
                </c:pt>
                <c:pt idx="8">
                  <c:v>48.197814011825834</c:v>
                </c:pt>
                <c:pt idx="9">
                  <c:v>96.395628023651668</c:v>
                </c:pt>
                <c:pt idx="10">
                  <c:v>192.79125604730334</c:v>
                </c:pt>
                <c:pt idx="11">
                  <c:v>385.58251209460667</c:v>
                </c:pt>
                <c:pt idx="12">
                  <c:v>771.16502418921334</c:v>
                </c:pt>
                <c:pt idx="13">
                  <c:v>1542.3300483784267</c:v>
                </c:pt>
                <c:pt idx="14">
                  <c:v>3084.6600967568534</c:v>
                </c:pt>
                <c:pt idx="15">
                  <c:v>3855.8251209460664</c:v>
                </c:pt>
                <c:pt idx="16">
                  <c:v>4626.9901451352798</c:v>
                </c:pt>
                <c:pt idx="17">
                  <c:v>5398.1551693244928</c:v>
                </c:pt>
                <c:pt idx="18">
                  <c:v>6169.3201935137067</c:v>
                </c:pt>
                <c:pt idx="19">
                  <c:v>7896.7298476975438</c:v>
                </c:pt>
                <c:pt idx="20">
                  <c:v>9253.9802902705596</c:v>
                </c:pt>
                <c:pt idx="21">
                  <c:v>10796.310338648986</c:v>
                </c:pt>
                <c:pt idx="22">
                  <c:v>12338.640387027413</c:v>
                </c:pt>
                <c:pt idx="23">
                  <c:v>14806.368464432895</c:v>
                </c:pt>
                <c:pt idx="24">
                  <c:v>17274.096541838378</c:v>
                </c:pt>
                <c:pt idx="25">
                  <c:v>19741.82461924386</c:v>
                </c:pt>
                <c:pt idx="26">
                  <c:v>22209.552696649342</c:v>
                </c:pt>
                <c:pt idx="27">
                  <c:v>24677.280774054827</c:v>
                </c:pt>
                <c:pt idx="28">
                  <c:v>29612.73692886579</c:v>
                </c:pt>
                <c:pt idx="29">
                  <c:v>34548.193083676757</c:v>
                </c:pt>
                <c:pt idx="30">
                  <c:v>39483.64923848772</c:v>
                </c:pt>
                <c:pt idx="31">
                  <c:v>44419.105393298683</c:v>
                </c:pt>
                <c:pt idx="32">
                  <c:v>49354.561548109654</c:v>
                </c:pt>
                <c:pt idx="33">
                  <c:v>59225.47385773158</c:v>
                </c:pt>
                <c:pt idx="34">
                  <c:v>69096.386167353514</c:v>
                </c:pt>
                <c:pt idx="35">
                  <c:v>78967.29847697544</c:v>
                </c:pt>
                <c:pt idx="36">
                  <c:v>88838.210786597367</c:v>
                </c:pt>
                <c:pt idx="37">
                  <c:v>98709.123096219308</c:v>
                </c:pt>
              </c:numCache>
            </c:numRef>
          </c:val>
          <c:smooth val="0"/>
          <c:extLst>
            <c:ext xmlns:c16="http://schemas.microsoft.com/office/drawing/2014/chart" uri="{C3380CC4-5D6E-409C-BE32-E72D297353CC}">
              <c16:uniqueId val="{00000005-EBAD-48A5-9277-83F388186C0C}"/>
            </c:ext>
          </c:extLst>
        </c:ser>
        <c:ser>
          <c:idx val="7"/>
          <c:order val="3"/>
          <c:tx>
            <c:strRef>
              <c:f>Projections!$A$404</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Projections!$R$405:$BM$405</c15:sqref>
                  </c15:fullRef>
                </c:ext>
              </c:extLst>
              <c:f>Projections!$R$405:$BC$405</c:f>
              <c:numCache>
                <c:formatCode>#,##0</c:formatCode>
                <c:ptCount val="38"/>
                <c:pt idx="0">
                  <c:v>6.3110329690019701E-2</c:v>
                </c:pt>
                <c:pt idx="1">
                  <c:v>0.1262206593800394</c:v>
                </c:pt>
                <c:pt idx="2">
                  <c:v>0.2524413187600788</c:v>
                </c:pt>
                <c:pt idx="3">
                  <c:v>0.50488263752015761</c:v>
                </c:pt>
                <c:pt idx="4">
                  <c:v>1.0097652750403152</c:v>
                </c:pt>
                <c:pt idx="5">
                  <c:v>2.0195305500806304</c:v>
                </c:pt>
                <c:pt idx="6">
                  <c:v>4.0390611001612609</c:v>
                </c:pt>
                <c:pt idx="7">
                  <c:v>8.0781222003225217</c:v>
                </c:pt>
                <c:pt idx="8">
                  <c:v>16.156244400645043</c:v>
                </c:pt>
                <c:pt idx="9">
                  <c:v>32.312488801290087</c:v>
                </c:pt>
                <c:pt idx="10">
                  <c:v>64.624977602580174</c:v>
                </c:pt>
                <c:pt idx="11">
                  <c:v>129.24995520516035</c:v>
                </c:pt>
                <c:pt idx="12">
                  <c:v>258.49991041032069</c:v>
                </c:pt>
                <c:pt idx="13">
                  <c:v>516.99982082064139</c:v>
                </c:pt>
                <c:pt idx="14">
                  <c:v>1033.9996416412828</c:v>
                </c:pt>
                <c:pt idx="15">
                  <c:v>1292.4995520516036</c:v>
                </c:pt>
                <c:pt idx="16">
                  <c:v>1550.9994624619244</c:v>
                </c:pt>
                <c:pt idx="17">
                  <c:v>1809.4993728722452</c:v>
                </c:pt>
                <c:pt idx="18">
                  <c:v>2067.9992832825656</c:v>
                </c:pt>
                <c:pt idx="19">
                  <c:v>2647.0390826016842</c:v>
                </c:pt>
                <c:pt idx="20">
                  <c:v>3101.9989249238488</c:v>
                </c:pt>
                <c:pt idx="21">
                  <c:v>3618.9987457444904</c:v>
                </c:pt>
                <c:pt idx="22">
                  <c:v>4135.9985665651311</c:v>
                </c:pt>
                <c:pt idx="23">
                  <c:v>4963.1982798781582</c:v>
                </c:pt>
                <c:pt idx="24">
                  <c:v>5790.3979931911845</c:v>
                </c:pt>
                <c:pt idx="25">
                  <c:v>6617.5977065042107</c:v>
                </c:pt>
                <c:pt idx="26">
                  <c:v>7444.7974198172369</c:v>
                </c:pt>
                <c:pt idx="27">
                  <c:v>8271.9971331302622</c:v>
                </c:pt>
                <c:pt idx="28">
                  <c:v>9926.3965597563165</c:v>
                </c:pt>
                <c:pt idx="29">
                  <c:v>11580.795986382369</c:v>
                </c:pt>
                <c:pt idx="30">
                  <c:v>13235.195413008421</c:v>
                </c:pt>
                <c:pt idx="31">
                  <c:v>14889.594839634474</c:v>
                </c:pt>
                <c:pt idx="32">
                  <c:v>16543.994266260524</c:v>
                </c:pt>
                <c:pt idx="33">
                  <c:v>19852.793119512633</c:v>
                </c:pt>
                <c:pt idx="34">
                  <c:v>23161.591972764738</c:v>
                </c:pt>
                <c:pt idx="35">
                  <c:v>26470.390826016843</c:v>
                </c:pt>
                <c:pt idx="36">
                  <c:v>29779.189679268948</c:v>
                </c:pt>
                <c:pt idx="37">
                  <c:v>33087.988532521049</c:v>
                </c:pt>
              </c:numCache>
            </c:numRef>
          </c:val>
          <c:smooth val="0"/>
          <c:extLst>
            <c:ext xmlns:c16="http://schemas.microsoft.com/office/drawing/2014/chart" uri="{C3380CC4-5D6E-409C-BE32-E72D297353CC}">
              <c16:uniqueId val="{00000007-EBAD-48A5-9277-83F388186C0C}"/>
            </c:ext>
          </c:extLst>
        </c:ser>
        <c:ser>
          <c:idx val="9"/>
          <c:order val="4"/>
          <c:tx>
            <c:strRef>
              <c:f>Projections!$A$406</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Projections!$R$407:$BM$407</c15:sqref>
                  </c15:fullRef>
                </c:ext>
              </c:extLst>
              <c:f>Projections!$R$407:$BC$407</c:f>
              <c:numCache>
                <c:formatCode>#,##0</c:formatCode>
                <c:ptCount val="38"/>
                <c:pt idx="0">
                  <c:v>1.6215731947679626E-2</c:v>
                </c:pt>
                <c:pt idx="1">
                  <c:v>3.2431463895359253E-2</c:v>
                </c:pt>
                <c:pt idx="2">
                  <c:v>6.4862927790718505E-2</c:v>
                </c:pt>
                <c:pt idx="3">
                  <c:v>0.12972585558143701</c:v>
                </c:pt>
                <c:pt idx="4">
                  <c:v>0.25945171116287402</c:v>
                </c:pt>
                <c:pt idx="5">
                  <c:v>0.51890342232574804</c:v>
                </c:pt>
                <c:pt idx="6">
                  <c:v>1.0378068446514961</c:v>
                </c:pt>
                <c:pt idx="7">
                  <c:v>2.0756136893029922</c:v>
                </c:pt>
                <c:pt idx="8">
                  <c:v>4.1512273786059843</c:v>
                </c:pt>
                <c:pt idx="9">
                  <c:v>8.3024547572119687</c:v>
                </c:pt>
                <c:pt idx="10">
                  <c:v>16.604909514423937</c:v>
                </c:pt>
                <c:pt idx="11">
                  <c:v>33.209819028847875</c:v>
                </c:pt>
                <c:pt idx="12">
                  <c:v>66.419638057695749</c:v>
                </c:pt>
                <c:pt idx="13">
                  <c:v>132.8392761153915</c:v>
                </c:pt>
                <c:pt idx="14">
                  <c:v>265.678552230783</c:v>
                </c:pt>
                <c:pt idx="15">
                  <c:v>332.09819028847875</c:v>
                </c:pt>
                <c:pt idx="16">
                  <c:v>398.5178283461745</c:v>
                </c:pt>
                <c:pt idx="17">
                  <c:v>464.93746640387025</c:v>
                </c:pt>
                <c:pt idx="18">
                  <c:v>531.357104461566</c:v>
                </c:pt>
                <c:pt idx="19">
                  <c:v>680.13709371080449</c:v>
                </c:pt>
                <c:pt idx="20">
                  <c:v>797.03565669234899</c:v>
                </c:pt>
                <c:pt idx="21">
                  <c:v>929.87493280774049</c:v>
                </c:pt>
                <c:pt idx="22">
                  <c:v>1062.714208923132</c:v>
                </c:pt>
                <c:pt idx="23">
                  <c:v>1275.2570507077585</c:v>
                </c:pt>
                <c:pt idx="24">
                  <c:v>1487.799892492385</c:v>
                </c:pt>
                <c:pt idx="25">
                  <c:v>1700.3427342770112</c:v>
                </c:pt>
                <c:pt idx="26">
                  <c:v>1912.8855760616377</c:v>
                </c:pt>
                <c:pt idx="27">
                  <c:v>2125.428417846264</c:v>
                </c:pt>
                <c:pt idx="28">
                  <c:v>2550.514101415517</c:v>
                </c:pt>
                <c:pt idx="29">
                  <c:v>2975.5997849847699</c:v>
                </c:pt>
                <c:pt idx="30">
                  <c:v>3400.6854685540225</c:v>
                </c:pt>
                <c:pt idx="31">
                  <c:v>3825.7711521232754</c:v>
                </c:pt>
                <c:pt idx="32">
                  <c:v>4250.856835692528</c:v>
                </c:pt>
                <c:pt idx="33">
                  <c:v>5101.0282028310339</c:v>
                </c:pt>
                <c:pt idx="34">
                  <c:v>5951.1995699695399</c:v>
                </c:pt>
                <c:pt idx="35">
                  <c:v>6801.3709371080449</c:v>
                </c:pt>
                <c:pt idx="36">
                  <c:v>7651.5423042465509</c:v>
                </c:pt>
                <c:pt idx="37">
                  <c:v>8501.7136713850559</c:v>
                </c:pt>
              </c:numCache>
            </c:numRef>
          </c:val>
          <c:smooth val="0"/>
          <c:extLst>
            <c:ext xmlns:c16="http://schemas.microsoft.com/office/drawing/2014/chart" uri="{C3380CC4-5D6E-409C-BE32-E72D297353CC}">
              <c16:uniqueId val="{00000009-EBAD-48A5-9277-83F388186C0C}"/>
            </c:ext>
          </c:extLst>
        </c:ser>
        <c:ser>
          <c:idx val="11"/>
          <c:order val="5"/>
          <c:tx>
            <c:strRef>
              <c:f>Projections!$A$408</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Projections!$R$409:$BM$409</c15:sqref>
                  </c15:fullRef>
                </c:ext>
              </c:extLst>
              <c:f>Projections!$R$409:$BC$409</c:f>
              <c:numCache>
                <c:formatCode>#,##0</c:formatCode>
                <c:ptCount val="38"/>
                <c:pt idx="0">
                  <c:v>9.8324672997670663E-3</c:v>
                </c:pt>
                <c:pt idx="1">
                  <c:v>1.9664934599534133E-2</c:v>
                </c:pt>
                <c:pt idx="2">
                  <c:v>3.9329869199068265E-2</c:v>
                </c:pt>
                <c:pt idx="3">
                  <c:v>7.8659738398136531E-2</c:v>
                </c:pt>
                <c:pt idx="4">
                  <c:v>0.15731947679627306</c:v>
                </c:pt>
                <c:pt idx="5">
                  <c:v>0.31463895359254612</c:v>
                </c:pt>
                <c:pt idx="6">
                  <c:v>0.62927790718509224</c:v>
                </c:pt>
                <c:pt idx="7">
                  <c:v>1.2585558143701845</c:v>
                </c:pt>
                <c:pt idx="8">
                  <c:v>2.517111628740369</c:v>
                </c:pt>
                <c:pt idx="9">
                  <c:v>5.034223257480738</c:v>
                </c:pt>
                <c:pt idx="10">
                  <c:v>10.068446514961476</c:v>
                </c:pt>
                <c:pt idx="11">
                  <c:v>20.136893029922952</c:v>
                </c:pt>
                <c:pt idx="12">
                  <c:v>40.273786059845904</c:v>
                </c:pt>
                <c:pt idx="13">
                  <c:v>80.547572119691807</c:v>
                </c:pt>
                <c:pt idx="14">
                  <c:v>161.09514423938361</c:v>
                </c:pt>
                <c:pt idx="15">
                  <c:v>201.3689302992295</c:v>
                </c:pt>
                <c:pt idx="16">
                  <c:v>241.64271635907542</c:v>
                </c:pt>
                <c:pt idx="17">
                  <c:v>281.91650241892131</c:v>
                </c:pt>
                <c:pt idx="18">
                  <c:v>322.19028847876723</c:v>
                </c:pt>
                <c:pt idx="19">
                  <c:v>412.40356925282208</c:v>
                </c:pt>
                <c:pt idx="20">
                  <c:v>483.28543271815084</c:v>
                </c:pt>
                <c:pt idx="21">
                  <c:v>563.83300483784262</c:v>
                </c:pt>
                <c:pt idx="22">
                  <c:v>644.38057695753446</c:v>
                </c:pt>
                <c:pt idx="23">
                  <c:v>773.25669234904137</c:v>
                </c:pt>
                <c:pt idx="24">
                  <c:v>902.13280774054829</c:v>
                </c:pt>
                <c:pt idx="25">
                  <c:v>1031.0089231320551</c:v>
                </c:pt>
                <c:pt idx="26">
                  <c:v>1159.8850385235621</c:v>
                </c:pt>
                <c:pt idx="27">
                  <c:v>1288.7611539150689</c:v>
                </c:pt>
                <c:pt idx="28">
                  <c:v>1546.5133846980827</c:v>
                </c:pt>
                <c:pt idx="29">
                  <c:v>1804.2656154810966</c:v>
                </c:pt>
                <c:pt idx="30">
                  <c:v>2062.0178462641102</c:v>
                </c:pt>
                <c:pt idx="31">
                  <c:v>2319.7700770471242</c:v>
                </c:pt>
                <c:pt idx="32">
                  <c:v>2577.5223078301378</c:v>
                </c:pt>
                <c:pt idx="33">
                  <c:v>3093.0267693961655</c:v>
                </c:pt>
                <c:pt idx="34">
                  <c:v>3608.5312309621931</c:v>
                </c:pt>
                <c:pt idx="35">
                  <c:v>4124.0356925282204</c:v>
                </c:pt>
                <c:pt idx="36">
                  <c:v>4639.5401540942485</c:v>
                </c:pt>
                <c:pt idx="37">
                  <c:v>5155.0446156602757</c:v>
                </c:pt>
              </c:numCache>
            </c:numRef>
          </c:val>
          <c:smooth val="0"/>
          <c:extLst>
            <c:ext xmlns:c16="http://schemas.microsoft.com/office/drawing/2014/chart" uri="{C3380CC4-5D6E-409C-BE32-E72D297353CC}">
              <c16:uniqueId val="{0000000B-EBAD-48A5-9277-83F388186C0C}"/>
            </c:ext>
          </c:extLst>
        </c:ser>
        <c:ser>
          <c:idx val="13"/>
          <c:order val="6"/>
          <c:tx>
            <c:strRef>
              <c:f>Projections!$A$410</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Projections!$R$411:$BM$411</c15:sqref>
                  </c15:fullRef>
                </c:ext>
              </c:extLst>
              <c:f>Projections!$R$411:$BC$411</c:f>
              <c:numCache>
                <c:formatCode>#,##0</c:formatCode>
                <c:ptCount val="38"/>
                <c:pt idx="0">
                  <c:v>1.3505644149793944E-2</c:v>
                </c:pt>
                <c:pt idx="1">
                  <c:v>2.7011288299587887E-2</c:v>
                </c:pt>
                <c:pt idx="2">
                  <c:v>5.4022576599175774E-2</c:v>
                </c:pt>
                <c:pt idx="3">
                  <c:v>0.10804515319835155</c:v>
                </c:pt>
                <c:pt idx="4">
                  <c:v>0.2160903063967031</c:v>
                </c:pt>
                <c:pt idx="5">
                  <c:v>0.43218061279340619</c:v>
                </c:pt>
                <c:pt idx="6">
                  <c:v>0.86436122558681239</c:v>
                </c:pt>
                <c:pt idx="7">
                  <c:v>1.7287224511736248</c:v>
                </c:pt>
                <c:pt idx="8">
                  <c:v>3.4574449023472495</c:v>
                </c:pt>
                <c:pt idx="9">
                  <c:v>6.9148898046944991</c:v>
                </c:pt>
                <c:pt idx="10">
                  <c:v>13.829779609388998</c:v>
                </c:pt>
                <c:pt idx="11">
                  <c:v>27.659559218777996</c:v>
                </c:pt>
                <c:pt idx="12">
                  <c:v>55.319118437555993</c:v>
                </c:pt>
                <c:pt idx="13">
                  <c:v>110.63823687511199</c:v>
                </c:pt>
                <c:pt idx="14">
                  <c:v>221.27647375022397</c:v>
                </c:pt>
                <c:pt idx="15">
                  <c:v>276.59559218777997</c:v>
                </c:pt>
                <c:pt idx="16">
                  <c:v>331.914710625336</c:v>
                </c:pt>
                <c:pt idx="17">
                  <c:v>387.23382906289197</c:v>
                </c:pt>
                <c:pt idx="18">
                  <c:v>442.55294750044794</c:v>
                </c:pt>
                <c:pt idx="19">
                  <c:v>566.46777280057336</c:v>
                </c:pt>
                <c:pt idx="20">
                  <c:v>663.829421250672</c:v>
                </c:pt>
                <c:pt idx="21">
                  <c:v>774.46765812578394</c:v>
                </c:pt>
                <c:pt idx="22">
                  <c:v>885.10589500089588</c:v>
                </c:pt>
                <c:pt idx="23">
                  <c:v>1062.127074001075</c:v>
                </c:pt>
                <c:pt idx="24">
                  <c:v>1239.1482530012543</c:v>
                </c:pt>
                <c:pt idx="25">
                  <c:v>1416.1694320014333</c:v>
                </c:pt>
                <c:pt idx="26">
                  <c:v>1593.1906110016128</c:v>
                </c:pt>
                <c:pt idx="27">
                  <c:v>1770.2117900017918</c:v>
                </c:pt>
                <c:pt idx="28">
                  <c:v>2124.25414800215</c:v>
                </c:pt>
                <c:pt idx="29">
                  <c:v>2478.2965060025085</c:v>
                </c:pt>
                <c:pt idx="30">
                  <c:v>2832.3388640028666</c:v>
                </c:pt>
                <c:pt idx="31">
                  <c:v>3186.3812220032255</c:v>
                </c:pt>
                <c:pt idx="32">
                  <c:v>3540.4235800035835</c:v>
                </c:pt>
                <c:pt idx="33">
                  <c:v>4248.5082960043001</c:v>
                </c:pt>
                <c:pt idx="34">
                  <c:v>4956.593012005017</c:v>
                </c:pt>
                <c:pt idx="35">
                  <c:v>5664.6777280057331</c:v>
                </c:pt>
                <c:pt idx="36">
                  <c:v>6372.762444006451</c:v>
                </c:pt>
                <c:pt idx="37">
                  <c:v>7080.8471600071671</c:v>
                </c:pt>
              </c:numCache>
            </c:numRef>
          </c:val>
          <c:smooth val="0"/>
          <c:extLst>
            <c:ext xmlns:c16="http://schemas.microsoft.com/office/drawing/2014/chart" uri="{C3380CC4-5D6E-409C-BE32-E72D297353CC}">
              <c16:uniqueId val="{0000000D-EBAD-48A5-9277-83F388186C0C}"/>
            </c:ext>
          </c:extLst>
        </c:ser>
        <c:ser>
          <c:idx val="15"/>
          <c:order val="7"/>
          <c:tx>
            <c:strRef>
              <c:f>Projections!$A$412</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Projections!$R$413:$BM$413</c15:sqref>
                  </c15:fullRef>
                </c:ext>
              </c:extLst>
              <c:f>Projections!$R$413:$BC$413</c:f>
              <c:numCache>
                <c:formatCode>#,##0</c:formatCode>
                <c:ptCount val="38"/>
                <c:pt idx="0">
                  <c:v>1.8029922952875828E-3</c:v>
                </c:pt>
                <c:pt idx="1">
                  <c:v>3.6059845905751656E-3</c:v>
                </c:pt>
                <c:pt idx="2">
                  <c:v>7.2119691811503312E-3</c:v>
                </c:pt>
                <c:pt idx="3">
                  <c:v>1.4423938362300662E-2</c:v>
                </c:pt>
                <c:pt idx="4">
                  <c:v>2.8847876724601325E-2</c:v>
                </c:pt>
                <c:pt idx="5">
                  <c:v>5.769575344920265E-2</c:v>
                </c:pt>
                <c:pt idx="6">
                  <c:v>0.1153915068984053</c:v>
                </c:pt>
                <c:pt idx="7">
                  <c:v>0.2307830137968106</c:v>
                </c:pt>
                <c:pt idx="8">
                  <c:v>0.4615660275936212</c:v>
                </c:pt>
                <c:pt idx="9">
                  <c:v>0.9231320551872424</c:v>
                </c:pt>
                <c:pt idx="10">
                  <c:v>1.8462641103744848</c:v>
                </c:pt>
                <c:pt idx="11">
                  <c:v>3.6925282207489696</c:v>
                </c:pt>
                <c:pt idx="12">
                  <c:v>7.3850564414979392</c:v>
                </c:pt>
                <c:pt idx="13">
                  <c:v>14.770112882995878</c:v>
                </c:pt>
                <c:pt idx="14">
                  <c:v>29.540225765991757</c:v>
                </c:pt>
                <c:pt idx="15">
                  <c:v>36.925282207489701</c:v>
                </c:pt>
                <c:pt idx="16">
                  <c:v>44.310338648987639</c:v>
                </c:pt>
                <c:pt idx="17">
                  <c:v>51.695395090485576</c:v>
                </c:pt>
                <c:pt idx="18">
                  <c:v>59.080451531983513</c:v>
                </c:pt>
                <c:pt idx="19">
                  <c:v>75.622977960938897</c:v>
                </c:pt>
                <c:pt idx="20">
                  <c:v>88.620677297975277</c:v>
                </c:pt>
                <c:pt idx="21">
                  <c:v>103.39079018097115</c:v>
                </c:pt>
                <c:pt idx="22">
                  <c:v>118.16090306396703</c:v>
                </c:pt>
                <c:pt idx="23">
                  <c:v>141.79308367676043</c:v>
                </c:pt>
                <c:pt idx="24">
                  <c:v>165.42526428955384</c:v>
                </c:pt>
                <c:pt idx="25">
                  <c:v>189.05744490234727</c:v>
                </c:pt>
                <c:pt idx="26">
                  <c:v>212.68962551514065</c:v>
                </c:pt>
                <c:pt idx="27">
                  <c:v>236.32180612793405</c:v>
                </c:pt>
                <c:pt idx="28">
                  <c:v>283.58616735352086</c:v>
                </c:pt>
                <c:pt idx="29">
                  <c:v>330.85052857910767</c:v>
                </c:pt>
                <c:pt idx="30">
                  <c:v>378.11488980469454</c:v>
                </c:pt>
                <c:pt idx="31">
                  <c:v>425.3792510302813</c:v>
                </c:pt>
                <c:pt idx="32">
                  <c:v>472.64361225586811</c:v>
                </c:pt>
                <c:pt idx="33">
                  <c:v>567.17233470704173</c:v>
                </c:pt>
                <c:pt idx="34">
                  <c:v>661.70105715821535</c:v>
                </c:pt>
                <c:pt idx="35">
                  <c:v>756.22977960938908</c:v>
                </c:pt>
                <c:pt idx="36">
                  <c:v>850.75850206056259</c:v>
                </c:pt>
                <c:pt idx="37">
                  <c:v>945.28722451173621</c:v>
                </c:pt>
              </c:numCache>
            </c:numRef>
          </c:val>
          <c:smooth val="0"/>
          <c:extLst>
            <c:ext xmlns:c16="http://schemas.microsoft.com/office/drawing/2014/chart" uri="{C3380CC4-5D6E-409C-BE32-E72D297353CC}">
              <c16:uniqueId val="{0000000F-EBAD-48A5-9277-83F388186C0C}"/>
            </c:ext>
          </c:extLst>
        </c:ser>
        <c:ser>
          <c:idx val="17"/>
          <c:order val="8"/>
          <c:tx>
            <c:strRef>
              <c:f>Projections!$A$414</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Projections!$R$415:$BM$415</c15:sqref>
                  </c15:fullRef>
                </c:ext>
              </c:extLst>
              <c:f>Projections!$R$415:$BC$415</c:f>
              <c:numCache>
                <c:formatCode>#,##0</c:formatCode>
                <c:ptCount val="3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Projections!$A$427</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Projections!$R$427:$BM$427</c15:sqref>
                  </c15:fullRef>
                </c:ext>
              </c:extLst>
              <c:f>Projections!$R$427:$BC$427</c:f>
              <c:numCache>
                <c:formatCode>#,##0</c:formatCode>
                <c:ptCount val="38"/>
                <c:pt idx="0">
                  <c:v>14.375</c:v>
                </c:pt>
                <c:pt idx="1">
                  <c:v>28.75</c:v>
                </c:pt>
                <c:pt idx="2">
                  <c:v>57.5</c:v>
                </c:pt>
                <c:pt idx="3">
                  <c:v>115</c:v>
                </c:pt>
                <c:pt idx="4">
                  <c:v>230</c:v>
                </c:pt>
                <c:pt idx="5">
                  <c:v>460</c:v>
                </c:pt>
                <c:pt idx="6">
                  <c:v>920</c:v>
                </c:pt>
                <c:pt idx="7">
                  <c:v>1840</c:v>
                </c:pt>
                <c:pt idx="8">
                  <c:v>3680</c:v>
                </c:pt>
                <c:pt idx="9">
                  <c:v>7360</c:v>
                </c:pt>
                <c:pt idx="10">
                  <c:v>14720</c:v>
                </c:pt>
                <c:pt idx="11">
                  <c:v>29440</c:v>
                </c:pt>
                <c:pt idx="12">
                  <c:v>58880</c:v>
                </c:pt>
                <c:pt idx="13">
                  <c:v>117760</c:v>
                </c:pt>
                <c:pt idx="14">
                  <c:v>235520</c:v>
                </c:pt>
                <c:pt idx="15">
                  <c:v>294400</c:v>
                </c:pt>
                <c:pt idx="16">
                  <c:v>353280</c:v>
                </c:pt>
                <c:pt idx="17">
                  <c:v>412160</c:v>
                </c:pt>
                <c:pt idx="18">
                  <c:v>471040</c:v>
                </c:pt>
                <c:pt idx="19">
                  <c:v>602931.20000000007</c:v>
                </c:pt>
                <c:pt idx="20">
                  <c:v>706560</c:v>
                </c:pt>
                <c:pt idx="21">
                  <c:v>824320</c:v>
                </c:pt>
                <c:pt idx="22">
                  <c:v>942080</c:v>
                </c:pt>
                <c:pt idx="23">
                  <c:v>1130496</c:v>
                </c:pt>
                <c:pt idx="24">
                  <c:v>1318912</c:v>
                </c:pt>
                <c:pt idx="25">
                  <c:v>1507328</c:v>
                </c:pt>
                <c:pt idx="26">
                  <c:v>1695744</c:v>
                </c:pt>
                <c:pt idx="27">
                  <c:v>1884160</c:v>
                </c:pt>
                <c:pt idx="28">
                  <c:v>2260992</c:v>
                </c:pt>
                <c:pt idx="29">
                  <c:v>2637824</c:v>
                </c:pt>
                <c:pt idx="30">
                  <c:v>3014656</c:v>
                </c:pt>
                <c:pt idx="31">
                  <c:v>3391488</c:v>
                </c:pt>
                <c:pt idx="32">
                  <c:v>3768320</c:v>
                </c:pt>
                <c:pt idx="33">
                  <c:v>4521984</c:v>
                </c:pt>
                <c:pt idx="34">
                  <c:v>5275648</c:v>
                </c:pt>
                <c:pt idx="35">
                  <c:v>6029312</c:v>
                </c:pt>
                <c:pt idx="36">
                  <c:v>6782976</c:v>
                </c:pt>
                <c:pt idx="37">
                  <c:v>7536640</c:v>
                </c:pt>
              </c:numCache>
            </c:numRef>
          </c:val>
          <c:smooth val="0"/>
          <c:extLst>
            <c:ext xmlns:c16="http://schemas.microsoft.com/office/drawing/2014/chart" uri="{C3380CC4-5D6E-409C-BE32-E72D297353CC}">
              <c16:uniqueId val="{0000001E-05DD-4DD4-A5B5-12D162507280}"/>
            </c:ext>
          </c:extLst>
        </c:ser>
        <c:ser>
          <c:idx val="4"/>
          <c:order val="1"/>
          <c:tx>
            <c:strRef>
              <c:f>Projections!$A$425</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Projections!$R$425:$BM$425</c15:sqref>
                  </c15:fullRef>
                </c:ext>
              </c:extLst>
              <c:f>Projections!$R$425:$BC$425</c:f>
              <c:numCache>
                <c:formatCode>#,##0</c:formatCode>
                <c:ptCount val="38"/>
                <c:pt idx="0">
                  <c:v>4.1875</c:v>
                </c:pt>
                <c:pt idx="1">
                  <c:v>8.375</c:v>
                </c:pt>
                <c:pt idx="2">
                  <c:v>16.75</c:v>
                </c:pt>
                <c:pt idx="3">
                  <c:v>33.5</c:v>
                </c:pt>
                <c:pt idx="4">
                  <c:v>67</c:v>
                </c:pt>
                <c:pt idx="5">
                  <c:v>134</c:v>
                </c:pt>
                <c:pt idx="6">
                  <c:v>268</c:v>
                </c:pt>
                <c:pt idx="7">
                  <c:v>536</c:v>
                </c:pt>
                <c:pt idx="8">
                  <c:v>1072</c:v>
                </c:pt>
                <c:pt idx="9">
                  <c:v>2144</c:v>
                </c:pt>
                <c:pt idx="10">
                  <c:v>4288</c:v>
                </c:pt>
                <c:pt idx="11">
                  <c:v>8576</c:v>
                </c:pt>
                <c:pt idx="12">
                  <c:v>17152</c:v>
                </c:pt>
                <c:pt idx="13">
                  <c:v>34304</c:v>
                </c:pt>
                <c:pt idx="14">
                  <c:v>68608</c:v>
                </c:pt>
                <c:pt idx="15">
                  <c:v>85760</c:v>
                </c:pt>
                <c:pt idx="16">
                  <c:v>102912</c:v>
                </c:pt>
                <c:pt idx="17">
                  <c:v>120064</c:v>
                </c:pt>
                <c:pt idx="18">
                  <c:v>137216</c:v>
                </c:pt>
                <c:pt idx="19">
                  <c:v>175636.48000000001</c:v>
                </c:pt>
                <c:pt idx="20">
                  <c:v>205824</c:v>
                </c:pt>
                <c:pt idx="21">
                  <c:v>240128</c:v>
                </c:pt>
                <c:pt idx="22">
                  <c:v>274432</c:v>
                </c:pt>
                <c:pt idx="23">
                  <c:v>329318.40000000002</c:v>
                </c:pt>
                <c:pt idx="24">
                  <c:v>384204.80000000005</c:v>
                </c:pt>
                <c:pt idx="25">
                  <c:v>439091.20000000001</c:v>
                </c:pt>
                <c:pt idx="26">
                  <c:v>493977.60000000003</c:v>
                </c:pt>
                <c:pt idx="27">
                  <c:v>548864</c:v>
                </c:pt>
                <c:pt idx="28">
                  <c:v>658636.80000000005</c:v>
                </c:pt>
                <c:pt idx="29">
                  <c:v>768409.60000000009</c:v>
                </c:pt>
                <c:pt idx="30">
                  <c:v>878182.40000000002</c:v>
                </c:pt>
                <c:pt idx="31">
                  <c:v>987955.20000000007</c:v>
                </c:pt>
                <c:pt idx="32">
                  <c:v>1097728</c:v>
                </c:pt>
                <c:pt idx="33">
                  <c:v>1317273.6000000001</c:v>
                </c:pt>
                <c:pt idx="34">
                  <c:v>1536819.2000000002</c:v>
                </c:pt>
                <c:pt idx="35">
                  <c:v>1756364.8</c:v>
                </c:pt>
                <c:pt idx="36">
                  <c:v>1975910.4000000001</c:v>
                </c:pt>
                <c:pt idx="37">
                  <c:v>2195456</c:v>
                </c:pt>
              </c:numCache>
            </c:numRef>
          </c:val>
          <c:smooth val="0"/>
          <c:extLst>
            <c:ext xmlns:c16="http://schemas.microsoft.com/office/drawing/2014/chart" uri="{C3380CC4-5D6E-409C-BE32-E72D297353CC}">
              <c16:uniqueId val="{0000001C-05DD-4DD4-A5B5-12D162507280}"/>
            </c:ext>
          </c:extLst>
        </c:ser>
        <c:ser>
          <c:idx val="10"/>
          <c:order val="2"/>
          <c:tx>
            <c:strRef>
              <c:f>Projections!$A$431</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Projections!$R$431:$BM$431</c15:sqref>
                  </c15:fullRef>
                </c:ext>
              </c:extLst>
              <c:f>Projections!$R$431:$BC$431</c:f>
              <c:numCache>
                <c:formatCode>#,##0</c:formatCode>
                <c:ptCount val="38"/>
                <c:pt idx="0">
                  <c:v>4.84375</c:v>
                </c:pt>
                <c:pt idx="1">
                  <c:v>9.6875</c:v>
                </c:pt>
                <c:pt idx="2">
                  <c:v>19.375</c:v>
                </c:pt>
                <c:pt idx="3">
                  <c:v>38.75</c:v>
                </c:pt>
                <c:pt idx="4">
                  <c:v>77.5</c:v>
                </c:pt>
                <c:pt idx="5">
                  <c:v>155</c:v>
                </c:pt>
                <c:pt idx="6">
                  <c:v>310</c:v>
                </c:pt>
                <c:pt idx="7">
                  <c:v>620</c:v>
                </c:pt>
                <c:pt idx="8">
                  <c:v>1240</c:v>
                </c:pt>
                <c:pt idx="9">
                  <c:v>2480</c:v>
                </c:pt>
                <c:pt idx="10">
                  <c:v>4960</c:v>
                </c:pt>
                <c:pt idx="11">
                  <c:v>9920</c:v>
                </c:pt>
                <c:pt idx="12">
                  <c:v>19840</c:v>
                </c:pt>
                <c:pt idx="13">
                  <c:v>39680</c:v>
                </c:pt>
                <c:pt idx="14">
                  <c:v>79360</c:v>
                </c:pt>
                <c:pt idx="15">
                  <c:v>99200</c:v>
                </c:pt>
                <c:pt idx="16">
                  <c:v>119040</c:v>
                </c:pt>
                <c:pt idx="17">
                  <c:v>138880</c:v>
                </c:pt>
                <c:pt idx="18">
                  <c:v>158720</c:v>
                </c:pt>
                <c:pt idx="19">
                  <c:v>203161.60000000001</c:v>
                </c:pt>
                <c:pt idx="20">
                  <c:v>238080</c:v>
                </c:pt>
                <c:pt idx="21">
                  <c:v>277760</c:v>
                </c:pt>
                <c:pt idx="22">
                  <c:v>317440</c:v>
                </c:pt>
                <c:pt idx="23">
                  <c:v>380928</c:v>
                </c:pt>
                <c:pt idx="24">
                  <c:v>444416</c:v>
                </c:pt>
                <c:pt idx="25">
                  <c:v>507904</c:v>
                </c:pt>
                <c:pt idx="26">
                  <c:v>571392</c:v>
                </c:pt>
                <c:pt idx="27">
                  <c:v>634880</c:v>
                </c:pt>
                <c:pt idx="28">
                  <c:v>761856</c:v>
                </c:pt>
                <c:pt idx="29">
                  <c:v>888832</c:v>
                </c:pt>
                <c:pt idx="30">
                  <c:v>1015808</c:v>
                </c:pt>
                <c:pt idx="31">
                  <c:v>1142784</c:v>
                </c:pt>
                <c:pt idx="32">
                  <c:v>1269760</c:v>
                </c:pt>
                <c:pt idx="33">
                  <c:v>1523712</c:v>
                </c:pt>
                <c:pt idx="34">
                  <c:v>1777664</c:v>
                </c:pt>
                <c:pt idx="35">
                  <c:v>2031616</c:v>
                </c:pt>
                <c:pt idx="36">
                  <c:v>2285568</c:v>
                </c:pt>
                <c:pt idx="37">
                  <c:v>2539520</c:v>
                </c:pt>
              </c:numCache>
            </c:numRef>
          </c:val>
          <c:smooth val="0"/>
          <c:extLst>
            <c:ext xmlns:c16="http://schemas.microsoft.com/office/drawing/2014/chart" uri="{C3380CC4-5D6E-409C-BE32-E72D297353CC}">
              <c16:uniqueId val="{00000022-05DD-4DD4-A5B5-12D162507280}"/>
            </c:ext>
          </c:extLst>
        </c:ser>
        <c:ser>
          <c:idx val="0"/>
          <c:order val="3"/>
          <c:tx>
            <c:strRef>
              <c:f>Projections!$A$421</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Projections!$R$421:$BM$421</c15:sqref>
                  </c15:fullRef>
                </c:ext>
              </c:extLst>
              <c:f>Projections!$R$421:$BC$421</c:f>
              <c:numCache>
                <c:formatCode>#,##0</c:formatCode>
                <c:ptCount val="38"/>
                <c:pt idx="0">
                  <c:v>11.5</c:v>
                </c:pt>
                <c:pt idx="1">
                  <c:v>23</c:v>
                </c:pt>
                <c:pt idx="2">
                  <c:v>46</c:v>
                </c:pt>
                <c:pt idx="3">
                  <c:v>92</c:v>
                </c:pt>
                <c:pt idx="4">
                  <c:v>184</c:v>
                </c:pt>
                <c:pt idx="5">
                  <c:v>368</c:v>
                </c:pt>
                <c:pt idx="6">
                  <c:v>736</c:v>
                </c:pt>
                <c:pt idx="7">
                  <c:v>1472</c:v>
                </c:pt>
                <c:pt idx="8">
                  <c:v>2944</c:v>
                </c:pt>
                <c:pt idx="9">
                  <c:v>5888</c:v>
                </c:pt>
                <c:pt idx="10">
                  <c:v>11776</c:v>
                </c:pt>
                <c:pt idx="11">
                  <c:v>23552</c:v>
                </c:pt>
                <c:pt idx="12">
                  <c:v>47104</c:v>
                </c:pt>
                <c:pt idx="13">
                  <c:v>94208</c:v>
                </c:pt>
                <c:pt idx="14">
                  <c:v>188416</c:v>
                </c:pt>
                <c:pt idx="15">
                  <c:v>235520</c:v>
                </c:pt>
                <c:pt idx="16">
                  <c:v>282624</c:v>
                </c:pt>
                <c:pt idx="17">
                  <c:v>329728</c:v>
                </c:pt>
                <c:pt idx="18">
                  <c:v>376832</c:v>
                </c:pt>
                <c:pt idx="19">
                  <c:v>482344.95999999996</c:v>
                </c:pt>
                <c:pt idx="20">
                  <c:v>565248</c:v>
                </c:pt>
                <c:pt idx="21">
                  <c:v>659456</c:v>
                </c:pt>
                <c:pt idx="22">
                  <c:v>753664</c:v>
                </c:pt>
                <c:pt idx="23">
                  <c:v>904396.79999999993</c:v>
                </c:pt>
                <c:pt idx="24">
                  <c:v>1055129.6000000001</c:v>
                </c:pt>
                <c:pt idx="25">
                  <c:v>1205862.3999999999</c:v>
                </c:pt>
                <c:pt idx="26">
                  <c:v>1356595.2</c:v>
                </c:pt>
                <c:pt idx="27">
                  <c:v>1507328</c:v>
                </c:pt>
                <c:pt idx="28">
                  <c:v>1808793.5999999999</c:v>
                </c:pt>
                <c:pt idx="29">
                  <c:v>2110259.2000000002</c:v>
                </c:pt>
                <c:pt idx="30">
                  <c:v>2411724.7999999998</c:v>
                </c:pt>
                <c:pt idx="31">
                  <c:v>2713190.3999999999</c:v>
                </c:pt>
                <c:pt idx="32">
                  <c:v>3014656</c:v>
                </c:pt>
                <c:pt idx="33">
                  <c:v>3617587.1999999997</c:v>
                </c:pt>
                <c:pt idx="34">
                  <c:v>4220518.4000000004</c:v>
                </c:pt>
                <c:pt idx="35">
                  <c:v>4823449.5999999996</c:v>
                </c:pt>
                <c:pt idx="36">
                  <c:v>5426380.7999999998</c:v>
                </c:pt>
                <c:pt idx="37">
                  <c:v>6029312</c:v>
                </c:pt>
              </c:numCache>
            </c:numRef>
          </c:val>
          <c:smooth val="0"/>
          <c:extLst>
            <c:ext xmlns:c16="http://schemas.microsoft.com/office/drawing/2014/chart" uri="{C3380CC4-5D6E-409C-BE32-E72D297353CC}">
              <c16:uniqueId val="{00000018-05DD-4DD4-A5B5-12D162507280}"/>
            </c:ext>
          </c:extLst>
        </c:ser>
        <c:ser>
          <c:idx val="2"/>
          <c:order val="4"/>
          <c:tx>
            <c:strRef>
              <c:f>Projections!$A$423</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Projections!$R$423:$BM$423</c15:sqref>
                  </c15:fullRef>
                </c:ext>
              </c:extLst>
              <c:f>Projections!$R$423:$BC$423</c:f>
              <c:numCache>
                <c:formatCode>#,##0</c:formatCode>
                <c:ptCount val="38"/>
                <c:pt idx="0">
                  <c:v>3.0625</c:v>
                </c:pt>
                <c:pt idx="1">
                  <c:v>6.125</c:v>
                </c:pt>
                <c:pt idx="2">
                  <c:v>12.25</c:v>
                </c:pt>
                <c:pt idx="3">
                  <c:v>24.5</c:v>
                </c:pt>
                <c:pt idx="4">
                  <c:v>49</c:v>
                </c:pt>
                <c:pt idx="5">
                  <c:v>98</c:v>
                </c:pt>
                <c:pt idx="6">
                  <c:v>196</c:v>
                </c:pt>
                <c:pt idx="7">
                  <c:v>392</c:v>
                </c:pt>
                <c:pt idx="8">
                  <c:v>784</c:v>
                </c:pt>
                <c:pt idx="9">
                  <c:v>1568</c:v>
                </c:pt>
                <c:pt idx="10">
                  <c:v>3136</c:v>
                </c:pt>
                <c:pt idx="11">
                  <c:v>6272</c:v>
                </c:pt>
                <c:pt idx="12">
                  <c:v>12544</c:v>
                </c:pt>
                <c:pt idx="13">
                  <c:v>25088</c:v>
                </c:pt>
                <c:pt idx="14">
                  <c:v>50176</c:v>
                </c:pt>
                <c:pt idx="15">
                  <c:v>62720</c:v>
                </c:pt>
                <c:pt idx="16">
                  <c:v>75264</c:v>
                </c:pt>
                <c:pt idx="17">
                  <c:v>87808</c:v>
                </c:pt>
                <c:pt idx="18">
                  <c:v>100352</c:v>
                </c:pt>
                <c:pt idx="19">
                  <c:v>128450.56</c:v>
                </c:pt>
                <c:pt idx="20">
                  <c:v>150528</c:v>
                </c:pt>
                <c:pt idx="21">
                  <c:v>175616</c:v>
                </c:pt>
                <c:pt idx="22">
                  <c:v>200704</c:v>
                </c:pt>
                <c:pt idx="23">
                  <c:v>240844.80000000002</c:v>
                </c:pt>
                <c:pt idx="24">
                  <c:v>280985.60000000003</c:v>
                </c:pt>
                <c:pt idx="25">
                  <c:v>321126.40000000002</c:v>
                </c:pt>
                <c:pt idx="26">
                  <c:v>361267.20000000001</c:v>
                </c:pt>
                <c:pt idx="27">
                  <c:v>401408</c:v>
                </c:pt>
                <c:pt idx="28">
                  <c:v>481689.60000000003</c:v>
                </c:pt>
                <c:pt idx="29">
                  <c:v>561971.20000000007</c:v>
                </c:pt>
                <c:pt idx="30">
                  <c:v>642252.80000000005</c:v>
                </c:pt>
                <c:pt idx="31">
                  <c:v>722534.40000000002</c:v>
                </c:pt>
                <c:pt idx="32">
                  <c:v>802816</c:v>
                </c:pt>
                <c:pt idx="33">
                  <c:v>963379.20000000007</c:v>
                </c:pt>
                <c:pt idx="34">
                  <c:v>1123942.4000000001</c:v>
                </c:pt>
                <c:pt idx="35">
                  <c:v>1284505.6000000001</c:v>
                </c:pt>
                <c:pt idx="36">
                  <c:v>1445068.8</c:v>
                </c:pt>
                <c:pt idx="37">
                  <c:v>1605632</c:v>
                </c:pt>
              </c:numCache>
            </c:numRef>
          </c:val>
          <c:smooth val="0"/>
          <c:extLst>
            <c:ext xmlns:c16="http://schemas.microsoft.com/office/drawing/2014/chart" uri="{C3380CC4-5D6E-409C-BE32-E72D297353CC}">
              <c16:uniqueId val="{0000001A-05DD-4DD4-A5B5-12D162507280}"/>
            </c:ext>
          </c:extLst>
        </c:ser>
        <c:ser>
          <c:idx val="8"/>
          <c:order val="5"/>
          <c:tx>
            <c:strRef>
              <c:f>Projections!$A$429</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Projections!$R$429:$BM$429</c15:sqref>
                  </c15:fullRef>
                </c:ext>
              </c:extLst>
              <c:f>Projections!$R$429:$BC$429</c:f>
              <c:numCache>
                <c:formatCode>#,##0</c:formatCode>
                <c:ptCount val="38"/>
                <c:pt idx="0">
                  <c:v>0.13718749999999999</c:v>
                </c:pt>
                <c:pt idx="1">
                  <c:v>0.27437499999999998</c:v>
                </c:pt>
                <c:pt idx="2">
                  <c:v>0.54874999999999996</c:v>
                </c:pt>
                <c:pt idx="3">
                  <c:v>1.0974999999999999</c:v>
                </c:pt>
                <c:pt idx="4">
                  <c:v>2.1949999999999998</c:v>
                </c:pt>
                <c:pt idx="5">
                  <c:v>4.3899999999999997</c:v>
                </c:pt>
                <c:pt idx="6">
                  <c:v>8.7799999999999994</c:v>
                </c:pt>
                <c:pt idx="7">
                  <c:v>17.559999999999999</c:v>
                </c:pt>
                <c:pt idx="8">
                  <c:v>35.119999999999997</c:v>
                </c:pt>
                <c:pt idx="9">
                  <c:v>70.239999999999995</c:v>
                </c:pt>
                <c:pt idx="10">
                  <c:v>140.47999999999999</c:v>
                </c:pt>
                <c:pt idx="11">
                  <c:v>280.95999999999998</c:v>
                </c:pt>
                <c:pt idx="12">
                  <c:v>561.91999999999996</c:v>
                </c:pt>
                <c:pt idx="13">
                  <c:v>1123.8399999999999</c:v>
                </c:pt>
                <c:pt idx="14">
                  <c:v>2247.6799999999998</c:v>
                </c:pt>
                <c:pt idx="15">
                  <c:v>2809.6</c:v>
                </c:pt>
                <c:pt idx="16">
                  <c:v>3371.52</c:v>
                </c:pt>
                <c:pt idx="17">
                  <c:v>3933.4399999999996</c:v>
                </c:pt>
                <c:pt idx="18">
                  <c:v>4495.3599999999997</c:v>
                </c:pt>
                <c:pt idx="19">
                  <c:v>5754.0607999999993</c:v>
                </c:pt>
                <c:pt idx="20">
                  <c:v>6743.04</c:v>
                </c:pt>
                <c:pt idx="21">
                  <c:v>7866.8799999999992</c:v>
                </c:pt>
                <c:pt idx="22">
                  <c:v>8990.7199999999993</c:v>
                </c:pt>
                <c:pt idx="23">
                  <c:v>10788.864</c:v>
                </c:pt>
                <c:pt idx="24">
                  <c:v>12587.008</c:v>
                </c:pt>
                <c:pt idx="25">
                  <c:v>14385.152</c:v>
                </c:pt>
                <c:pt idx="26">
                  <c:v>16183.295999999998</c:v>
                </c:pt>
                <c:pt idx="27">
                  <c:v>17981.439999999999</c:v>
                </c:pt>
                <c:pt idx="28">
                  <c:v>21577.727999999999</c:v>
                </c:pt>
                <c:pt idx="29">
                  <c:v>25174.016</c:v>
                </c:pt>
                <c:pt idx="30">
                  <c:v>28770.304</c:v>
                </c:pt>
                <c:pt idx="31">
                  <c:v>32366.591999999997</c:v>
                </c:pt>
                <c:pt idx="32">
                  <c:v>35962.879999999997</c:v>
                </c:pt>
                <c:pt idx="33">
                  <c:v>43155.455999999998</c:v>
                </c:pt>
                <c:pt idx="34">
                  <c:v>50348.031999999999</c:v>
                </c:pt>
                <c:pt idx="35">
                  <c:v>57540.608</c:v>
                </c:pt>
                <c:pt idx="36">
                  <c:v>64733.183999999994</c:v>
                </c:pt>
                <c:pt idx="37">
                  <c:v>71925.759999999995</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Projections!$A$427</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Projections!$R$428:$BM$428</c15:sqref>
                  </c15:fullRef>
                </c:ext>
              </c:extLst>
              <c:f>Projections!$R$428:$BC$428</c:f>
              <c:numCache>
                <c:formatCode>#,##0</c:formatCode>
                <c:ptCount val="38"/>
                <c:pt idx="0">
                  <c:v>0.86249999999999993</c:v>
                </c:pt>
                <c:pt idx="1">
                  <c:v>1.7249999999999999</c:v>
                </c:pt>
                <c:pt idx="2">
                  <c:v>3.4499999999999997</c:v>
                </c:pt>
                <c:pt idx="3">
                  <c:v>6.8999999999999995</c:v>
                </c:pt>
                <c:pt idx="4">
                  <c:v>13.799999999999999</c:v>
                </c:pt>
                <c:pt idx="5">
                  <c:v>27.599999999999998</c:v>
                </c:pt>
                <c:pt idx="6">
                  <c:v>55.199999999999996</c:v>
                </c:pt>
                <c:pt idx="7">
                  <c:v>110.39999999999999</c:v>
                </c:pt>
                <c:pt idx="8">
                  <c:v>220.79999999999998</c:v>
                </c:pt>
                <c:pt idx="9">
                  <c:v>441.59999999999997</c:v>
                </c:pt>
                <c:pt idx="10">
                  <c:v>883.19999999999993</c:v>
                </c:pt>
                <c:pt idx="11">
                  <c:v>1766.3999999999999</c:v>
                </c:pt>
                <c:pt idx="12">
                  <c:v>3532.7999999999997</c:v>
                </c:pt>
                <c:pt idx="13">
                  <c:v>7065.5999999999995</c:v>
                </c:pt>
                <c:pt idx="14">
                  <c:v>14131.199999999999</c:v>
                </c:pt>
                <c:pt idx="15">
                  <c:v>17664</c:v>
                </c:pt>
                <c:pt idx="16">
                  <c:v>21196.799999999999</c:v>
                </c:pt>
                <c:pt idx="17">
                  <c:v>24729.599999999999</c:v>
                </c:pt>
                <c:pt idx="18">
                  <c:v>28262.399999999998</c:v>
                </c:pt>
                <c:pt idx="19">
                  <c:v>36175.872000000003</c:v>
                </c:pt>
                <c:pt idx="20">
                  <c:v>42393.599999999999</c:v>
                </c:pt>
                <c:pt idx="21">
                  <c:v>49459.199999999997</c:v>
                </c:pt>
                <c:pt idx="22">
                  <c:v>56524.799999999996</c:v>
                </c:pt>
                <c:pt idx="23">
                  <c:v>67829.759999999995</c:v>
                </c:pt>
                <c:pt idx="24">
                  <c:v>79134.720000000001</c:v>
                </c:pt>
                <c:pt idx="25">
                  <c:v>90439.679999999993</c:v>
                </c:pt>
                <c:pt idx="26">
                  <c:v>101744.64</c:v>
                </c:pt>
                <c:pt idx="27">
                  <c:v>113049.59999999999</c:v>
                </c:pt>
                <c:pt idx="28">
                  <c:v>135659.51999999999</c:v>
                </c:pt>
                <c:pt idx="29">
                  <c:v>158269.44</c:v>
                </c:pt>
                <c:pt idx="30">
                  <c:v>180879.35999999999</c:v>
                </c:pt>
                <c:pt idx="31">
                  <c:v>203489.28</c:v>
                </c:pt>
                <c:pt idx="32">
                  <c:v>226099.19999999998</c:v>
                </c:pt>
                <c:pt idx="33">
                  <c:v>271319.03999999998</c:v>
                </c:pt>
                <c:pt idx="34">
                  <c:v>316538.88</c:v>
                </c:pt>
                <c:pt idx="35">
                  <c:v>361758.71999999997</c:v>
                </c:pt>
                <c:pt idx="36">
                  <c:v>406978.56</c:v>
                </c:pt>
                <c:pt idx="37">
                  <c:v>452198.39999999997</c:v>
                </c:pt>
              </c:numCache>
            </c:numRef>
          </c:val>
          <c:smooth val="0"/>
          <c:extLst>
            <c:ext xmlns:c16="http://schemas.microsoft.com/office/drawing/2014/chart" uri="{C3380CC4-5D6E-409C-BE32-E72D297353CC}">
              <c16:uniqueId val="{00000007-65B4-47F9-9B97-64FB989C8893}"/>
            </c:ext>
          </c:extLst>
        </c:ser>
        <c:ser>
          <c:idx val="5"/>
          <c:order val="1"/>
          <c:tx>
            <c:strRef>
              <c:f>Projections!$A$425</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Projections!$R$426:$BM$426</c15:sqref>
                  </c15:fullRef>
                </c:ext>
              </c:extLst>
              <c:f>Projections!$R$426:$BC$426</c:f>
              <c:numCache>
                <c:formatCode>#,##0</c:formatCode>
                <c:ptCount val="38"/>
                <c:pt idx="0">
                  <c:v>0.26381250000000001</c:v>
                </c:pt>
                <c:pt idx="1">
                  <c:v>0.52762500000000001</c:v>
                </c:pt>
                <c:pt idx="2">
                  <c:v>1.05525</c:v>
                </c:pt>
                <c:pt idx="3">
                  <c:v>2.1105</c:v>
                </c:pt>
                <c:pt idx="4">
                  <c:v>4.2210000000000001</c:v>
                </c:pt>
                <c:pt idx="5">
                  <c:v>8.4420000000000002</c:v>
                </c:pt>
                <c:pt idx="6">
                  <c:v>16.884</c:v>
                </c:pt>
                <c:pt idx="7">
                  <c:v>33.768000000000001</c:v>
                </c:pt>
                <c:pt idx="8">
                  <c:v>67.536000000000001</c:v>
                </c:pt>
                <c:pt idx="9">
                  <c:v>135.072</c:v>
                </c:pt>
                <c:pt idx="10">
                  <c:v>270.14400000000001</c:v>
                </c:pt>
                <c:pt idx="11">
                  <c:v>540.28800000000001</c:v>
                </c:pt>
                <c:pt idx="12">
                  <c:v>1080.576</c:v>
                </c:pt>
                <c:pt idx="13">
                  <c:v>2161.152</c:v>
                </c:pt>
                <c:pt idx="14">
                  <c:v>4322.3040000000001</c:v>
                </c:pt>
                <c:pt idx="15">
                  <c:v>5402.88</c:v>
                </c:pt>
                <c:pt idx="16">
                  <c:v>6483.4560000000001</c:v>
                </c:pt>
                <c:pt idx="17">
                  <c:v>7564.0320000000002</c:v>
                </c:pt>
                <c:pt idx="18">
                  <c:v>8644.6080000000002</c:v>
                </c:pt>
                <c:pt idx="19">
                  <c:v>11065.098240000001</c:v>
                </c:pt>
                <c:pt idx="20">
                  <c:v>12966.912</c:v>
                </c:pt>
                <c:pt idx="21">
                  <c:v>15128.064</c:v>
                </c:pt>
                <c:pt idx="22">
                  <c:v>17289.216</c:v>
                </c:pt>
                <c:pt idx="23">
                  <c:v>20747.059200000003</c:v>
                </c:pt>
                <c:pt idx="24">
                  <c:v>24204.902400000003</c:v>
                </c:pt>
                <c:pt idx="25">
                  <c:v>27662.745600000002</c:v>
                </c:pt>
                <c:pt idx="26">
                  <c:v>31120.588800000001</c:v>
                </c:pt>
                <c:pt idx="27">
                  <c:v>34578.432000000001</c:v>
                </c:pt>
                <c:pt idx="28">
                  <c:v>41494.118400000007</c:v>
                </c:pt>
                <c:pt idx="29">
                  <c:v>48409.804800000005</c:v>
                </c:pt>
                <c:pt idx="30">
                  <c:v>55325.491200000004</c:v>
                </c:pt>
                <c:pt idx="31">
                  <c:v>62241.177600000003</c:v>
                </c:pt>
                <c:pt idx="32">
                  <c:v>69156.864000000001</c:v>
                </c:pt>
                <c:pt idx="33">
                  <c:v>82988.236800000013</c:v>
                </c:pt>
                <c:pt idx="34">
                  <c:v>96819.609600000011</c:v>
                </c:pt>
                <c:pt idx="35">
                  <c:v>110650.98240000001</c:v>
                </c:pt>
                <c:pt idx="36">
                  <c:v>124482.35520000001</c:v>
                </c:pt>
                <c:pt idx="37">
                  <c:v>138313.728</c:v>
                </c:pt>
              </c:numCache>
            </c:numRef>
          </c:val>
          <c:smooth val="0"/>
          <c:extLst>
            <c:ext xmlns:c16="http://schemas.microsoft.com/office/drawing/2014/chart" uri="{C3380CC4-5D6E-409C-BE32-E72D297353CC}">
              <c16:uniqueId val="{00000005-65B4-47F9-9B97-64FB989C8893}"/>
            </c:ext>
          </c:extLst>
        </c:ser>
        <c:ser>
          <c:idx val="1"/>
          <c:order val="2"/>
          <c:tx>
            <c:strRef>
              <c:f>Projections!$A$421</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Projections!$R$422:$BM$422</c15:sqref>
                  </c15:fullRef>
                </c:ext>
              </c:extLst>
              <c:f>Projections!$R$422:$BC$422</c:f>
              <c:numCache>
                <c:formatCode>#,##0</c:formatCode>
                <c:ptCount val="38"/>
                <c:pt idx="0">
                  <c:v>1.2075</c:v>
                </c:pt>
                <c:pt idx="1">
                  <c:v>2.415</c:v>
                </c:pt>
                <c:pt idx="2">
                  <c:v>4.83</c:v>
                </c:pt>
                <c:pt idx="3">
                  <c:v>9.66</c:v>
                </c:pt>
                <c:pt idx="4">
                  <c:v>19.32</c:v>
                </c:pt>
                <c:pt idx="5">
                  <c:v>38.64</c:v>
                </c:pt>
                <c:pt idx="6">
                  <c:v>77.28</c:v>
                </c:pt>
                <c:pt idx="7">
                  <c:v>154.56</c:v>
                </c:pt>
                <c:pt idx="8">
                  <c:v>309.12</c:v>
                </c:pt>
                <c:pt idx="9">
                  <c:v>618.24</c:v>
                </c:pt>
                <c:pt idx="10">
                  <c:v>1236.48</c:v>
                </c:pt>
                <c:pt idx="11">
                  <c:v>2472.96</c:v>
                </c:pt>
                <c:pt idx="12">
                  <c:v>4945.92</c:v>
                </c:pt>
                <c:pt idx="13">
                  <c:v>9891.84</c:v>
                </c:pt>
                <c:pt idx="14">
                  <c:v>19783.68</c:v>
                </c:pt>
                <c:pt idx="15">
                  <c:v>24729.599999999999</c:v>
                </c:pt>
                <c:pt idx="16">
                  <c:v>29675.52</c:v>
                </c:pt>
                <c:pt idx="17">
                  <c:v>34621.440000000002</c:v>
                </c:pt>
                <c:pt idx="18">
                  <c:v>39567.360000000001</c:v>
                </c:pt>
                <c:pt idx="19">
                  <c:v>50646.220799999996</c:v>
                </c:pt>
                <c:pt idx="20">
                  <c:v>59351.040000000001</c:v>
                </c:pt>
                <c:pt idx="21">
                  <c:v>69242.880000000005</c:v>
                </c:pt>
                <c:pt idx="22">
                  <c:v>79134.720000000001</c:v>
                </c:pt>
                <c:pt idx="23">
                  <c:v>94961.66399999999</c:v>
                </c:pt>
                <c:pt idx="24">
                  <c:v>110788.60800000001</c:v>
                </c:pt>
                <c:pt idx="25">
                  <c:v>126615.55199999998</c:v>
                </c:pt>
                <c:pt idx="26">
                  <c:v>142442.49599999998</c:v>
                </c:pt>
                <c:pt idx="27">
                  <c:v>158269.44</c:v>
                </c:pt>
                <c:pt idx="28">
                  <c:v>189923.32799999998</c:v>
                </c:pt>
                <c:pt idx="29">
                  <c:v>221577.21600000001</c:v>
                </c:pt>
                <c:pt idx="30">
                  <c:v>253231.10399999996</c:v>
                </c:pt>
                <c:pt idx="31">
                  <c:v>284884.99199999997</c:v>
                </c:pt>
                <c:pt idx="32">
                  <c:v>316538.88</c:v>
                </c:pt>
                <c:pt idx="33">
                  <c:v>379846.65599999996</c:v>
                </c:pt>
                <c:pt idx="34">
                  <c:v>443154.43200000003</c:v>
                </c:pt>
                <c:pt idx="35">
                  <c:v>506462.20799999993</c:v>
                </c:pt>
                <c:pt idx="36">
                  <c:v>569769.98399999994</c:v>
                </c:pt>
                <c:pt idx="37">
                  <c:v>633077.76000000001</c:v>
                </c:pt>
              </c:numCache>
            </c:numRef>
          </c:val>
          <c:smooth val="0"/>
          <c:extLst>
            <c:ext xmlns:c16="http://schemas.microsoft.com/office/drawing/2014/chart" uri="{C3380CC4-5D6E-409C-BE32-E72D297353CC}">
              <c16:uniqueId val="{00000001-65B4-47F9-9B97-64FB989C8893}"/>
            </c:ext>
          </c:extLst>
        </c:ser>
        <c:ser>
          <c:idx val="3"/>
          <c:order val="3"/>
          <c:tx>
            <c:strRef>
              <c:f>Projections!$A$423</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Projections!$R$424:$BM$424</c15:sqref>
                  </c15:fullRef>
                </c:ext>
              </c:extLst>
              <c:f>Projections!$R$424:$BC$424</c:f>
              <c:numCache>
                <c:formatCode>#,##0</c:formatCode>
                <c:ptCount val="38"/>
                <c:pt idx="0">
                  <c:v>0.2235625</c:v>
                </c:pt>
                <c:pt idx="1">
                  <c:v>0.44712499999999999</c:v>
                </c:pt>
                <c:pt idx="2">
                  <c:v>0.89424999999999999</c:v>
                </c:pt>
                <c:pt idx="3">
                  <c:v>1.7885</c:v>
                </c:pt>
                <c:pt idx="4">
                  <c:v>3.577</c:v>
                </c:pt>
                <c:pt idx="5">
                  <c:v>7.1539999999999999</c:v>
                </c:pt>
                <c:pt idx="6">
                  <c:v>14.308</c:v>
                </c:pt>
                <c:pt idx="7">
                  <c:v>28.616</c:v>
                </c:pt>
                <c:pt idx="8">
                  <c:v>57.231999999999999</c:v>
                </c:pt>
                <c:pt idx="9">
                  <c:v>114.464</c:v>
                </c:pt>
                <c:pt idx="10">
                  <c:v>228.928</c:v>
                </c:pt>
                <c:pt idx="11">
                  <c:v>457.85599999999999</c:v>
                </c:pt>
                <c:pt idx="12">
                  <c:v>915.71199999999999</c:v>
                </c:pt>
                <c:pt idx="13">
                  <c:v>1831.424</c:v>
                </c:pt>
                <c:pt idx="14">
                  <c:v>3662.848</c:v>
                </c:pt>
                <c:pt idx="15">
                  <c:v>4578.5599999999995</c:v>
                </c:pt>
                <c:pt idx="16">
                  <c:v>5494.2719999999999</c:v>
                </c:pt>
                <c:pt idx="17">
                  <c:v>6409.9839999999995</c:v>
                </c:pt>
                <c:pt idx="18">
                  <c:v>7325.6959999999999</c:v>
                </c:pt>
                <c:pt idx="19">
                  <c:v>9376.890879999999</c:v>
                </c:pt>
                <c:pt idx="20">
                  <c:v>10988.544</c:v>
                </c:pt>
                <c:pt idx="21">
                  <c:v>12819.967999999999</c:v>
                </c:pt>
                <c:pt idx="22">
                  <c:v>14651.392</c:v>
                </c:pt>
                <c:pt idx="23">
                  <c:v>17581.670399999999</c:v>
                </c:pt>
                <c:pt idx="24">
                  <c:v>20511.948800000002</c:v>
                </c:pt>
                <c:pt idx="25">
                  <c:v>23442.227200000001</c:v>
                </c:pt>
                <c:pt idx="26">
                  <c:v>26372.5056</c:v>
                </c:pt>
                <c:pt idx="27">
                  <c:v>29302.784</c:v>
                </c:pt>
                <c:pt idx="28">
                  <c:v>35163.340799999998</c:v>
                </c:pt>
                <c:pt idx="29">
                  <c:v>41023.897600000004</c:v>
                </c:pt>
                <c:pt idx="30">
                  <c:v>46884.454400000002</c:v>
                </c:pt>
                <c:pt idx="31">
                  <c:v>52745.011200000001</c:v>
                </c:pt>
                <c:pt idx="32">
                  <c:v>58605.567999999999</c:v>
                </c:pt>
                <c:pt idx="33">
                  <c:v>70326.681599999996</c:v>
                </c:pt>
                <c:pt idx="34">
                  <c:v>82047.795200000008</c:v>
                </c:pt>
                <c:pt idx="35">
                  <c:v>93768.908800000005</c:v>
                </c:pt>
                <c:pt idx="36">
                  <c:v>105490.0224</c:v>
                </c:pt>
                <c:pt idx="37">
                  <c:v>117211.136</c:v>
                </c:pt>
              </c:numCache>
            </c:numRef>
          </c:val>
          <c:smooth val="0"/>
          <c:extLst>
            <c:ext xmlns:c16="http://schemas.microsoft.com/office/drawing/2014/chart" uri="{C3380CC4-5D6E-409C-BE32-E72D297353CC}">
              <c16:uniqueId val="{00000003-65B4-47F9-9B97-64FB989C8893}"/>
            </c:ext>
          </c:extLst>
        </c:ser>
        <c:ser>
          <c:idx val="9"/>
          <c:order val="4"/>
          <c:tx>
            <c:strRef>
              <c:f>Projections!$A$429</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44139.4</c:v>
                </c:pt>
                <c:pt idx="34">
                  <c:v>44187</c:v>
                </c:pt>
                <c:pt idx="35">
                  <c:v>44221</c:v>
                </c:pt>
                <c:pt idx="36">
                  <c:v>44255</c:v>
                </c:pt>
                <c:pt idx="37">
                  <c:v>44289</c:v>
                </c:pt>
              </c:numCache>
            </c:numRef>
          </c:cat>
          <c:val>
            <c:numRef>
              <c:extLst>
                <c:ext xmlns:c15="http://schemas.microsoft.com/office/drawing/2012/chart" uri="{02D57815-91ED-43cb-92C2-25804820EDAC}">
                  <c15:fullRef>
                    <c15:sqref>Projections!$R$430:$BM$430</c15:sqref>
                  </c15:fullRef>
                </c:ext>
              </c:extLst>
              <c:f>Projections!$R$430:$BC$430</c:f>
              <c:numCache>
                <c:formatCode>#,##0</c:formatCode>
                <c:ptCount val="38"/>
                <c:pt idx="0">
                  <c:v>7.6824999999999992E-3</c:v>
                </c:pt>
                <c:pt idx="1">
                  <c:v>1.5364999999999998E-2</c:v>
                </c:pt>
                <c:pt idx="2">
                  <c:v>3.0729999999999997E-2</c:v>
                </c:pt>
                <c:pt idx="3">
                  <c:v>6.1459999999999994E-2</c:v>
                </c:pt>
                <c:pt idx="4">
                  <c:v>0.12291999999999999</c:v>
                </c:pt>
                <c:pt idx="5">
                  <c:v>0.24583999999999998</c:v>
                </c:pt>
                <c:pt idx="6">
                  <c:v>0.49167999999999995</c:v>
                </c:pt>
                <c:pt idx="7">
                  <c:v>0.9833599999999999</c:v>
                </c:pt>
                <c:pt idx="8">
                  <c:v>1.9667199999999998</c:v>
                </c:pt>
                <c:pt idx="9">
                  <c:v>3.9334399999999996</c:v>
                </c:pt>
                <c:pt idx="10">
                  <c:v>7.8668799999999992</c:v>
                </c:pt>
                <c:pt idx="11">
                  <c:v>15.733759999999998</c:v>
                </c:pt>
                <c:pt idx="12">
                  <c:v>31.467519999999997</c:v>
                </c:pt>
                <c:pt idx="13">
                  <c:v>62.935039999999994</c:v>
                </c:pt>
                <c:pt idx="14">
                  <c:v>125.87007999999999</c:v>
                </c:pt>
                <c:pt idx="15">
                  <c:v>157.33760000000001</c:v>
                </c:pt>
                <c:pt idx="16">
                  <c:v>188.80512000000002</c:v>
                </c:pt>
                <c:pt idx="17">
                  <c:v>220.27264</c:v>
                </c:pt>
                <c:pt idx="18">
                  <c:v>251.74015999999997</c:v>
                </c:pt>
                <c:pt idx="19">
                  <c:v>322.22740479999999</c:v>
                </c:pt>
                <c:pt idx="20">
                  <c:v>377.61024000000003</c:v>
                </c:pt>
                <c:pt idx="21">
                  <c:v>440.54527999999999</c:v>
                </c:pt>
                <c:pt idx="22">
                  <c:v>503.48031999999995</c:v>
                </c:pt>
                <c:pt idx="23">
                  <c:v>604.17638399999998</c:v>
                </c:pt>
                <c:pt idx="24">
                  <c:v>704.87244799999996</c:v>
                </c:pt>
                <c:pt idx="25">
                  <c:v>805.56851200000006</c:v>
                </c:pt>
                <c:pt idx="26">
                  <c:v>906.26457599999992</c:v>
                </c:pt>
                <c:pt idx="27">
                  <c:v>1006.9606399999999</c:v>
                </c:pt>
                <c:pt idx="28">
                  <c:v>1208.352768</c:v>
                </c:pt>
                <c:pt idx="29">
                  <c:v>1409.7448959999999</c:v>
                </c:pt>
                <c:pt idx="30">
                  <c:v>1611.1370240000001</c:v>
                </c:pt>
                <c:pt idx="31">
                  <c:v>1812.5291519999998</c:v>
                </c:pt>
                <c:pt idx="32">
                  <c:v>2013.9212799999998</c:v>
                </c:pt>
                <c:pt idx="33">
                  <c:v>2416.7055359999999</c:v>
                </c:pt>
                <c:pt idx="34">
                  <c:v>2819.4897919999999</c:v>
                </c:pt>
                <c:pt idx="35">
                  <c:v>3222.2740480000002</c:v>
                </c:pt>
                <c:pt idx="36">
                  <c:v>3625.0583039999997</c:v>
                </c:pt>
                <c:pt idx="37">
                  <c:v>4027.8425599999996</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67</xdr:col>
      <xdr:colOff>9526</xdr:colOff>
      <xdr:row>365</xdr:row>
      <xdr:rowOff>104775</xdr:rowOff>
    </xdr:from>
    <xdr:to>
      <xdr:col>78</xdr:col>
      <xdr:colOff>600075</xdr:colOff>
      <xdr:row>396</xdr:row>
      <xdr:rowOff>104775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66</xdr:col>
      <xdr:colOff>736455</xdr:colOff>
      <xdr:row>436</xdr:row>
      <xdr:rowOff>120114</xdr:rowOff>
    </xdr:from>
    <xdr:to>
      <xdr:col>79</xdr:col>
      <xdr:colOff>19050</xdr:colOff>
      <xdr:row>459</xdr:row>
      <xdr:rowOff>129639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67</xdr:col>
      <xdr:colOff>3031</xdr:colOff>
      <xdr:row>460</xdr:row>
      <xdr:rowOff>124876</xdr:rowOff>
    </xdr:from>
    <xdr:to>
      <xdr:col>79</xdr:col>
      <xdr:colOff>28575</xdr:colOff>
      <xdr:row>477</xdr:row>
      <xdr:rowOff>101064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66</xdr:col>
      <xdr:colOff>741217</xdr:colOff>
      <xdr:row>478</xdr:row>
      <xdr:rowOff>105825</xdr:rowOff>
    </xdr:from>
    <xdr:to>
      <xdr:col>79</xdr:col>
      <xdr:colOff>38099</xdr:colOff>
      <xdr:row>494</xdr:row>
      <xdr:rowOff>101064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66</xdr:col>
      <xdr:colOff>741219</xdr:colOff>
      <xdr:row>495</xdr:row>
      <xdr:rowOff>124875</xdr:rowOff>
    </xdr:from>
    <xdr:to>
      <xdr:col>79</xdr:col>
      <xdr:colOff>19050</xdr:colOff>
      <xdr:row>514</xdr:row>
      <xdr:rowOff>120114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66</xdr:col>
      <xdr:colOff>738187</xdr:colOff>
      <xdr:row>398</xdr:row>
      <xdr:rowOff>119062</xdr:rowOff>
    </xdr:from>
    <xdr:to>
      <xdr:col>79</xdr:col>
      <xdr:colOff>19050</xdr:colOff>
      <xdr:row>418</xdr:row>
      <xdr:rowOff>118382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66</xdr:col>
      <xdr:colOff>740228</xdr:colOff>
      <xdr:row>419</xdr:row>
      <xdr:rowOff>117021</xdr:rowOff>
    </xdr:from>
    <xdr:to>
      <xdr:col>78</xdr:col>
      <xdr:colOff>590550</xdr:colOff>
      <xdr:row>435</xdr:row>
      <xdr:rowOff>100692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80</xdr:col>
      <xdr:colOff>1</xdr:colOff>
      <xdr:row>365</xdr:row>
      <xdr:rowOff>104775</xdr:rowOff>
    </xdr:from>
    <xdr:to>
      <xdr:col>92</xdr:col>
      <xdr:colOff>161925</xdr:colOff>
      <xdr:row>396</xdr:row>
      <xdr:rowOff>104775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79</xdr:col>
      <xdr:colOff>607867</xdr:colOff>
      <xdr:row>436</xdr:row>
      <xdr:rowOff>101064</xdr:rowOff>
    </xdr:from>
    <xdr:to>
      <xdr:col>92</xdr:col>
      <xdr:colOff>209550</xdr:colOff>
      <xdr:row>459</xdr:row>
      <xdr:rowOff>110589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79</xdr:col>
      <xdr:colOff>598343</xdr:colOff>
      <xdr:row>460</xdr:row>
      <xdr:rowOff>115351</xdr:rowOff>
    </xdr:from>
    <xdr:to>
      <xdr:col>92</xdr:col>
      <xdr:colOff>200025</xdr:colOff>
      <xdr:row>477</xdr:row>
      <xdr:rowOff>91539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80</xdr:col>
      <xdr:colOff>3029</xdr:colOff>
      <xdr:row>478</xdr:row>
      <xdr:rowOff>105825</xdr:rowOff>
    </xdr:from>
    <xdr:to>
      <xdr:col>92</xdr:col>
      <xdr:colOff>219074</xdr:colOff>
      <xdr:row>494</xdr:row>
      <xdr:rowOff>101064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80</xdr:col>
      <xdr:colOff>22081</xdr:colOff>
      <xdr:row>495</xdr:row>
      <xdr:rowOff>124875</xdr:rowOff>
    </xdr:from>
    <xdr:to>
      <xdr:col>92</xdr:col>
      <xdr:colOff>228600</xdr:colOff>
      <xdr:row>514</xdr:row>
      <xdr:rowOff>120114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79</xdr:col>
      <xdr:colOff>600074</xdr:colOff>
      <xdr:row>398</xdr:row>
      <xdr:rowOff>128587</xdr:rowOff>
    </xdr:from>
    <xdr:to>
      <xdr:col>92</xdr:col>
      <xdr:colOff>200025</xdr:colOff>
      <xdr:row>418</xdr:row>
      <xdr:rowOff>127907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79</xdr:col>
      <xdr:colOff>606878</xdr:colOff>
      <xdr:row>419</xdr:row>
      <xdr:rowOff>117021</xdr:rowOff>
    </xdr:from>
    <xdr:to>
      <xdr:col>92</xdr:col>
      <xdr:colOff>161925</xdr:colOff>
      <xdr:row>435</xdr:row>
      <xdr:rowOff>100692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cmmid.github.io/topics/covid19/severity/global_cfr_estimates.html" TargetMode="External"/><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cmmid.github.io/topics/covid19/global_cfr_estimates.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en.wikipedia.org/wiki/Demographics_of_the_United_States"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cdc.gov/coronavirus/2019-ncov/need-extra-precautions/racial-ethnic-minorities.html" TargetMode="External"/><Relationship Id="rId2" Type="http://schemas.openxmlformats.org/officeDocument/2006/relationships/hyperlink" Target="https://www.cdc.gov/coronavirus/2019-ncov/need-extra-precautions/evidence-table.html" TargetMode="External"/><Relationship Id="rId1" Type="http://schemas.openxmlformats.org/officeDocument/2006/relationships/hyperlink" Target="https://www.cdc.gov/coronavirus/2019-ncov/need-extra-precautions/older-adults.html"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cdc.gov/flu/pandemic-resources/basics/past-pandemics.html" TargetMode="External"/><Relationship Id="rId2" Type="http://schemas.openxmlformats.org/officeDocument/2006/relationships/hyperlink" Target="https://www.cdc.gov/nchs/fastats/deaths.htm" TargetMode="External"/><Relationship Id="rId1" Type="http://schemas.openxmlformats.org/officeDocument/2006/relationships/hyperlink" Target="https://en.wikipedia.org/wiki/United_States_military_casualties_of_war" TargetMode="External"/><Relationship Id="rId5" Type="http://schemas.openxmlformats.org/officeDocument/2006/relationships/printerSettings" Target="../printerSettings/printerSettings4.bin"/><Relationship Id="rId4" Type="http://schemas.openxmlformats.org/officeDocument/2006/relationships/hyperlink" Target="https://en.wikipedia.org/wiki/List_of_disasters_in_the_United_States_by_death_tol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C31" sqref="C31"/>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533</v>
      </c>
    </row>
    <row r="3" spans="2:2" x14ac:dyDescent="0.25">
      <c r="B3" t="s">
        <v>52</v>
      </c>
    </row>
    <row r="4" spans="2:2" x14ac:dyDescent="0.25">
      <c r="B4" t="s">
        <v>61</v>
      </c>
    </row>
    <row r="5" spans="2:2" x14ac:dyDescent="0.25">
      <c r="B5" t="s">
        <v>63</v>
      </c>
    </row>
    <row r="6" spans="2:2" x14ac:dyDescent="0.25">
      <c r="B6" t="s">
        <v>64</v>
      </c>
    </row>
    <row r="7" spans="2:2" x14ac:dyDescent="0.25">
      <c r="B7" t="s">
        <v>53</v>
      </c>
    </row>
    <row r="11" spans="2:2" x14ac:dyDescent="0.25">
      <c r="B11" t="s">
        <v>71</v>
      </c>
    </row>
    <row r="12" spans="2:2" x14ac:dyDescent="0.25">
      <c r="B12" t="s">
        <v>84</v>
      </c>
    </row>
    <row r="13" spans="2:2" x14ac:dyDescent="0.25">
      <c r="B13" t="s">
        <v>86</v>
      </c>
    </row>
    <row r="14" spans="2:2" x14ac:dyDescent="0.25">
      <c r="B14" t="s">
        <v>85</v>
      </c>
    </row>
    <row r="15" spans="2:2" x14ac:dyDescent="0.25">
      <c r="B15" t="s">
        <v>92</v>
      </c>
    </row>
    <row r="17" spans="1:43" x14ac:dyDescent="0.25">
      <c r="A17" t="s">
        <v>90</v>
      </c>
      <c r="B17" s="101">
        <f>(AP25/E31) /Projections!B354</f>
        <v>71.428571428571416</v>
      </c>
      <c r="C17" s="102"/>
      <c r="D17" s="103"/>
      <c r="E17" s="97">
        <f>B17*2</f>
        <v>142.85714285714283</v>
      </c>
      <c r="F17" s="102"/>
      <c r="G17" s="97"/>
      <c r="H17" s="97">
        <f>E17*2</f>
        <v>285.71428571428567</v>
      </c>
      <c r="I17" s="102"/>
      <c r="J17" s="103"/>
      <c r="K17" s="94">
        <f>H17*2</f>
        <v>571.42857142857133</v>
      </c>
      <c r="L17" s="92"/>
      <c r="M17" s="93"/>
      <c r="N17" s="94">
        <f>K17*2</f>
        <v>1142.8571428571427</v>
      </c>
      <c r="O17" s="92"/>
      <c r="P17" s="93"/>
      <c r="Q17" s="94">
        <f>N17*2</f>
        <v>2285.7142857142853</v>
      </c>
      <c r="R17" s="92"/>
      <c r="S17" s="93"/>
      <c r="T17" s="94">
        <f>Q17*2</f>
        <v>4571.4285714285706</v>
      </c>
      <c r="U17" s="92"/>
      <c r="V17" s="93"/>
      <c r="W17" s="94">
        <f>T17*2</f>
        <v>9142.8571428571413</v>
      </c>
      <c r="X17" s="92"/>
      <c r="Y17" s="93"/>
      <c r="Z17" s="94">
        <f>W17*2</f>
        <v>18285.714285714283</v>
      </c>
      <c r="AA17" s="92"/>
      <c r="AB17" s="93"/>
      <c r="AC17" s="94">
        <f>Z17*2</f>
        <v>36571.428571428565</v>
      </c>
      <c r="AD17" s="92"/>
      <c r="AE17" s="93"/>
      <c r="AF17" s="94">
        <f>AC17*2</f>
        <v>73142.85714285713</v>
      </c>
      <c r="AG17" s="92"/>
      <c r="AH17" s="93"/>
      <c r="AI17" s="94">
        <f>AF17*2</f>
        <v>146285.71428571426</v>
      </c>
      <c r="AJ17" s="92"/>
      <c r="AK17" s="93"/>
      <c r="AL17" s="94">
        <f>AI17*2</f>
        <v>292571.42857142852</v>
      </c>
      <c r="AM17" s="92"/>
      <c r="AN17" s="93"/>
      <c r="AO17" s="94">
        <f>AL17*2</f>
        <v>585142.85714285704</v>
      </c>
      <c r="AP17" s="97"/>
      <c r="AQ17" t="s">
        <v>90</v>
      </c>
    </row>
    <row r="18" spans="1:43" s="69" customFormat="1" x14ac:dyDescent="0.25">
      <c r="A18" s="69" t="s">
        <v>162</v>
      </c>
      <c r="B18" s="87">
        <f>B17*$E$34</f>
        <v>29.761904761904756</v>
      </c>
      <c r="C18" s="104"/>
      <c r="D18" s="104"/>
      <c r="E18" s="104">
        <f>E17*$E$34</f>
        <v>59.523809523809511</v>
      </c>
      <c r="F18" s="104"/>
      <c r="G18" s="33"/>
      <c r="H18" s="104">
        <f>H17*$E$34</f>
        <v>119.04761904761902</v>
      </c>
      <c r="I18" s="104"/>
      <c r="J18" s="104"/>
      <c r="K18" s="104">
        <f>K17*$E$34</f>
        <v>238.09523809523805</v>
      </c>
      <c r="L18" s="104"/>
      <c r="M18" s="104"/>
      <c r="N18" s="104">
        <f>N17*$E$34</f>
        <v>476.19047619047609</v>
      </c>
      <c r="O18" s="104"/>
      <c r="P18" s="104"/>
      <c r="Q18" s="104">
        <f>Q17*$E$34</f>
        <v>952.38095238095218</v>
      </c>
      <c r="R18" s="104"/>
      <c r="S18" s="104"/>
      <c r="T18" s="104">
        <f>T17*$E$34</f>
        <v>1904.7619047619044</v>
      </c>
      <c r="U18" s="104"/>
      <c r="V18" s="104"/>
      <c r="W18" s="104">
        <f>W17*$E$34</f>
        <v>3809.5238095238087</v>
      </c>
      <c r="X18" s="104"/>
      <c r="Y18" s="104"/>
      <c r="Z18" s="104">
        <f>Z17*$E$34</f>
        <v>7619.0476190476174</v>
      </c>
      <c r="AA18" s="104"/>
      <c r="AB18" s="104"/>
      <c r="AC18" s="104">
        <f>AC17*$E$34</f>
        <v>15238.095238095235</v>
      </c>
      <c r="AD18" s="104"/>
      <c r="AE18" s="104"/>
      <c r="AF18" s="104">
        <f>AF17*$E$34</f>
        <v>30476.19047619047</v>
      </c>
      <c r="AG18" s="104"/>
      <c r="AH18" s="104"/>
      <c r="AI18" s="104">
        <f>AI17*$E$34</f>
        <v>60952.38095238094</v>
      </c>
      <c r="AJ18" s="104"/>
      <c r="AK18" s="104"/>
      <c r="AL18" s="104">
        <f>AL17*$E$34</f>
        <v>121904.76190476188</v>
      </c>
      <c r="AM18" s="104"/>
      <c r="AN18" s="104"/>
      <c r="AO18" s="104">
        <f>AO17*$E$34</f>
        <v>243809.52380952376</v>
      </c>
      <c r="AP18" s="33"/>
      <c r="AQ18" s="69" t="s">
        <v>162</v>
      </c>
    </row>
    <row r="19" spans="1:43" s="69" customFormat="1" x14ac:dyDescent="0.25">
      <c r="A19" s="47" t="s">
        <v>164</v>
      </c>
      <c r="B19" s="85">
        <f>B18</f>
        <v>29.761904761904756</v>
      </c>
      <c r="C19" s="86"/>
      <c r="D19" s="86"/>
      <c r="E19" s="86">
        <f>E18</f>
        <v>59.523809523809511</v>
      </c>
      <c r="F19" s="86"/>
      <c r="G19" s="34"/>
      <c r="H19" s="86">
        <f>H18</f>
        <v>119.04761904761902</v>
      </c>
      <c r="I19" s="86"/>
      <c r="J19" s="86"/>
      <c r="K19" s="86">
        <f>K18</f>
        <v>238.09523809523805</v>
      </c>
      <c r="L19" s="86"/>
      <c r="M19" s="86"/>
      <c r="N19" s="86">
        <f>N18</f>
        <v>476.19047619047609</v>
      </c>
      <c r="O19" s="86"/>
      <c r="P19" s="86"/>
      <c r="Q19" s="86">
        <f>Q18</f>
        <v>952.38095238095218</v>
      </c>
      <c r="R19" s="86"/>
      <c r="S19" s="86"/>
      <c r="T19" s="86">
        <f>T18</f>
        <v>1904.7619047619044</v>
      </c>
      <c r="U19" s="86"/>
      <c r="V19" s="86"/>
      <c r="W19" s="120">
        <f>W18-B18</f>
        <v>3779.7619047619041</v>
      </c>
      <c r="X19" s="120"/>
      <c r="Y19" s="120"/>
      <c r="Z19" s="120">
        <f>Z18-E18</f>
        <v>7559.5238095238083</v>
      </c>
      <c r="AA19" s="120"/>
      <c r="AB19" s="120"/>
      <c r="AC19" s="120">
        <f>AC18-H18</f>
        <v>15119.047619047617</v>
      </c>
      <c r="AD19" s="120"/>
      <c r="AE19" s="120"/>
      <c r="AF19" s="120">
        <f>AF18-K18</f>
        <v>30238.095238095233</v>
      </c>
      <c r="AG19" s="120"/>
      <c r="AH19" s="120"/>
      <c r="AI19" s="120">
        <f>AI18-N18</f>
        <v>60476.190476190466</v>
      </c>
      <c r="AJ19" s="120"/>
      <c r="AK19" s="120"/>
      <c r="AL19" s="120">
        <f>AL18-Q18</f>
        <v>120952.38095238093</v>
      </c>
      <c r="AM19" s="120"/>
      <c r="AN19" s="120"/>
      <c r="AO19" s="120">
        <f>AO18-T18</f>
        <v>241904.76190476186</v>
      </c>
      <c r="AP19" s="121"/>
      <c r="AQ19" s="47" t="s">
        <v>164</v>
      </c>
    </row>
    <row r="20" spans="1:43" s="69" customFormat="1" x14ac:dyDescent="0.25">
      <c r="A20" t="s">
        <v>91</v>
      </c>
      <c r="B20" s="87"/>
      <c r="C20" s="104"/>
      <c r="D20" s="104"/>
      <c r="E20" s="104"/>
      <c r="F20" s="104"/>
      <c r="G20" s="33"/>
      <c r="H20" s="105"/>
      <c r="I20" s="106"/>
      <c r="J20" s="107"/>
      <c r="K20" s="130">
        <f>B17*(1-$E$34)</f>
        <v>41.666666666666664</v>
      </c>
      <c r="L20" s="127"/>
      <c r="M20" s="128"/>
      <c r="N20" s="129">
        <f>E17*(1-$E$34)</f>
        <v>83.333333333333329</v>
      </c>
      <c r="O20" s="127"/>
      <c r="P20" s="128"/>
      <c r="Q20" s="129">
        <f>H17*(1-$E$34)</f>
        <v>166.66666666666666</v>
      </c>
      <c r="R20" s="127"/>
      <c r="S20" s="128"/>
      <c r="T20" s="129">
        <f>K17*(1-$E$34)</f>
        <v>333.33333333333331</v>
      </c>
      <c r="U20" s="127"/>
      <c r="V20" s="128"/>
      <c r="W20" s="129">
        <f>N17*(1-$E$34)</f>
        <v>666.66666666666663</v>
      </c>
      <c r="X20" s="127"/>
      <c r="Y20" s="128"/>
      <c r="Z20" s="129">
        <f>Q17*(1-$E$34)</f>
        <v>1333.3333333333333</v>
      </c>
      <c r="AA20" s="127"/>
      <c r="AB20" s="128"/>
      <c r="AC20" s="129">
        <f>T17*(1-$E$34)</f>
        <v>2666.6666666666665</v>
      </c>
      <c r="AD20" s="127"/>
      <c r="AE20" s="128"/>
      <c r="AF20" s="129">
        <f>W17*(1-$E$34)</f>
        <v>5333.333333333333</v>
      </c>
      <c r="AG20" s="127"/>
      <c r="AH20" s="128"/>
      <c r="AI20" s="129">
        <f>Z17*(1-$E$34)</f>
        <v>10666.666666666666</v>
      </c>
      <c r="AJ20" s="127"/>
      <c r="AK20" s="128"/>
      <c r="AL20" s="129">
        <f>AC17*(1-$E$34)</f>
        <v>21333.333333333332</v>
      </c>
      <c r="AM20" s="127"/>
      <c r="AN20" s="128"/>
      <c r="AO20" s="129">
        <f>AF17*(1-$E$34)</f>
        <v>42666.666666666664</v>
      </c>
      <c r="AP20" s="79"/>
      <c r="AQ20" t="s">
        <v>91</v>
      </c>
    </row>
    <row r="21" spans="1:43" s="69" customFormat="1" x14ac:dyDescent="0.25">
      <c r="A21" s="69" t="s">
        <v>72</v>
      </c>
      <c r="B21" s="80"/>
      <c r="C21" s="81"/>
      <c r="D21" s="81"/>
      <c r="E21" s="81"/>
      <c r="F21" s="81"/>
      <c r="G21" s="82"/>
      <c r="H21" s="122">
        <f>B17-B18</f>
        <v>41.666666666666657</v>
      </c>
      <c r="I21" s="122"/>
      <c r="J21" s="122"/>
      <c r="K21" s="122">
        <f>E17-E18</f>
        <v>83.333333333333314</v>
      </c>
      <c r="L21" s="122"/>
      <c r="M21" s="122"/>
      <c r="N21" s="122">
        <f>(H17-H18)*$E$35</f>
        <v>134.99999999999997</v>
      </c>
      <c r="O21" s="122"/>
      <c r="P21" s="122"/>
      <c r="Q21" s="122">
        <f>(K17-K18)*$E$35</f>
        <v>269.99999999999994</v>
      </c>
      <c r="R21" s="122"/>
      <c r="S21" s="122"/>
      <c r="T21" s="122">
        <f>(N17-N18)*$E$35</f>
        <v>539.99999999999989</v>
      </c>
      <c r="U21" s="122"/>
      <c r="V21" s="122"/>
      <c r="W21" s="122">
        <f>((Q17-Q18)*$E$35)-(H21*$E$35)</f>
        <v>1046.2499999999998</v>
      </c>
      <c r="X21" s="122"/>
      <c r="Y21" s="122"/>
      <c r="Z21" s="122">
        <f>((T17-T18)*$E$35)-(K21*$E$35)</f>
        <v>2092.4999999999995</v>
      </c>
      <c r="AA21" s="122"/>
      <c r="AB21" s="122"/>
      <c r="AC21" s="122">
        <f>((W17-W18)*$E$35)-N21</f>
        <v>4184.9999999999991</v>
      </c>
      <c r="AD21" s="122"/>
      <c r="AE21" s="122"/>
      <c r="AF21" s="122">
        <f>((Z17-Z18)*$E$35)-Q21</f>
        <v>8369.9999999999982</v>
      </c>
      <c r="AG21" s="122"/>
      <c r="AH21" s="122"/>
      <c r="AI21" s="122">
        <f>((AC17-AC18)*$E$35)-T21</f>
        <v>16739.999999999996</v>
      </c>
      <c r="AJ21" s="122"/>
      <c r="AK21" s="122"/>
      <c r="AL21" s="122">
        <f>((AF17-AF18)*$E$35)-W21</f>
        <v>33513.749999999993</v>
      </c>
      <c r="AM21" s="122"/>
      <c r="AN21" s="122"/>
      <c r="AO21" s="122">
        <f>((AI17-AI18)*$E$35)-Z21</f>
        <v>67027.499999999985</v>
      </c>
      <c r="AP21" s="123"/>
      <c r="AQ21" s="69" t="s">
        <v>72</v>
      </c>
    </row>
    <row r="22" spans="1:43" s="69" customFormat="1" x14ac:dyDescent="0.25">
      <c r="A22" s="69" t="s">
        <v>73</v>
      </c>
      <c r="B22" s="80"/>
      <c r="C22" s="81"/>
      <c r="D22" s="81"/>
      <c r="E22" s="81"/>
      <c r="F22" s="81"/>
      <c r="G22" s="82"/>
      <c r="H22" s="106"/>
      <c r="I22" s="106"/>
      <c r="J22" s="106"/>
      <c r="K22" s="106"/>
      <c r="L22" s="106"/>
      <c r="M22" s="107"/>
      <c r="N22" s="124">
        <f>(H17-H18)*($E$36+$E$37)</f>
        <v>31.666666666666661</v>
      </c>
      <c r="O22" s="124"/>
      <c r="P22" s="124"/>
      <c r="Q22" s="124">
        <f>(K17-K18)*($E$36+$E$37)</f>
        <v>63.333333333333321</v>
      </c>
      <c r="R22" s="124"/>
      <c r="S22" s="124"/>
      <c r="T22" s="124">
        <f>(N17-N18)*$E$36</f>
        <v>93.333333333333314</v>
      </c>
      <c r="U22" s="124"/>
      <c r="V22" s="124"/>
      <c r="W22" s="124">
        <f>(Q17-Q18)*$E$36</f>
        <v>186.66666666666663</v>
      </c>
      <c r="X22" s="124"/>
      <c r="Y22" s="124"/>
      <c r="Z22" s="124">
        <f>(T17-T18)*$E$36</f>
        <v>373.33333333333326</v>
      </c>
      <c r="AA22" s="124"/>
      <c r="AB22" s="124"/>
      <c r="AC22" s="124">
        <f>(W17-W18)*$E$36</f>
        <v>746.66666666666652</v>
      </c>
      <c r="AD22" s="124"/>
      <c r="AE22" s="124"/>
      <c r="AF22" s="124">
        <f>(Z17-Z18)*$E$36</f>
        <v>1493.333333333333</v>
      </c>
      <c r="AG22" s="124"/>
      <c r="AH22" s="124"/>
      <c r="AI22" s="124">
        <f>(AC17-AC18)*$E$36</f>
        <v>2986.6666666666661</v>
      </c>
      <c r="AJ22" s="124"/>
      <c r="AK22" s="124"/>
      <c r="AL22" s="124">
        <f>(AF17-AF18)*$E$36</f>
        <v>5973.3333333333321</v>
      </c>
      <c r="AM22" s="124"/>
      <c r="AN22" s="124"/>
      <c r="AO22" s="124">
        <f>(AI17-AI18)*$E$36</f>
        <v>11946.666666666664</v>
      </c>
      <c r="AP22" s="125"/>
      <c r="AQ22" s="69" t="s">
        <v>73</v>
      </c>
    </row>
    <row r="23" spans="1:43" s="69" customFormat="1" x14ac:dyDescent="0.25">
      <c r="A23" s="47" t="s">
        <v>74</v>
      </c>
      <c r="B23" s="80"/>
      <c r="C23" s="81"/>
      <c r="D23" s="81"/>
      <c r="E23" s="81"/>
      <c r="F23" s="81"/>
      <c r="G23" s="82"/>
      <c r="H23" s="86"/>
      <c r="I23" s="86"/>
      <c r="J23" s="86"/>
      <c r="K23" s="86"/>
      <c r="L23" s="86"/>
      <c r="M23" s="86"/>
      <c r="N23" s="106"/>
      <c r="O23" s="106"/>
      <c r="P23" s="106"/>
      <c r="Q23" s="106"/>
      <c r="R23" s="106"/>
      <c r="S23" s="107"/>
      <c r="T23" s="40">
        <f>(N17-N18)*$E$37</f>
        <v>33.333333333333329</v>
      </c>
      <c r="U23" s="40"/>
      <c r="V23" s="40"/>
      <c r="W23" s="40">
        <f>(Q17-Q18)*$E$37</f>
        <v>66.666666666666657</v>
      </c>
      <c r="X23" s="40"/>
      <c r="Y23" s="40"/>
      <c r="Z23" s="40">
        <f>(T17-T18)*$E$37</f>
        <v>133.33333333333331</v>
      </c>
      <c r="AA23" s="40"/>
      <c r="AB23" s="40"/>
      <c r="AC23" s="40">
        <f>(W17-W18)*$E$37</f>
        <v>266.66666666666663</v>
      </c>
      <c r="AD23" s="40"/>
      <c r="AE23" s="40"/>
      <c r="AF23" s="40">
        <f>(Z17-Z18)*$E$37</f>
        <v>533.33333333333326</v>
      </c>
      <c r="AG23" s="40"/>
      <c r="AH23" s="40"/>
      <c r="AI23" s="40">
        <f>(AC17-AC18)*$E$37</f>
        <v>1066.6666666666665</v>
      </c>
      <c r="AJ23" s="40"/>
      <c r="AK23" s="40"/>
      <c r="AL23" s="40">
        <f>(AF17-AF18)*$E$37</f>
        <v>2133.333333333333</v>
      </c>
      <c r="AM23" s="40"/>
      <c r="AN23" s="40"/>
      <c r="AO23" s="40">
        <f>(AI17-AI18)*$E$37</f>
        <v>4266.6666666666661</v>
      </c>
      <c r="AP23" s="126"/>
      <c r="AQ23" s="47" t="s">
        <v>74</v>
      </c>
    </row>
    <row r="24" spans="1:43" s="69" customFormat="1" x14ac:dyDescent="0.25">
      <c r="A24" s="47" t="s">
        <v>79</v>
      </c>
      <c r="B24" s="85"/>
      <c r="C24" s="86"/>
      <c r="D24" s="86"/>
      <c r="E24" s="86"/>
      <c r="F24" s="86"/>
      <c r="G24" s="34"/>
      <c r="H24" s="86"/>
      <c r="I24" s="86"/>
      <c r="J24" s="86"/>
      <c r="K24" s="86"/>
      <c r="L24" s="86"/>
      <c r="M24" s="86"/>
      <c r="N24" s="86"/>
      <c r="O24" s="86"/>
      <c r="P24" s="86"/>
      <c r="Q24" s="86"/>
      <c r="R24" s="86"/>
      <c r="S24" s="86"/>
      <c r="T24" s="106"/>
      <c r="U24" s="107"/>
      <c r="V24" s="108">
        <f>H21*$E$35</f>
        <v>33.749999999999993</v>
      </c>
      <c r="W24" s="108"/>
      <c r="X24" s="108"/>
      <c r="Y24" s="108">
        <f>K21*$E$35</f>
        <v>67.499999999999986</v>
      </c>
      <c r="Z24" s="108"/>
      <c r="AA24" s="108"/>
      <c r="AB24" s="108">
        <f>N21</f>
        <v>134.99999999999997</v>
      </c>
      <c r="AC24" s="108"/>
      <c r="AD24" s="108"/>
      <c r="AE24" s="108">
        <f>Q21</f>
        <v>269.99999999999994</v>
      </c>
      <c r="AF24" s="108"/>
      <c r="AG24" s="108"/>
      <c r="AH24" s="108">
        <f>T21</f>
        <v>539.99999999999989</v>
      </c>
      <c r="AI24" s="108"/>
      <c r="AJ24" s="108"/>
      <c r="AK24" s="108">
        <f>W21</f>
        <v>1046.2499999999998</v>
      </c>
      <c r="AL24" s="108"/>
      <c r="AM24" s="108"/>
      <c r="AN24" s="108">
        <f>Z21</f>
        <v>2092.4999999999995</v>
      </c>
      <c r="AO24" s="108"/>
      <c r="AP24" s="109"/>
      <c r="AQ24" s="47" t="s">
        <v>79</v>
      </c>
    </row>
    <row r="25" spans="1:43" x14ac:dyDescent="0.25">
      <c r="A25" s="47" t="s">
        <v>68</v>
      </c>
      <c r="B25" s="98"/>
      <c r="C25" s="99"/>
      <c r="D25" s="99"/>
      <c r="E25" s="99"/>
      <c r="F25" s="99"/>
      <c r="G25" s="100"/>
      <c r="H25" s="91"/>
      <c r="I25" s="91"/>
      <c r="J25" s="91"/>
      <c r="K25" s="91"/>
      <c r="L25" s="91"/>
      <c r="M25" s="91"/>
      <c r="N25" s="91"/>
      <c r="O25" s="91"/>
      <c r="P25" s="91"/>
      <c r="Q25" s="91"/>
      <c r="R25" s="91"/>
      <c r="S25" s="91"/>
      <c r="T25" s="91"/>
      <c r="U25" s="91"/>
      <c r="V25" s="91"/>
      <c r="W25" s="91"/>
      <c r="X25" s="91"/>
      <c r="Y25" s="91"/>
      <c r="Z25" s="91"/>
      <c r="AA25" s="91"/>
      <c r="AB25" s="91"/>
      <c r="AC25" s="91"/>
      <c r="AD25" s="91"/>
      <c r="AE25" s="91"/>
      <c r="AF25" s="91"/>
      <c r="AG25" s="91"/>
      <c r="AH25" s="91"/>
      <c r="AI25" s="91"/>
      <c r="AJ25" s="91"/>
      <c r="AK25" s="91"/>
      <c r="AL25" s="91"/>
      <c r="AM25" s="91"/>
      <c r="AN25" s="91"/>
      <c r="AO25" s="91"/>
      <c r="AP25" s="131">
        <f>E32</f>
        <v>1</v>
      </c>
      <c r="AQ25" s="47" t="s">
        <v>68</v>
      </c>
    </row>
    <row r="26" spans="1:43" x14ac:dyDescent="0.25">
      <c r="A26" s="132" t="s">
        <v>95</v>
      </c>
      <c r="B26" s="88">
        <f t="shared" ref="B26:G26" ca="1" si="0">C26-1</f>
        <v>44110.838846527775</v>
      </c>
      <c r="C26" s="89">
        <f t="shared" ca="1" si="0"/>
        <v>44111.838846527775</v>
      </c>
      <c r="D26" s="89">
        <f t="shared" ca="1" si="0"/>
        <v>44112.838846527775</v>
      </c>
      <c r="E26" s="89">
        <f t="shared" ca="1" si="0"/>
        <v>44113.838846527775</v>
      </c>
      <c r="F26" s="89">
        <f t="shared" ca="1" si="0"/>
        <v>44114.838846527775</v>
      </c>
      <c r="G26" s="90">
        <f t="shared" ca="1" si="0"/>
        <v>44115.838846527775</v>
      </c>
      <c r="H26" s="89">
        <f t="shared" ref="H26:U26" ca="1" si="1">I26-1</f>
        <v>44116.838846527775</v>
      </c>
      <c r="I26" s="89">
        <f t="shared" ca="1" si="1"/>
        <v>44117.838846527775</v>
      </c>
      <c r="J26" s="89">
        <f t="shared" ca="1" si="1"/>
        <v>44118.838846527775</v>
      </c>
      <c r="K26" s="89">
        <f t="shared" ca="1" si="1"/>
        <v>44119.838846527775</v>
      </c>
      <c r="L26" s="89">
        <f t="shared" ca="1" si="1"/>
        <v>44120.838846527775</v>
      </c>
      <c r="M26" s="89">
        <f t="shared" ca="1" si="1"/>
        <v>44121.838846527775</v>
      </c>
      <c r="N26" s="90">
        <f t="shared" ca="1" si="1"/>
        <v>44122.838846527775</v>
      </c>
      <c r="O26" s="88">
        <f t="shared" ca="1" si="1"/>
        <v>44123.838846527775</v>
      </c>
      <c r="P26" s="89">
        <f t="shared" ca="1" si="1"/>
        <v>44124.838846527775</v>
      </c>
      <c r="Q26" s="89">
        <f t="shared" ca="1" si="1"/>
        <v>44125.838846527775</v>
      </c>
      <c r="R26" s="89">
        <f t="shared" ca="1" si="1"/>
        <v>44126.838846527775</v>
      </c>
      <c r="S26" s="89">
        <f t="shared" ca="1" si="1"/>
        <v>44127.838846527775</v>
      </c>
      <c r="T26" s="89">
        <f t="shared" ca="1" si="1"/>
        <v>44128.838846527775</v>
      </c>
      <c r="U26" s="90">
        <f t="shared" ca="1" si="1"/>
        <v>44129.838846527775</v>
      </c>
      <c r="V26" s="88">
        <f t="shared" ref="V26:AN26" ca="1" si="2">W26-1</f>
        <v>44130.838846527775</v>
      </c>
      <c r="W26" s="89">
        <f t="shared" ca="1" si="2"/>
        <v>44131.838846527775</v>
      </c>
      <c r="X26" s="89">
        <f t="shared" ca="1" si="2"/>
        <v>44132.838846527775</v>
      </c>
      <c r="Y26" s="89">
        <f t="shared" ca="1" si="2"/>
        <v>44133.838846527775</v>
      </c>
      <c r="Z26" s="89">
        <f t="shared" ca="1" si="2"/>
        <v>44134.838846527775</v>
      </c>
      <c r="AA26" s="89">
        <f t="shared" ca="1" si="2"/>
        <v>44135.838846527775</v>
      </c>
      <c r="AB26" s="90">
        <f t="shared" ca="1" si="2"/>
        <v>44136.838846527775</v>
      </c>
      <c r="AC26" s="88">
        <f t="shared" ca="1" si="2"/>
        <v>44137.838846527775</v>
      </c>
      <c r="AD26" s="89">
        <f t="shared" ca="1" si="2"/>
        <v>44138.838846527775</v>
      </c>
      <c r="AE26" s="89">
        <f t="shared" ca="1" si="2"/>
        <v>44139.838846527775</v>
      </c>
      <c r="AF26" s="89">
        <f t="shared" ca="1" si="2"/>
        <v>44140.838846527775</v>
      </c>
      <c r="AG26" s="89">
        <f t="shared" ca="1" si="2"/>
        <v>44141.838846527775</v>
      </c>
      <c r="AH26" s="89">
        <f t="shared" ca="1" si="2"/>
        <v>44142.838846527775</v>
      </c>
      <c r="AI26" s="90">
        <f t="shared" ca="1" si="2"/>
        <v>44143.838846527775</v>
      </c>
      <c r="AJ26" s="88">
        <f t="shared" ca="1" si="2"/>
        <v>44144.838846527775</v>
      </c>
      <c r="AK26" s="89">
        <f t="shared" ca="1" si="2"/>
        <v>44145.838846527775</v>
      </c>
      <c r="AL26" s="89">
        <f t="shared" ca="1" si="2"/>
        <v>44146.838846527775</v>
      </c>
      <c r="AM26" s="89">
        <f t="shared" ca="1" si="2"/>
        <v>44147.838846527775</v>
      </c>
      <c r="AN26" s="89">
        <f t="shared" ca="1" si="2"/>
        <v>44148.838846527775</v>
      </c>
      <c r="AO26" s="89">
        <f ca="1">AP26-1</f>
        <v>44149.838846527775</v>
      </c>
      <c r="AP26" s="110">
        <f ca="1">NOW()</f>
        <v>44150.838846527775</v>
      </c>
    </row>
    <row r="27" spans="1:43" x14ac:dyDescent="0.25">
      <c r="A27" s="133" t="s">
        <v>96</v>
      </c>
      <c r="B27" s="116">
        <v>1</v>
      </c>
      <c r="C27" s="117">
        <v>2</v>
      </c>
      <c r="D27" s="116">
        <v>3</v>
      </c>
      <c r="E27" s="117">
        <v>4</v>
      </c>
      <c r="F27" s="116">
        <v>5</v>
      </c>
      <c r="G27" s="118">
        <v>6</v>
      </c>
      <c r="H27" s="117">
        <v>7</v>
      </c>
      <c r="I27" s="117">
        <v>8</v>
      </c>
      <c r="J27" s="117">
        <v>9</v>
      </c>
      <c r="K27" s="117">
        <v>10</v>
      </c>
      <c r="L27" s="117">
        <v>11</v>
      </c>
      <c r="M27" s="117">
        <v>12</v>
      </c>
      <c r="N27" s="118">
        <v>13</v>
      </c>
      <c r="O27" s="116">
        <v>14</v>
      </c>
      <c r="P27" s="117">
        <v>15</v>
      </c>
      <c r="Q27" s="117">
        <v>16</v>
      </c>
      <c r="R27" s="117">
        <v>17</v>
      </c>
      <c r="S27" s="117">
        <v>18</v>
      </c>
      <c r="T27" s="117">
        <v>19</v>
      </c>
      <c r="U27" s="118">
        <v>20</v>
      </c>
      <c r="V27" s="116">
        <v>21</v>
      </c>
      <c r="W27" s="117">
        <v>22</v>
      </c>
      <c r="X27" s="117">
        <v>23</v>
      </c>
      <c r="Y27" s="117">
        <v>24</v>
      </c>
      <c r="Z27" s="117">
        <v>25</v>
      </c>
      <c r="AA27" s="117">
        <v>26</v>
      </c>
      <c r="AB27" s="118">
        <v>27</v>
      </c>
      <c r="AC27" s="116">
        <v>28</v>
      </c>
      <c r="AD27" s="117">
        <v>29</v>
      </c>
      <c r="AE27" s="117">
        <v>30</v>
      </c>
      <c r="AF27" s="117">
        <v>31</v>
      </c>
      <c r="AG27" s="117">
        <v>32</v>
      </c>
      <c r="AH27" s="117">
        <v>33</v>
      </c>
      <c r="AI27" s="118">
        <v>34</v>
      </c>
      <c r="AJ27" s="116">
        <v>35</v>
      </c>
      <c r="AK27" s="117">
        <v>36</v>
      </c>
      <c r="AL27" s="117">
        <v>37</v>
      </c>
      <c r="AM27" s="117">
        <v>38</v>
      </c>
      <c r="AN27" s="117">
        <v>39</v>
      </c>
      <c r="AO27" s="117">
        <v>40</v>
      </c>
      <c r="AP27" s="118">
        <v>41</v>
      </c>
    </row>
    <row r="28" spans="1:43" x14ac:dyDescent="0.25">
      <c r="A28" s="134" t="s">
        <v>97</v>
      </c>
      <c r="B28" s="343" t="s">
        <v>66</v>
      </c>
      <c r="C28" s="344"/>
      <c r="D28" s="344"/>
      <c r="E28" s="344"/>
      <c r="F28" s="344"/>
      <c r="G28" s="345"/>
      <c r="H28" s="349" t="s">
        <v>56</v>
      </c>
      <c r="I28" s="349"/>
      <c r="J28" s="349"/>
      <c r="K28" s="349"/>
      <c r="L28" s="349"/>
      <c r="M28" s="349"/>
      <c r="N28" s="350"/>
      <c r="O28" s="348" t="s">
        <v>57</v>
      </c>
      <c r="P28" s="349"/>
      <c r="Q28" s="349"/>
      <c r="R28" s="349"/>
      <c r="S28" s="349"/>
      <c r="T28" s="349"/>
      <c r="U28" s="350"/>
      <c r="V28" s="348" t="s">
        <v>58</v>
      </c>
      <c r="W28" s="349"/>
      <c r="X28" s="349"/>
      <c r="Y28" s="349"/>
      <c r="Z28" s="349"/>
      <c r="AA28" s="349"/>
      <c r="AB28" s="350"/>
      <c r="AC28" s="348" t="s">
        <v>59</v>
      </c>
      <c r="AD28" s="349"/>
      <c r="AE28" s="349"/>
      <c r="AF28" s="349"/>
      <c r="AG28" s="349"/>
      <c r="AH28" s="349"/>
      <c r="AI28" s="350"/>
      <c r="AJ28" s="348" t="s">
        <v>60</v>
      </c>
      <c r="AK28" s="349"/>
      <c r="AL28" s="349"/>
      <c r="AM28" s="349"/>
      <c r="AN28" s="349"/>
      <c r="AO28" s="349"/>
      <c r="AP28" s="350"/>
    </row>
    <row r="29" spans="1:43" x14ac:dyDescent="0.25">
      <c r="B29" s="51" t="s">
        <v>78</v>
      </c>
      <c r="C29" s="95"/>
      <c r="D29" s="95"/>
      <c r="E29" s="95"/>
      <c r="F29" s="95"/>
      <c r="G29" s="96"/>
      <c r="H29" s="346" t="s">
        <v>65</v>
      </c>
      <c r="I29" s="346"/>
      <c r="J29" s="346"/>
      <c r="K29" s="346"/>
      <c r="L29" s="346"/>
      <c r="M29" s="346"/>
      <c r="N29" s="346"/>
      <c r="O29" s="346"/>
      <c r="P29" s="346"/>
      <c r="Q29" s="346"/>
      <c r="R29" s="346"/>
      <c r="S29" s="346"/>
      <c r="T29" s="346"/>
      <c r="U29" s="346"/>
      <c r="V29" s="346"/>
      <c r="W29" s="346"/>
      <c r="X29" s="346"/>
      <c r="Y29" s="346"/>
      <c r="Z29" s="346"/>
      <c r="AA29" s="346"/>
      <c r="AB29" s="346"/>
      <c r="AC29" s="346"/>
      <c r="AD29" s="346"/>
      <c r="AE29" s="346"/>
      <c r="AF29" s="346"/>
      <c r="AG29" s="346"/>
      <c r="AH29" s="346"/>
      <c r="AI29" s="346"/>
      <c r="AJ29" s="346"/>
      <c r="AK29" s="346"/>
      <c r="AL29" s="346"/>
      <c r="AM29" s="346"/>
      <c r="AN29" s="346"/>
      <c r="AO29" s="346"/>
      <c r="AP29" s="347"/>
    </row>
    <row r="31" spans="1:43" x14ac:dyDescent="0.25">
      <c r="B31" s="57" t="s">
        <v>67</v>
      </c>
      <c r="C31" s="137" t="s">
        <v>188</v>
      </c>
      <c r="D31" s="9"/>
      <c r="E31" s="84">
        <f>VLOOKUP(C31,B43:C54,2,FALSE)</f>
        <v>2.4E-2</v>
      </c>
      <c r="F31" s="9"/>
      <c r="G31" s="9"/>
      <c r="H31" s="9"/>
      <c r="I31" s="5"/>
    </row>
    <row r="32" spans="1:43" x14ac:dyDescent="0.25">
      <c r="B32" s="41" t="s">
        <v>94</v>
      </c>
      <c r="C32" s="16"/>
      <c r="D32" s="16"/>
      <c r="E32" s="138">
        <v>1</v>
      </c>
      <c r="F32" s="16"/>
      <c r="G32" s="16"/>
      <c r="H32" s="16"/>
      <c r="I32" s="17"/>
    </row>
    <row r="33" spans="2:9" x14ac:dyDescent="0.25">
      <c r="B33" s="41" t="s">
        <v>69</v>
      </c>
      <c r="C33" s="16"/>
      <c r="D33" s="16"/>
      <c r="E33" s="16">
        <v>3</v>
      </c>
      <c r="F33" s="16" t="s">
        <v>70</v>
      </c>
      <c r="G33" s="16"/>
      <c r="H33" s="16"/>
      <c r="I33" s="17"/>
    </row>
    <row r="34" spans="2:9" x14ac:dyDescent="0.25">
      <c r="B34" s="41" t="s">
        <v>183</v>
      </c>
      <c r="C34" s="16"/>
      <c r="D34" s="16"/>
      <c r="E34" s="139">
        <f>1-Projections!B354</f>
        <v>0.41666666666666663</v>
      </c>
      <c r="F34" s="16" t="s">
        <v>185</v>
      </c>
      <c r="G34" s="16"/>
      <c r="H34" s="16"/>
      <c r="I34" s="17"/>
    </row>
    <row r="35" spans="2:9" x14ac:dyDescent="0.25">
      <c r="B35" s="41" t="s">
        <v>75</v>
      </c>
      <c r="C35" s="16"/>
      <c r="D35" s="16"/>
      <c r="E35" s="139">
        <v>0.81</v>
      </c>
      <c r="F35" s="16" t="s">
        <v>93</v>
      </c>
      <c r="G35" s="16"/>
      <c r="H35" s="16"/>
      <c r="I35" s="17"/>
    </row>
    <row r="36" spans="2:9" x14ac:dyDescent="0.25">
      <c r="B36" s="41" t="s">
        <v>76</v>
      </c>
      <c r="C36" s="16"/>
      <c r="D36" s="16"/>
      <c r="E36" s="139">
        <v>0.14000000000000001</v>
      </c>
      <c r="F36" s="16" t="s">
        <v>93</v>
      </c>
      <c r="G36" s="16"/>
      <c r="H36" s="16"/>
      <c r="I36" s="17"/>
    </row>
    <row r="37" spans="2:9" x14ac:dyDescent="0.25">
      <c r="B37" s="41" t="s">
        <v>77</v>
      </c>
      <c r="C37" s="16"/>
      <c r="D37" s="16"/>
      <c r="E37" s="139">
        <v>0.05</v>
      </c>
      <c r="F37" s="16" t="s">
        <v>93</v>
      </c>
      <c r="G37" s="16"/>
      <c r="H37" s="16"/>
      <c r="I37" s="17"/>
    </row>
    <row r="38" spans="2:9" x14ac:dyDescent="0.25">
      <c r="B38" s="41" t="s">
        <v>80</v>
      </c>
      <c r="C38" s="16"/>
      <c r="D38" s="16"/>
      <c r="E38" s="135">
        <v>2</v>
      </c>
      <c r="F38" s="16" t="s">
        <v>81</v>
      </c>
      <c r="G38" s="16"/>
      <c r="H38" s="16"/>
      <c r="I38" s="17"/>
    </row>
    <row r="39" spans="2:9" x14ac:dyDescent="0.25">
      <c r="B39" s="37" t="s">
        <v>82</v>
      </c>
      <c r="C39" s="136"/>
      <c r="D39" s="39"/>
      <c r="E39" s="115">
        <v>4</v>
      </c>
      <c r="F39" s="39" t="s">
        <v>81</v>
      </c>
      <c r="G39" s="39" t="s">
        <v>83</v>
      </c>
      <c r="H39" s="39"/>
      <c r="I39" s="63"/>
    </row>
    <row r="42" spans="2:9" x14ac:dyDescent="0.25">
      <c r="B42" t="s">
        <v>89</v>
      </c>
    </row>
    <row r="43" spans="2:9" x14ac:dyDescent="0.25">
      <c r="B43" s="4" t="s">
        <v>88</v>
      </c>
      <c r="C43" s="114">
        <v>3.5000000000000003E-2</v>
      </c>
    </row>
    <row r="44" spans="2:9" x14ac:dyDescent="0.25">
      <c r="B44" s="41" t="s">
        <v>87</v>
      </c>
      <c r="C44" s="27">
        <v>2.3E-2</v>
      </c>
    </row>
    <row r="45" spans="2:9" x14ac:dyDescent="0.25">
      <c r="B45" s="41" t="s">
        <v>188</v>
      </c>
      <c r="C45" s="27">
        <f>Projections!B362</f>
        <v>2.4E-2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19"/>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98</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BQ434"/>
  <sheetViews>
    <sheetView tabSelected="1" topLeftCell="U357" zoomScale="85" zoomScaleNormal="85" workbookViewId="0">
      <selection activeCell="B363" sqref="B363"/>
    </sheetView>
  </sheetViews>
  <sheetFormatPr defaultRowHeight="15" x14ac:dyDescent="0.25"/>
  <cols>
    <col min="1" max="1" width="44.28515625" customWidth="1"/>
    <col min="2" max="2" width="16.7109375" bestFit="1" customWidth="1"/>
    <col min="3" max="3" width="12" customWidth="1"/>
    <col min="4" max="4" width="13.5703125" bestFit="1" customWidth="1"/>
    <col min="5" max="5" width="10.7109375" bestFit="1" customWidth="1"/>
    <col min="6" max="17" width="11.28515625" customWidth="1"/>
    <col min="18" max="18" width="10.7109375" customWidth="1"/>
    <col min="19" max="19" width="10.85546875" bestFit="1" customWidth="1"/>
    <col min="20" max="20" width="10.7109375" bestFit="1" customWidth="1"/>
    <col min="21" max="22" width="10.85546875" bestFit="1" customWidth="1"/>
    <col min="23" max="23" width="10.5703125" customWidth="1"/>
    <col min="24" max="24" width="11.28515625" bestFit="1" customWidth="1"/>
    <col min="25" max="25" width="11" customWidth="1"/>
    <col min="26" max="26" width="10.7109375" customWidth="1"/>
    <col min="27" max="28" width="10.85546875" bestFit="1" customWidth="1"/>
    <col min="29" max="29" width="10.85546875" customWidth="1"/>
    <col min="30" max="31" width="10.85546875" bestFit="1" customWidth="1"/>
    <col min="32" max="35" width="11.28515625" customWidth="1"/>
    <col min="36" max="36" width="10.7109375" bestFit="1" customWidth="1"/>
    <col min="37" max="39" width="10.7109375" customWidth="1"/>
    <col min="40" max="40" width="10.7109375" bestFit="1" customWidth="1"/>
    <col min="41" max="41" width="11.5703125" customWidth="1"/>
    <col min="42" max="44" width="10.7109375" customWidth="1"/>
    <col min="45" max="45" width="11.7109375" bestFit="1" customWidth="1"/>
    <col min="46" max="49" width="11.7109375" customWidth="1"/>
    <col min="50" max="54" width="11.5703125" customWidth="1"/>
    <col min="55" max="59" width="11.7109375" customWidth="1"/>
    <col min="60" max="60" width="13.42578125" customWidth="1"/>
    <col min="61" max="61" width="16.5703125" customWidth="1"/>
    <col min="62" max="62" width="14.7109375" customWidth="1"/>
    <col min="63" max="64" width="13.28515625" bestFit="1" customWidth="1"/>
    <col min="65" max="65" width="13.7109375" customWidth="1"/>
    <col min="66" max="66" width="11.5703125" style="69" bestFit="1" customWidth="1"/>
    <col min="67" max="67" width="11.140625" bestFit="1" customWidth="1"/>
    <col min="68" max="68" width="12.140625" bestFit="1" customWidth="1"/>
  </cols>
  <sheetData>
    <row r="1" spans="3:36" x14ac:dyDescent="0.25">
      <c r="C1" t="s">
        <v>355</v>
      </c>
      <c r="D1" t="s">
        <v>120</v>
      </c>
      <c r="E1" t="s">
        <v>356</v>
      </c>
    </row>
    <row r="2" spans="3:36" x14ac:dyDescent="0.25">
      <c r="C2" t="s">
        <v>352</v>
      </c>
      <c r="D2" t="s">
        <v>352</v>
      </c>
      <c r="E2" s="250">
        <v>2017</v>
      </c>
      <c r="F2" t="s">
        <v>273</v>
      </c>
    </row>
    <row r="3" spans="3:36" x14ac:dyDescent="0.25">
      <c r="C3" t="s">
        <v>352</v>
      </c>
      <c r="D3" t="s">
        <v>352</v>
      </c>
      <c r="E3" s="313">
        <v>42917</v>
      </c>
      <c r="F3" t="s">
        <v>554</v>
      </c>
    </row>
    <row r="4" spans="3:36" x14ac:dyDescent="0.25">
      <c r="C4" t="s">
        <v>352</v>
      </c>
      <c r="D4" t="s">
        <v>352</v>
      </c>
      <c r="E4" s="266">
        <v>43132</v>
      </c>
      <c r="F4" t="s">
        <v>552</v>
      </c>
    </row>
    <row r="5" spans="3:36" x14ac:dyDescent="0.25">
      <c r="C5" t="s">
        <v>352</v>
      </c>
      <c r="D5" t="s">
        <v>352</v>
      </c>
      <c r="E5" s="313">
        <v>43160</v>
      </c>
      <c r="F5" t="s">
        <v>553</v>
      </c>
    </row>
    <row r="6" spans="3:36" x14ac:dyDescent="0.25">
      <c r="C6" t="s">
        <v>352</v>
      </c>
      <c r="D6" t="s">
        <v>352</v>
      </c>
      <c r="E6" s="250">
        <v>2018</v>
      </c>
      <c r="F6" t="s">
        <v>272</v>
      </c>
    </row>
    <row r="7" spans="3:36" x14ac:dyDescent="0.25">
      <c r="C7" t="s">
        <v>352</v>
      </c>
      <c r="D7" t="s">
        <v>352</v>
      </c>
      <c r="E7" s="266">
        <v>43647</v>
      </c>
      <c r="F7" t="s">
        <v>384</v>
      </c>
    </row>
    <row r="8" spans="3:36" x14ac:dyDescent="0.25">
      <c r="C8" t="s">
        <v>352</v>
      </c>
      <c r="D8" t="s">
        <v>352</v>
      </c>
      <c r="E8" s="208">
        <v>44177</v>
      </c>
      <c r="F8" t="s">
        <v>509</v>
      </c>
    </row>
    <row r="9" spans="3:36" x14ac:dyDescent="0.25">
      <c r="C9" t="s">
        <v>352</v>
      </c>
      <c r="D9" t="s">
        <v>352</v>
      </c>
      <c r="E9" s="208">
        <v>43829</v>
      </c>
      <c r="F9" t="s">
        <v>258</v>
      </c>
    </row>
    <row r="10" spans="3:36" x14ac:dyDescent="0.25">
      <c r="C10" t="s">
        <v>352</v>
      </c>
      <c r="D10" t="s">
        <v>352</v>
      </c>
      <c r="E10" s="208">
        <v>43830</v>
      </c>
      <c r="F10" t="s">
        <v>261</v>
      </c>
    </row>
    <row r="11" spans="3:36" x14ac:dyDescent="0.25">
      <c r="D11" t="s">
        <v>352</v>
      </c>
      <c r="E11" t="s">
        <v>352</v>
      </c>
      <c r="F11" s="208">
        <v>43833</v>
      </c>
      <c r="G11" t="s">
        <v>257</v>
      </c>
    </row>
    <row r="12" spans="3:36" x14ac:dyDescent="0.25">
      <c r="D12" t="s">
        <v>352</v>
      </c>
      <c r="E12" t="s">
        <v>352</v>
      </c>
      <c r="F12" s="246">
        <v>43835</v>
      </c>
      <c r="G12" s="69" t="s">
        <v>254</v>
      </c>
      <c r="H12" s="69"/>
      <c r="I12" s="69"/>
      <c r="J12" s="69"/>
      <c r="K12" s="69"/>
      <c r="L12" s="69"/>
      <c r="M12" s="69"/>
      <c r="N12" s="69"/>
      <c r="O12" s="69"/>
      <c r="P12" s="162"/>
      <c r="R12" s="208"/>
    </row>
    <row r="13" spans="3:36" x14ac:dyDescent="0.25">
      <c r="D13" t="s">
        <v>352</v>
      </c>
      <c r="E13" t="s">
        <v>352</v>
      </c>
      <c r="F13" s="155">
        <v>43836</v>
      </c>
      <c r="G13" s="156" t="s">
        <v>190</v>
      </c>
      <c r="H13" s="156"/>
      <c r="I13" s="156"/>
      <c r="J13" s="156"/>
      <c r="K13" s="156"/>
      <c r="L13" s="156"/>
      <c r="M13" s="156"/>
      <c r="N13" s="156"/>
      <c r="O13" s="156"/>
      <c r="P13" s="155">
        <v>43850</v>
      </c>
      <c r="R13" s="208"/>
    </row>
    <row r="14" spans="3:36" x14ac:dyDescent="0.25">
      <c r="D14" t="s">
        <v>352</v>
      </c>
      <c r="E14" t="s">
        <v>352</v>
      </c>
      <c r="F14" s="246">
        <v>43837</v>
      </c>
      <c r="G14" s="69" t="s">
        <v>224</v>
      </c>
      <c r="H14" s="69"/>
      <c r="I14" s="69"/>
      <c r="J14" s="69"/>
      <c r="K14" s="69"/>
      <c r="L14" s="69"/>
      <c r="M14" s="69"/>
      <c r="N14" s="69"/>
      <c r="O14" s="69"/>
      <c r="P14" s="162"/>
      <c r="R14" s="208"/>
    </row>
    <row r="15" spans="3:36" x14ac:dyDescent="0.25">
      <c r="D15" t="s">
        <v>352</v>
      </c>
      <c r="E15" t="s">
        <v>352</v>
      </c>
      <c r="F15" s="162">
        <v>43838</v>
      </c>
      <c r="G15" s="69" t="s">
        <v>262</v>
      </c>
      <c r="H15" s="69"/>
      <c r="I15" s="69"/>
      <c r="J15" s="69"/>
      <c r="K15" s="69"/>
      <c r="L15" s="69"/>
      <c r="M15" s="69"/>
      <c r="N15" s="69"/>
      <c r="O15" s="69"/>
      <c r="P15" s="162"/>
      <c r="Q15" s="69"/>
      <c r="R15" s="162"/>
      <c r="S15" s="69"/>
      <c r="T15" s="69"/>
      <c r="U15" s="69"/>
      <c r="V15" s="69"/>
      <c r="X15" s="69"/>
      <c r="Y15" s="69"/>
      <c r="Z15" s="69"/>
      <c r="AA15" s="69"/>
      <c r="AB15" s="69"/>
      <c r="AC15" s="69"/>
      <c r="AD15" s="69"/>
      <c r="AE15" s="69"/>
      <c r="AF15" s="69"/>
      <c r="AG15" s="69"/>
      <c r="AH15" s="69"/>
      <c r="AI15" s="69"/>
      <c r="AJ15" s="69"/>
    </row>
    <row r="16" spans="3:36" x14ac:dyDescent="0.25">
      <c r="D16" t="s">
        <v>352</v>
      </c>
      <c r="E16" t="s">
        <v>352</v>
      </c>
      <c r="F16" s="162">
        <v>43839</v>
      </c>
      <c r="G16" s="69" t="s">
        <v>540</v>
      </c>
      <c r="H16" s="69"/>
      <c r="I16" s="69"/>
      <c r="J16" s="69"/>
      <c r="K16" s="69"/>
      <c r="L16" s="69"/>
      <c r="M16" s="69"/>
      <c r="N16" s="69"/>
      <c r="O16" s="69"/>
      <c r="P16" s="162"/>
      <c r="Q16" s="69"/>
      <c r="R16" s="162"/>
      <c r="S16" s="69"/>
      <c r="T16" s="69"/>
      <c r="U16" s="69"/>
      <c r="V16" s="69"/>
      <c r="X16" s="69"/>
      <c r="Y16" s="69"/>
      <c r="Z16" s="69"/>
      <c r="AA16" s="69"/>
      <c r="AB16" s="69"/>
      <c r="AC16" s="69"/>
      <c r="AD16" s="69"/>
      <c r="AE16" s="69"/>
      <c r="AF16" s="69"/>
      <c r="AG16" s="69"/>
      <c r="AH16" s="69"/>
      <c r="AI16" s="69"/>
      <c r="AJ16" s="69"/>
    </row>
    <row r="17" spans="4:37" x14ac:dyDescent="0.25">
      <c r="D17" t="s">
        <v>352</v>
      </c>
      <c r="E17" t="s">
        <v>352</v>
      </c>
      <c r="F17" s="246">
        <v>43839</v>
      </c>
      <c r="G17" s="69" t="s">
        <v>225</v>
      </c>
      <c r="H17" s="69"/>
      <c r="I17" s="69"/>
      <c r="J17" s="69"/>
      <c r="K17" s="69"/>
      <c r="L17" s="69"/>
      <c r="M17" s="69"/>
      <c r="N17" s="69"/>
      <c r="O17" s="69"/>
      <c r="P17" s="162"/>
      <c r="R17" s="208"/>
    </row>
    <row r="18" spans="4:37" x14ac:dyDescent="0.25">
      <c r="D18" t="s">
        <v>352</v>
      </c>
      <c r="E18" t="s">
        <v>352</v>
      </c>
      <c r="F18" s="246">
        <v>43840</v>
      </c>
      <c r="G18" s="69" t="s">
        <v>295</v>
      </c>
      <c r="H18" s="69"/>
      <c r="I18" s="69"/>
      <c r="J18" s="69"/>
      <c r="K18" s="69"/>
      <c r="L18" s="69"/>
      <c r="M18" s="69"/>
      <c r="N18" s="69"/>
      <c r="O18" s="69"/>
      <c r="P18" s="162"/>
      <c r="R18" s="208"/>
    </row>
    <row r="19" spans="4:37" x14ac:dyDescent="0.25">
      <c r="D19" t="s">
        <v>352</v>
      </c>
      <c r="E19" t="s">
        <v>352</v>
      </c>
      <c r="F19" s="162">
        <v>43841</v>
      </c>
      <c r="G19" s="69" t="s">
        <v>232</v>
      </c>
      <c r="H19" s="69"/>
      <c r="I19" s="69"/>
      <c r="J19" s="69"/>
      <c r="K19" s="69"/>
      <c r="L19" s="69"/>
      <c r="M19" s="69"/>
      <c r="N19" s="69"/>
      <c r="O19" s="69"/>
      <c r="P19" s="162"/>
      <c r="R19" s="208"/>
    </row>
    <row r="20" spans="4:37" x14ac:dyDescent="0.25">
      <c r="D20" t="s">
        <v>352</v>
      </c>
      <c r="E20" t="s">
        <v>352</v>
      </c>
      <c r="F20" s="162">
        <v>43842</v>
      </c>
      <c r="G20" s="69" t="s">
        <v>259</v>
      </c>
      <c r="H20" s="69"/>
      <c r="I20" s="69"/>
      <c r="J20" s="69"/>
      <c r="K20" s="69"/>
      <c r="L20" s="69"/>
      <c r="M20" s="69"/>
      <c r="N20" s="69"/>
      <c r="O20" s="69"/>
      <c r="P20" s="162"/>
      <c r="R20" s="208"/>
    </row>
    <row r="21" spans="4:37" x14ac:dyDescent="0.25">
      <c r="D21" t="s">
        <v>352</v>
      </c>
      <c r="E21" t="s">
        <v>352</v>
      </c>
      <c r="F21" s="246">
        <v>43844</v>
      </c>
      <c r="G21" s="69" t="s">
        <v>541</v>
      </c>
      <c r="H21" s="69"/>
      <c r="I21" s="69"/>
      <c r="J21" s="69"/>
      <c r="K21" s="69"/>
      <c r="L21" s="69"/>
      <c r="M21" s="69"/>
      <c r="N21" s="69"/>
      <c r="O21" s="69"/>
      <c r="P21" s="162"/>
      <c r="R21" s="208"/>
    </row>
    <row r="22" spans="4:37" x14ac:dyDescent="0.25">
      <c r="D22" s="69" t="s">
        <v>352</v>
      </c>
      <c r="E22" s="69" t="s">
        <v>352</v>
      </c>
      <c r="F22" s="162">
        <v>43844</v>
      </c>
      <c r="G22" s="69" t="s">
        <v>544</v>
      </c>
      <c r="H22" s="69"/>
      <c r="I22" s="69"/>
      <c r="J22" s="69"/>
      <c r="K22" s="69"/>
      <c r="L22" s="69"/>
      <c r="M22" s="69"/>
      <c r="N22" s="69"/>
      <c r="O22" s="69"/>
      <c r="P22" s="162"/>
      <c r="R22" s="208"/>
    </row>
    <row r="23" spans="4:37" x14ac:dyDescent="0.25">
      <c r="D23" t="s">
        <v>352</v>
      </c>
      <c r="E23" t="s">
        <v>352</v>
      </c>
      <c r="F23" s="162">
        <v>43845</v>
      </c>
      <c r="G23" s="69" t="s">
        <v>265</v>
      </c>
      <c r="H23" s="69"/>
      <c r="I23" s="69"/>
      <c r="J23" s="69"/>
      <c r="K23" s="69"/>
      <c r="L23" s="69"/>
      <c r="M23" s="69"/>
      <c r="N23" s="69"/>
      <c r="O23" s="69"/>
      <c r="P23" s="162"/>
      <c r="R23" s="208"/>
      <c r="AK23" s="69"/>
    </row>
    <row r="24" spans="4:37" x14ac:dyDescent="0.25">
      <c r="D24" t="s">
        <v>352</v>
      </c>
      <c r="E24" t="s">
        <v>352</v>
      </c>
      <c r="F24" s="162">
        <v>43846</v>
      </c>
      <c r="G24" s="69" t="s">
        <v>191</v>
      </c>
      <c r="H24" s="69"/>
      <c r="I24" s="69"/>
      <c r="J24" s="69"/>
      <c r="K24" s="69"/>
      <c r="L24" s="69"/>
      <c r="M24" s="69"/>
      <c r="N24" s="69"/>
      <c r="O24" s="69"/>
      <c r="P24" s="162"/>
      <c r="R24" s="208"/>
    </row>
    <row r="25" spans="4:37" x14ac:dyDescent="0.25">
      <c r="D25" t="s">
        <v>352</v>
      </c>
      <c r="E25" t="s">
        <v>352</v>
      </c>
      <c r="F25" s="155">
        <v>43847</v>
      </c>
      <c r="G25" s="156" t="s">
        <v>217</v>
      </c>
      <c r="H25" s="156"/>
      <c r="I25" s="156"/>
      <c r="J25" s="156"/>
      <c r="K25" s="156"/>
      <c r="L25" s="156"/>
      <c r="M25" s="156"/>
      <c r="N25" s="156"/>
      <c r="O25" s="156"/>
      <c r="P25" s="155">
        <v>43861</v>
      </c>
      <c r="R25" s="208"/>
    </row>
    <row r="26" spans="4:37" x14ac:dyDescent="0.25">
      <c r="D26" t="s">
        <v>352</v>
      </c>
      <c r="E26" t="s">
        <v>352</v>
      </c>
      <c r="F26" s="245">
        <v>43848</v>
      </c>
      <c r="G26" s="69" t="s">
        <v>201</v>
      </c>
      <c r="H26" s="69"/>
      <c r="I26" s="69"/>
      <c r="J26" s="69"/>
      <c r="K26" s="69"/>
      <c r="L26" s="69"/>
      <c r="M26" s="69"/>
      <c r="N26" s="69"/>
      <c r="O26" s="69"/>
      <c r="P26" s="162"/>
      <c r="Q26" s="69"/>
      <c r="R26" s="162"/>
    </row>
    <row r="27" spans="4:37" x14ac:dyDescent="0.25">
      <c r="D27" t="s">
        <v>352</v>
      </c>
      <c r="E27" t="s">
        <v>352</v>
      </c>
      <c r="F27" s="162">
        <v>43850</v>
      </c>
      <c r="G27" s="69" t="s">
        <v>543</v>
      </c>
      <c r="H27" s="69"/>
      <c r="I27" s="69"/>
      <c r="J27" s="69"/>
      <c r="K27" s="69"/>
      <c r="L27" s="69"/>
      <c r="M27" s="69"/>
      <c r="N27" s="69"/>
      <c r="O27" s="69"/>
      <c r="P27" s="162"/>
      <c r="Q27" s="69"/>
      <c r="R27" s="162"/>
    </row>
    <row r="28" spans="4:37" x14ac:dyDescent="0.25">
      <c r="D28" s="260">
        <v>1</v>
      </c>
      <c r="E28" t="s">
        <v>352</v>
      </c>
      <c r="F28" s="208">
        <v>43851</v>
      </c>
      <c r="G28" t="s">
        <v>192</v>
      </c>
    </row>
    <row r="29" spans="4:37" x14ac:dyDescent="0.25">
      <c r="D29" s="262">
        <v>1</v>
      </c>
      <c r="E29" t="s">
        <v>352</v>
      </c>
      <c r="F29" s="245">
        <v>43852</v>
      </c>
      <c r="G29" t="s">
        <v>193</v>
      </c>
    </row>
    <row r="30" spans="4:37" x14ac:dyDescent="0.25">
      <c r="D30" s="262">
        <v>1</v>
      </c>
      <c r="E30" t="s">
        <v>352</v>
      </c>
      <c r="F30" s="162">
        <v>43853</v>
      </c>
      <c r="G30" t="s">
        <v>542</v>
      </c>
    </row>
    <row r="31" spans="4:37" x14ac:dyDescent="0.25">
      <c r="D31" s="262">
        <v>1</v>
      </c>
      <c r="E31" t="s">
        <v>352</v>
      </c>
      <c r="F31" s="246">
        <v>43853</v>
      </c>
      <c r="G31" s="69" t="s">
        <v>230</v>
      </c>
      <c r="H31" s="69"/>
      <c r="I31" s="69"/>
      <c r="J31" s="69"/>
      <c r="K31" s="69"/>
      <c r="L31" s="69"/>
      <c r="M31" s="69"/>
      <c r="N31" s="69"/>
      <c r="O31" s="69"/>
      <c r="P31" s="69"/>
      <c r="Q31" s="69"/>
      <c r="R31" s="69"/>
      <c r="S31" s="69"/>
      <c r="T31" s="69"/>
      <c r="U31" s="69"/>
      <c r="V31" s="69"/>
      <c r="X31" s="69"/>
      <c r="Y31" s="69"/>
      <c r="Z31" s="69"/>
      <c r="AA31" s="69"/>
      <c r="AB31" s="69"/>
      <c r="AC31" s="69"/>
      <c r="AD31" s="69"/>
      <c r="AE31" s="69"/>
      <c r="AF31" s="69"/>
      <c r="AG31" s="69"/>
      <c r="AH31" s="69"/>
      <c r="AI31" s="69"/>
      <c r="AJ31" s="69"/>
    </row>
    <row r="32" spans="4:37" x14ac:dyDescent="0.25">
      <c r="D32" s="260">
        <v>2</v>
      </c>
      <c r="E32" s="69" t="s">
        <v>352</v>
      </c>
      <c r="F32" s="245">
        <v>43854</v>
      </c>
      <c r="G32" s="69" t="s">
        <v>226</v>
      </c>
      <c r="H32" s="69"/>
      <c r="I32" s="69"/>
      <c r="J32" s="69"/>
      <c r="K32" s="69"/>
      <c r="L32" s="69"/>
      <c r="M32" s="69"/>
      <c r="N32" s="69"/>
      <c r="O32" s="69"/>
      <c r="P32" s="69"/>
      <c r="Q32" s="69"/>
      <c r="R32" s="69"/>
      <c r="S32" s="69"/>
      <c r="T32" s="69"/>
      <c r="U32" s="69"/>
      <c r="V32" s="69"/>
      <c r="X32" s="69"/>
      <c r="Y32" s="69"/>
      <c r="Z32" s="69"/>
      <c r="AA32" s="69"/>
      <c r="AB32" s="69"/>
      <c r="AC32" s="69"/>
      <c r="AD32" s="69"/>
      <c r="AE32" s="69"/>
      <c r="AF32" s="69"/>
      <c r="AG32" s="69"/>
      <c r="AH32" s="69"/>
      <c r="AI32" s="69"/>
      <c r="AJ32" s="69"/>
    </row>
    <row r="33" spans="4:42" x14ac:dyDescent="0.25">
      <c r="D33" s="260">
        <v>5</v>
      </c>
      <c r="E33" s="69" t="s">
        <v>352</v>
      </c>
      <c r="F33" s="162">
        <v>43857</v>
      </c>
      <c r="G33" s="69" t="s">
        <v>202</v>
      </c>
      <c r="H33" s="69"/>
      <c r="I33" s="69"/>
      <c r="J33" s="69"/>
      <c r="K33" s="69"/>
      <c r="L33" s="69"/>
      <c r="M33" s="69"/>
      <c r="N33" s="69"/>
      <c r="O33" s="69"/>
      <c r="P33" s="69"/>
      <c r="Q33" s="69"/>
      <c r="R33" s="69"/>
      <c r="S33" s="69"/>
      <c r="T33" s="69"/>
      <c r="U33" s="69"/>
      <c r="V33" s="69"/>
      <c r="X33" s="69"/>
      <c r="Y33" s="69"/>
      <c r="Z33" s="69"/>
      <c r="AA33" s="69"/>
      <c r="AB33" s="69"/>
      <c r="AC33" s="69"/>
      <c r="AD33" s="69"/>
      <c r="AE33" s="69"/>
      <c r="AF33" s="69"/>
      <c r="AG33" s="69"/>
      <c r="AH33" s="69"/>
      <c r="AI33" s="69"/>
      <c r="AJ33" s="69"/>
    </row>
    <row r="34" spans="4:42" x14ac:dyDescent="0.25">
      <c r="D34" s="262">
        <v>5</v>
      </c>
      <c r="E34" s="69" t="s">
        <v>352</v>
      </c>
      <c r="F34" s="155">
        <v>43858</v>
      </c>
      <c r="G34" s="156" t="s">
        <v>264</v>
      </c>
      <c r="H34" s="156"/>
      <c r="I34" s="156"/>
      <c r="J34" s="156"/>
      <c r="K34" s="156"/>
      <c r="L34" s="156"/>
      <c r="M34" s="156"/>
      <c r="N34" s="156"/>
      <c r="O34" s="156"/>
      <c r="P34" s="156"/>
      <c r="Q34" s="155">
        <v>43873</v>
      </c>
      <c r="R34" s="69"/>
      <c r="S34" s="69"/>
      <c r="T34" s="69"/>
      <c r="U34" s="69"/>
      <c r="V34" s="69"/>
      <c r="X34" s="69"/>
      <c r="Y34" s="69"/>
      <c r="Z34" s="69"/>
      <c r="AA34" s="69"/>
      <c r="AB34" s="69"/>
      <c r="AC34" s="69"/>
      <c r="AD34" s="69"/>
      <c r="AE34" s="69"/>
      <c r="AF34" s="69"/>
      <c r="AG34" s="69"/>
      <c r="AH34" s="69"/>
      <c r="AI34" s="69"/>
      <c r="AJ34" s="69"/>
    </row>
    <row r="35" spans="4:42" x14ac:dyDescent="0.25">
      <c r="D35" s="262">
        <v>5</v>
      </c>
      <c r="E35" s="69" t="s">
        <v>352</v>
      </c>
      <c r="F35" s="162">
        <v>43859</v>
      </c>
      <c r="G35" s="69" t="s">
        <v>203</v>
      </c>
      <c r="H35" s="69"/>
      <c r="I35" s="69"/>
      <c r="J35" s="69"/>
      <c r="K35" s="69"/>
      <c r="L35" s="69"/>
      <c r="M35" s="69"/>
      <c r="N35" s="69"/>
      <c r="O35" s="69"/>
      <c r="P35" s="69"/>
      <c r="Q35" s="69"/>
      <c r="R35" s="69"/>
      <c r="S35" s="69"/>
      <c r="T35" s="69"/>
      <c r="U35" s="69"/>
      <c r="V35" s="69"/>
      <c r="X35" s="69"/>
      <c r="Y35" s="69"/>
      <c r="Z35" s="69"/>
      <c r="AA35" s="69"/>
      <c r="AB35" s="69"/>
      <c r="AC35" s="69"/>
      <c r="AD35" s="69"/>
      <c r="AE35" s="69"/>
      <c r="AF35" s="69"/>
      <c r="AG35" s="69"/>
      <c r="AH35" s="69"/>
      <c r="AI35" s="69"/>
      <c r="AJ35" s="69"/>
    </row>
    <row r="36" spans="4:42" x14ac:dyDescent="0.25">
      <c r="D36" s="262">
        <v>5</v>
      </c>
      <c r="E36" s="69" t="s">
        <v>352</v>
      </c>
      <c r="F36" s="208">
        <v>43859</v>
      </c>
      <c r="G36" t="s">
        <v>194</v>
      </c>
      <c r="S36" s="208"/>
    </row>
    <row r="37" spans="4:42" x14ac:dyDescent="0.25">
      <c r="D37" s="262">
        <v>6</v>
      </c>
      <c r="E37" s="69" t="s">
        <v>352</v>
      </c>
      <c r="F37" s="246">
        <v>43860</v>
      </c>
      <c r="G37" t="s">
        <v>233</v>
      </c>
      <c r="AK37" s="69"/>
      <c r="AL37" s="69"/>
      <c r="AM37" s="69"/>
      <c r="AN37" s="69"/>
      <c r="AO37" s="69"/>
      <c r="AP37" s="69"/>
    </row>
    <row r="38" spans="4:42" x14ac:dyDescent="0.25">
      <c r="D38" s="262">
        <v>6</v>
      </c>
      <c r="E38" s="69" t="s">
        <v>352</v>
      </c>
      <c r="F38" s="245">
        <v>43860</v>
      </c>
      <c r="G38" t="s">
        <v>204</v>
      </c>
      <c r="AK38" s="69"/>
    </row>
    <row r="39" spans="4:42" x14ac:dyDescent="0.25">
      <c r="D39" s="262">
        <v>6</v>
      </c>
      <c r="E39" s="69" t="s">
        <v>352</v>
      </c>
      <c r="F39" s="245">
        <v>43860</v>
      </c>
      <c r="G39" t="s">
        <v>276</v>
      </c>
      <c r="AK39" s="69"/>
    </row>
    <row r="40" spans="4:42" x14ac:dyDescent="0.25">
      <c r="D40" s="262">
        <v>6</v>
      </c>
      <c r="E40" s="69" t="s">
        <v>352</v>
      </c>
      <c r="F40" s="162">
        <v>43860</v>
      </c>
      <c r="G40" s="69" t="s">
        <v>260</v>
      </c>
      <c r="H40" s="69"/>
      <c r="I40" s="69"/>
      <c r="J40" s="69"/>
      <c r="K40" s="69"/>
      <c r="L40" s="69"/>
      <c r="M40" s="69"/>
      <c r="N40" s="69"/>
      <c r="O40" s="69"/>
      <c r="P40" s="69"/>
      <c r="Q40" s="69"/>
      <c r="R40" s="69"/>
      <c r="S40" s="69"/>
      <c r="T40" s="69"/>
      <c r="U40" s="69"/>
      <c r="V40" s="69"/>
      <c r="X40" s="69"/>
      <c r="Y40" s="69"/>
      <c r="Z40" s="69"/>
      <c r="AA40" s="69"/>
      <c r="AB40" s="69"/>
      <c r="AC40" s="69"/>
      <c r="AD40" s="69"/>
      <c r="AE40" s="69"/>
      <c r="AF40" s="69"/>
      <c r="AG40" s="69"/>
      <c r="AH40" s="69"/>
      <c r="AI40" s="69"/>
      <c r="AJ40" s="69"/>
      <c r="AK40" s="69"/>
    </row>
    <row r="41" spans="4:42" x14ac:dyDescent="0.25">
      <c r="D41" s="262">
        <v>6</v>
      </c>
      <c r="E41" s="69" t="s">
        <v>352</v>
      </c>
      <c r="F41" s="162">
        <v>43860</v>
      </c>
      <c r="G41" s="69" t="s">
        <v>353</v>
      </c>
      <c r="H41" s="69"/>
      <c r="I41" s="69"/>
      <c r="J41" s="69"/>
      <c r="K41" s="69"/>
      <c r="L41" s="69"/>
      <c r="M41" s="69"/>
      <c r="N41" s="69"/>
      <c r="O41" s="69"/>
      <c r="P41" s="69"/>
      <c r="Q41" s="69"/>
      <c r="R41" s="69"/>
      <c r="S41" s="69"/>
      <c r="T41" s="69"/>
      <c r="U41" s="69"/>
      <c r="V41" s="69"/>
      <c r="X41" s="69"/>
      <c r="Y41" s="69"/>
      <c r="Z41" s="69"/>
      <c r="AA41" s="69"/>
      <c r="AB41" s="69"/>
      <c r="AC41" s="69"/>
      <c r="AD41" s="69"/>
      <c r="AE41" s="69"/>
      <c r="AF41" s="69"/>
      <c r="AG41" s="69"/>
      <c r="AH41" s="69"/>
      <c r="AI41" s="69"/>
      <c r="AJ41" s="69"/>
      <c r="AK41" s="69"/>
    </row>
    <row r="42" spans="4:42" x14ac:dyDescent="0.25">
      <c r="D42" s="262">
        <v>7</v>
      </c>
      <c r="E42" s="69" t="s">
        <v>352</v>
      </c>
      <c r="F42" s="162">
        <v>43861</v>
      </c>
      <c r="G42" s="69" t="s">
        <v>239</v>
      </c>
      <c r="H42" s="69"/>
      <c r="I42" s="69"/>
      <c r="J42" s="69"/>
      <c r="K42" s="69"/>
      <c r="L42" s="69"/>
      <c r="M42" s="69"/>
      <c r="N42" s="69"/>
      <c r="O42" s="69"/>
      <c r="P42" s="69"/>
      <c r="Q42" s="162"/>
      <c r="AK42" s="69"/>
    </row>
    <row r="43" spans="4:42" x14ac:dyDescent="0.25">
      <c r="D43" s="262">
        <v>7</v>
      </c>
      <c r="E43" s="69" t="s">
        <v>352</v>
      </c>
      <c r="F43" s="245">
        <v>43861</v>
      </c>
      <c r="G43" s="69" t="s">
        <v>242</v>
      </c>
      <c r="H43" s="69"/>
      <c r="I43" s="69"/>
      <c r="J43" s="69"/>
      <c r="K43" s="69"/>
      <c r="L43" s="69"/>
      <c r="M43" s="69"/>
      <c r="N43" s="69"/>
      <c r="O43" s="69"/>
      <c r="P43" s="69"/>
      <c r="Q43" s="162"/>
    </row>
    <row r="44" spans="4:42" x14ac:dyDescent="0.25">
      <c r="D44" s="262">
        <v>7</v>
      </c>
      <c r="E44" s="69" t="s">
        <v>352</v>
      </c>
      <c r="F44" s="162">
        <v>43861</v>
      </c>
      <c r="G44" s="69" t="s">
        <v>240</v>
      </c>
      <c r="H44" s="69"/>
      <c r="I44" s="69"/>
      <c r="J44" s="69"/>
      <c r="K44" s="69"/>
      <c r="L44" s="69"/>
      <c r="M44" s="69"/>
      <c r="N44" s="69"/>
      <c r="O44" s="69"/>
      <c r="P44" s="69"/>
      <c r="Q44" s="162"/>
    </row>
    <row r="45" spans="4:42" x14ac:dyDescent="0.25">
      <c r="H45" s="162" t="s">
        <v>205</v>
      </c>
      <c r="I45" t="s">
        <v>206</v>
      </c>
    </row>
    <row r="46" spans="4:42" x14ac:dyDescent="0.25">
      <c r="E46" s="69"/>
      <c r="H46" s="247" t="s">
        <v>228</v>
      </c>
      <c r="I46" s="69" t="s">
        <v>229</v>
      </c>
      <c r="J46" s="69"/>
      <c r="L46" s="69"/>
      <c r="M46" s="69"/>
      <c r="N46" s="69"/>
      <c r="O46" s="69"/>
      <c r="P46" s="69"/>
      <c r="Q46" s="69"/>
      <c r="R46" s="162"/>
      <c r="S46" s="162"/>
      <c r="T46" s="69"/>
      <c r="U46" s="69"/>
      <c r="V46" s="69"/>
      <c r="W46" s="69"/>
      <c r="X46" s="69"/>
      <c r="Y46" s="69"/>
      <c r="Z46" s="69"/>
      <c r="AA46" s="69"/>
      <c r="AB46" s="69"/>
      <c r="AC46" s="69"/>
      <c r="AD46" s="69"/>
      <c r="AE46" s="69"/>
      <c r="AF46" s="69"/>
      <c r="AG46" s="69"/>
      <c r="AH46" s="69"/>
      <c r="AI46" s="69"/>
      <c r="AJ46" s="69"/>
    </row>
    <row r="47" spans="4:42" x14ac:dyDescent="0.25">
      <c r="G47" s="260">
        <v>8</v>
      </c>
      <c r="H47" t="s">
        <v>352</v>
      </c>
      <c r="I47" s="208">
        <v>43862</v>
      </c>
      <c r="J47" t="s">
        <v>236</v>
      </c>
    </row>
    <row r="48" spans="4:42" x14ac:dyDescent="0.25">
      <c r="G48" s="262">
        <v>11</v>
      </c>
      <c r="H48" s="69" t="s">
        <v>352</v>
      </c>
      <c r="I48" s="155">
        <v>43863</v>
      </c>
      <c r="J48" s="156" t="s">
        <v>196</v>
      </c>
      <c r="K48" s="156"/>
      <c r="L48" s="156"/>
      <c r="M48" s="156"/>
      <c r="N48" s="156"/>
      <c r="O48" s="156"/>
      <c r="P48" s="155"/>
      <c r="Q48" s="155">
        <v>43877</v>
      </c>
      <c r="AK48" s="69"/>
    </row>
    <row r="49" spans="5:43" x14ac:dyDescent="0.25">
      <c r="E49" s="69"/>
      <c r="G49" s="262">
        <v>11</v>
      </c>
      <c r="H49" s="69" t="s">
        <v>352</v>
      </c>
      <c r="I49" s="245">
        <v>43863</v>
      </c>
      <c r="J49" s="69" t="s">
        <v>281</v>
      </c>
      <c r="K49" s="69"/>
      <c r="L49" s="69"/>
      <c r="M49" s="69"/>
      <c r="N49" s="69"/>
      <c r="O49" s="69"/>
      <c r="P49" s="162"/>
      <c r="Q49" s="162"/>
      <c r="R49" s="69"/>
      <c r="S49" s="69"/>
      <c r="T49" s="69"/>
      <c r="U49" s="69"/>
      <c r="V49" s="69"/>
      <c r="X49" s="69"/>
      <c r="Y49" s="69"/>
      <c r="Z49" s="69"/>
      <c r="AA49" s="69"/>
      <c r="AB49" s="69"/>
      <c r="AC49" s="69"/>
      <c r="AD49" s="69"/>
      <c r="AE49" s="69"/>
      <c r="AF49" s="69"/>
      <c r="AG49" s="69"/>
      <c r="AH49" s="69"/>
      <c r="AI49" s="69"/>
      <c r="AJ49" s="69"/>
    </row>
    <row r="50" spans="5:43" x14ac:dyDescent="0.25">
      <c r="G50" s="262">
        <v>12</v>
      </c>
      <c r="H50" s="69" t="s">
        <v>352</v>
      </c>
      <c r="I50" s="162">
        <v>43866</v>
      </c>
      <c r="J50" s="69" t="s">
        <v>241</v>
      </c>
      <c r="K50" s="69"/>
      <c r="L50" s="69"/>
      <c r="M50" s="69"/>
      <c r="N50" s="69"/>
      <c r="O50" s="69"/>
      <c r="P50" s="162"/>
      <c r="Q50" s="162"/>
      <c r="AL50" s="69"/>
      <c r="AM50" s="69"/>
      <c r="AN50" s="69"/>
      <c r="AO50" s="69"/>
      <c r="AP50" s="69"/>
      <c r="AQ50" s="69"/>
    </row>
    <row r="51" spans="5:43" x14ac:dyDescent="0.25">
      <c r="G51" s="262">
        <v>12</v>
      </c>
      <c r="H51" s="264" t="s">
        <v>354</v>
      </c>
      <c r="I51" s="162">
        <v>43867</v>
      </c>
      <c r="J51" s="16" t="s">
        <v>305</v>
      </c>
      <c r="K51" s="69"/>
      <c r="L51" s="69"/>
      <c r="M51" s="69"/>
      <c r="N51" s="69"/>
      <c r="O51" s="69"/>
      <c r="P51" s="162"/>
      <c r="Q51" s="162"/>
      <c r="AL51" s="69"/>
      <c r="AM51" s="69"/>
      <c r="AN51" s="69"/>
      <c r="AO51" s="69"/>
      <c r="AP51" s="69"/>
    </row>
    <row r="52" spans="5:43" x14ac:dyDescent="0.25">
      <c r="G52" s="262">
        <v>12</v>
      </c>
      <c r="H52" s="264" t="s">
        <v>354</v>
      </c>
      <c r="I52" s="162">
        <v>43868</v>
      </c>
      <c r="J52" s="69" t="s">
        <v>256</v>
      </c>
      <c r="K52" s="69"/>
      <c r="L52" s="69"/>
      <c r="M52" s="69"/>
      <c r="N52" s="69"/>
      <c r="O52" s="69"/>
      <c r="P52" s="162"/>
      <c r="Q52" s="162"/>
      <c r="AL52" s="69"/>
      <c r="AM52" s="69"/>
      <c r="AN52" s="69"/>
      <c r="AO52" s="69"/>
      <c r="AP52" s="69"/>
    </row>
    <row r="53" spans="5:43" x14ac:dyDescent="0.25">
      <c r="G53" s="262">
        <v>12</v>
      </c>
      <c r="H53" s="264" t="s">
        <v>354</v>
      </c>
      <c r="I53" s="245">
        <v>43868</v>
      </c>
      <c r="J53" s="69" t="s">
        <v>399</v>
      </c>
      <c r="K53" s="69"/>
      <c r="L53" s="69"/>
      <c r="M53" s="69"/>
      <c r="N53" s="69"/>
      <c r="O53" s="69"/>
      <c r="P53" s="162"/>
      <c r="Q53" s="162"/>
      <c r="AL53" s="69"/>
      <c r="AM53" s="69"/>
      <c r="AN53" s="69"/>
      <c r="AO53" s="69"/>
      <c r="AP53" s="69"/>
    </row>
    <row r="54" spans="5:43" x14ac:dyDescent="0.25">
      <c r="G54" s="262">
        <v>12</v>
      </c>
      <c r="H54" s="264" t="s">
        <v>354</v>
      </c>
      <c r="I54" s="245">
        <v>43871</v>
      </c>
      <c r="J54" s="69" t="s">
        <v>277</v>
      </c>
      <c r="K54" s="69"/>
      <c r="L54" s="69"/>
      <c r="M54" s="69"/>
      <c r="N54" s="69"/>
      <c r="O54" s="69"/>
      <c r="P54" s="162"/>
      <c r="Q54" s="162"/>
      <c r="AL54" s="69"/>
      <c r="AM54" s="69"/>
      <c r="AN54" s="69"/>
      <c r="AO54" s="69"/>
      <c r="AP54" s="69"/>
    </row>
    <row r="55" spans="5:43" x14ac:dyDescent="0.25">
      <c r="G55" s="262">
        <v>12</v>
      </c>
      <c r="H55" s="264" t="s">
        <v>354</v>
      </c>
      <c r="I55" s="245">
        <v>43871</v>
      </c>
      <c r="J55" s="69" t="s">
        <v>400</v>
      </c>
      <c r="K55" s="69"/>
      <c r="L55" s="69"/>
      <c r="M55" s="69"/>
      <c r="N55" s="69"/>
      <c r="O55" s="69"/>
      <c r="P55" s="162"/>
      <c r="Q55" s="162"/>
      <c r="AL55" s="69"/>
      <c r="AM55" s="69"/>
      <c r="AN55" s="69"/>
      <c r="AO55" s="69"/>
      <c r="AP55" s="69"/>
    </row>
    <row r="56" spans="5:43" x14ac:dyDescent="0.25">
      <c r="G56" s="262">
        <v>12</v>
      </c>
      <c r="H56" s="264" t="s">
        <v>354</v>
      </c>
      <c r="I56" s="245">
        <v>43872</v>
      </c>
      <c r="J56" s="69" t="s">
        <v>271</v>
      </c>
      <c r="K56" s="69"/>
      <c r="L56" s="69"/>
      <c r="M56" s="69"/>
      <c r="N56" s="69"/>
      <c r="O56" s="69"/>
      <c r="P56" s="162"/>
      <c r="Q56" s="162"/>
      <c r="AL56" s="69"/>
      <c r="AM56" s="69"/>
      <c r="AN56" s="69"/>
      <c r="AO56" s="69"/>
      <c r="AP56" s="69"/>
    </row>
    <row r="57" spans="5:43" x14ac:dyDescent="0.25">
      <c r="G57" s="262">
        <v>12</v>
      </c>
      <c r="H57" s="264" t="s">
        <v>354</v>
      </c>
      <c r="I57" s="246">
        <v>43873</v>
      </c>
      <c r="J57" s="69" t="s">
        <v>268</v>
      </c>
      <c r="K57" s="69"/>
      <c r="L57" s="69"/>
      <c r="M57" s="69"/>
      <c r="N57" s="69"/>
      <c r="O57" s="69"/>
      <c r="P57" s="162"/>
      <c r="Q57" s="162"/>
      <c r="AK57" s="69"/>
    </row>
    <row r="58" spans="5:43" x14ac:dyDescent="0.25">
      <c r="G58" s="262">
        <v>12</v>
      </c>
      <c r="H58" s="264" t="s">
        <v>354</v>
      </c>
      <c r="I58" s="162">
        <v>43873</v>
      </c>
      <c r="J58" s="69" t="s">
        <v>383</v>
      </c>
      <c r="K58" s="69"/>
      <c r="L58" s="69"/>
      <c r="M58" s="69"/>
      <c r="N58" s="69"/>
      <c r="O58" s="69"/>
      <c r="P58" s="162"/>
      <c r="Q58" s="162"/>
      <c r="AK58" s="69"/>
    </row>
    <row r="59" spans="5:43" x14ac:dyDescent="0.25">
      <c r="G59" s="262">
        <v>12</v>
      </c>
      <c r="H59" s="264" t="s">
        <v>354</v>
      </c>
      <c r="I59" s="245">
        <v>43874</v>
      </c>
      <c r="J59" s="69" t="s">
        <v>405</v>
      </c>
      <c r="K59" s="69"/>
      <c r="L59" s="69"/>
      <c r="M59" s="69"/>
      <c r="N59" s="69"/>
      <c r="O59" s="69"/>
      <c r="P59" s="162"/>
      <c r="Q59" s="162"/>
      <c r="AK59" s="69"/>
    </row>
    <row r="60" spans="5:43" x14ac:dyDescent="0.25">
      <c r="J60" s="260">
        <v>15</v>
      </c>
      <c r="K60" s="264" t="s">
        <v>354</v>
      </c>
      <c r="L60" s="245">
        <v>43879</v>
      </c>
      <c r="M60" s="69" t="s">
        <v>402</v>
      </c>
      <c r="N60" s="69"/>
      <c r="O60" s="69"/>
      <c r="P60" s="162"/>
      <c r="Q60" s="162"/>
      <c r="AK60" s="69"/>
    </row>
    <row r="61" spans="5:43" x14ac:dyDescent="0.25">
      <c r="J61" s="262">
        <v>15</v>
      </c>
      <c r="K61" s="264" t="s">
        <v>354</v>
      </c>
      <c r="L61" s="245">
        <v>43880</v>
      </c>
      <c r="M61" s="69" t="s">
        <v>401</v>
      </c>
      <c r="N61" s="69"/>
      <c r="O61" s="69"/>
      <c r="P61" s="69"/>
      <c r="Q61" s="69"/>
      <c r="R61" s="69"/>
      <c r="S61" s="162"/>
      <c r="AK61" s="69"/>
    </row>
    <row r="62" spans="5:43" x14ac:dyDescent="0.25">
      <c r="E62" s="162"/>
      <c r="F62" s="162"/>
      <c r="G62" s="69"/>
      <c r="H62" s="69"/>
      <c r="I62" s="69"/>
      <c r="J62" s="69"/>
      <c r="K62" s="69"/>
      <c r="L62" s="69"/>
      <c r="M62" s="69"/>
      <c r="N62" s="69"/>
      <c r="O62" s="69"/>
      <c r="P62" s="260">
        <v>35</v>
      </c>
      <c r="Q62" s="264" t="s">
        <v>354</v>
      </c>
      <c r="R62" s="208">
        <v>43882</v>
      </c>
      <c r="S62" t="s">
        <v>207</v>
      </c>
    </row>
    <row r="63" spans="5:43" x14ac:dyDescent="0.25">
      <c r="E63" s="162"/>
      <c r="F63" s="162"/>
      <c r="G63" s="69"/>
      <c r="H63" s="69"/>
      <c r="I63" s="69"/>
      <c r="J63" s="69"/>
      <c r="K63" s="69"/>
      <c r="L63" s="69"/>
      <c r="M63" s="69"/>
      <c r="N63" s="69"/>
      <c r="O63" s="69"/>
      <c r="P63" s="262">
        <v>35</v>
      </c>
      <c r="Q63" s="264" t="s">
        <v>354</v>
      </c>
      <c r="R63" s="246">
        <v>43883</v>
      </c>
      <c r="S63" t="s">
        <v>227</v>
      </c>
    </row>
    <row r="64" spans="5:43" x14ac:dyDescent="0.25">
      <c r="E64" s="162"/>
      <c r="F64" s="162"/>
      <c r="G64" s="69"/>
      <c r="H64" s="69"/>
      <c r="I64" s="69"/>
      <c r="J64" s="69"/>
      <c r="K64" s="69"/>
      <c r="L64" s="69"/>
      <c r="M64" s="69"/>
      <c r="N64" s="69"/>
      <c r="O64" s="69"/>
      <c r="P64" s="262">
        <v>35</v>
      </c>
      <c r="Q64" s="264" t="s">
        <v>354</v>
      </c>
      <c r="R64" s="208">
        <v>43884</v>
      </c>
      <c r="S64" t="s">
        <v>208</v>
      </c>
      <c r="AL64" s="69"/>
      <c r="AM64" s="69"/>
      <c r="AN64" s="69"/>
      <c r="AO64" s="69"/>
      <c r="AP64" s="69"/>
    </row>
    <row r="65" spans="4:54" x14ac:dyDescent="0.25">
      <c r="E65" s="162"/>
      <c r="F65" s="162"/>
      <c r="G65" s="69"/>
      <c r="H65" s="69"/>
      <c r="I65" s="69"/>
      <c r="J65" s="69"/>
      <c r="K65" s="69"/>
      <c r="L65" s="69"/>
      <c r="M65" s="69"/>
      <c r="N65" s="69"/>
      <c r="O65" s="69"/>
      <c r="P65" s="262">
        <v>35</v>
      </c>
      <c r="Q65" s="264" t="s">
        <v>354</v>
      </c>
      <c r="R65" s="245">
        <v>43884</v>
      </c>
      <c r="S65" t="s">
        <v>403</v>
      </c>
      <c r="AL65" s="69"/>
      <c r="AM65" s="69"/>
      <c r="AN65" s="69"/>
      <c r="AO65" s="69"/>
      <c r="AP65" s="69"/>
    </row>
    <row r="66" spans="4:54" x14ac:dyDescent="0.25">
      <c r="E66" s="162"/>
      <c r="F66" s="162"/>
      <c r="G66" s="69"/>
      <c r="H66" s="69"/>
      <c r="I66" s="69"/>
      <c r="J66" s="69"/>
      <c r="K66" s="69"/>
      <c r="L66" s="69"/>
      <c r="M66" s="69"/>
      <c r="N66" s="69"/>
      <c r="O66" s="69"/>
      <c r="P66" s="262">
        <v>35</v>
      </c>
      <c r="Q66" s="264" t="s">
        <v>354</v>
      </c>
      <c r="R66" s="245">
        <v>43884</v>
      </c>
      <c r="S66" t="s">
        <v>404</v>
      </c>
      <c r="AL66" s="69"/>
      <c r="AM66" s="69"/>
      <c r="AN66" s="69"/>
      <c r="AO66" s="69"/>
      <c r="AP66" s="69"/>
      <c r="AR66" s="69"/>
      <c r="AS66" s="69"/>
      <c r="AT66" s="69"/>
      <c r="AU66" s="69"/>
      <c r="AV66" s="69"/>
    </row>
    <row r="67" spans="4:54" x14ac:dyDescent="0.25">
      <c r="D67" s="208"/>
      <c r="P67" s="262">
        <v>53</v>
      </c>
      <c r="Q67" s="264" t="s">
        <v>354</v>
      </c>
      <c r="R67" s="245">
        <v>43885</v>
      </c>
      <c r="S67" t="s">
        <v>195</v>
      </c>
    </row>
    <row r="68" spans="4:54" x14ac:dyDescent="0.25">
      <c r="P68" s="262">
        <v>57</v>
      </c>
      <c r="Q68" s="264" t="s">
        <v>354</v>
      </c>
      <c r="R68" s="162">
        <v>43886</v>
      </c>
      <c r="S68" t="s">
        <v>209</v>
      </c>
    </row>
    <row r="69" spans="4:54" x14ac:dyDescent="0.25">
      <c r="P69" s="262">
        <v>57</v>
      </c>
      <c r="Q69" s="264" t="s">
        <v>354</v>
      </c>
      <c r="R69" s="245">
        <v>43886</v>
      </c>
      <c r="S69" t="s">
        <v>210</v>
      </c>
      <c r="U69" s="69"/>
      <c r="V69" s="69"/>
      <c r="AQ69" s="69"/>
    </row>
    <row r="70" spans="4:54" x14ac:dyDescent="0.25">
      <c r="P70" s="262">
        <v>57</v>
      </c>
      <c r="Q70" s="264" t="s">
        <v>354</v>
      </c>
      <c r="R70" s="245">
        <v>43886</v>
      </c>
      <c r="S70" t="s">
        <v>270</v>
      </c>
      <c r="AQ70" s="69"/>
    </row>
    <row r="71" spans="4:54" x14ac:dyDescent="0.25">
      <c r="P71" s="262">
        <v>57</v>
      </c>
      <c r="Q71" s="264" t="s">
        <v>354</v>
      </c>
      <c r="R71" s="162">
        <v>43886</v>
      </c>
      <c r="S71" t="s">
        <v>211</v>
      </c>
      <c r="AQ71" s="69"/>
    </row>
    <row r="72" spans="4:54" x14ac:dyDescent="0.25">
      <c r="P72" s="260">
        <v>60</v>
      </c>
      <c r="Q72" s="264" t="s">
        <v>354</v>
      </c>
      <c r="R72" s="245">
        <v>43887</v>
      </c>
      <c r="S72" t="s">
        <v>407</v>
      </c>
      <c r="AQ72" s="69"/>
    </row>
    <row r="73" spans="4:54" x14ac:dyDescent="0.25">
      <c r="P73" s="262">
        <v>60</v>
      </c>
      <c r="Q73" s="264" t="s">
        <v>354</v>
      </c>
      <c r="R73" s="245">
        <v>43887</v>
      </c>
      <c r="S73" t="s">
        <v>408</v>
      </c>
      <c r="AQ73" s="69"/>
    </row>
    <row r="74" spans="4:54" x14ac:dyDescent="0.25">
      <c r="P74" s="262">
        <v>60</v>
      </c>
      <c r="Q74" s="264" t="s">
        <v>354</v>
      </c>
      <c r="R74" s="245">
        <v>43887</v>
      </c>
      <c r="S74" t="s">
        <v>406</v>
      </c>
      <c r="AQ74" s="69"/>
    </row>
    <row r="75" spans="4:54" x14ac:dyDescent="0.25">
      <c r="P75" s="262">
        <v>60</v>
      </c>
      <c r="Q75" s="264" t="s">
        <v>354</v>
      </c>
      <c r="R75" s="245">
        <v>43888</v>
      </c>
      <c r="S75" t="s">
        <v>266</v>
      </c>
      <c r="AQ75" s="69"/>
      <c r="AW75" s="69"/>
      <c r="AX75" s="69"/>
      <c r="AY75" s="69"/>
      <c r="AZ75" s="69"/>
      <c r="BA75" s="69"/>
      <c r="BB75" s="69"/>
    </row>
    <row r="76" spans="4:54" x14ac:dyDescent="0.25">
      <c r="P76" s="262">
        <v>60</v>
      </c>
      <c r="Q76" s="264" t="s">
        <v>354</v>
      </c>
      <c r="R76" s="245">
        <v>43888</v>
      </c>
      <c r="S76" t="s">
        <v>267</v>
      </c>
      <c r="AL76" s="69"/>
      <c r="AM76" s="69"/>
      <c r="AN76" s="69"/>
      <c r="AO76" s="69"/>
      <c r="AP76" s="69"/>
    </row>
    <row r="77" spans="4:54" x14ac:dyDescent="0.25">
      <c r="P77" s="262">
        <v>63</v>
      </c>
      <c r="Q77" s="264" t="s">
        <v>354</v>
      </c>
      <c r="R77" s="245">
        <v>43889</v>
      </c>
      <c r="S77" t="s">
        <v>278</v>
      </c>
      <c r="AL77" s="69"/>
      <c r="AM77" s="69"/>
      <c r="AN77" s="69"/>
      <c r="AO77" s="69"/>
      <c r="AP77" s="69"/>
    </row>
    <row r="78" spans="4:54" x14ac:dyDescent="0.25">
      <c r="P78" s="262">
        <v>63</v>
      </c>
      <c r="Q78" s="264" t="s">
        <v>354</v>
      </c>
      <c r="R78" s="162">
        <v>43889</v>
      </c>
      <c r="S78" t="s">
        <v>388</v>
      </c>
      <c r="AL78" s="69"/>
      <c r="AM78" s="69"/>
      <c r="AN78" s="69"/>
      <c r="AO78" s="69"/>
      <c r="AP78" s="69"/>
    </row>
    <row r="79" spans="4:54" x14ac:dyDescent="0.25">
      <c r="Q79" s="262">
        <v>68</v>
      </c>
      <c r="R79" s="263">
        <v>1</v>
      </c>
      <c r="S79" s="155">
        <v>43890</v>
      </c>
      <c r="T79" s="156" t="s">
        <v>197</v>
      </c>
      <c r="U79" s="156"/>
      <c r="V79" s="156"/>
      <c r="W79" s="156"/>
      <c r="X79" s="155">
        <f>S79+14</f>
        <v>43904</v>
      </c>
    </row>
    <row r="80" spans="4:54" x14ac:dyDescent="0.25">
      <c r="Q80" s="262">
        <v>68</v>
      </c>
      <c r="R80" s="264">
        <v>1</v>
      </c>
      <c r="S80" s="245">
        <v>43890</v>
      </c>
      <c r="T80" s="69" t="s">
        <v>279</v>
      </c>
      <c r="U80" s="69"/>
      <c r="V80" s="162"/>
    </row>
    <row r="81" spans="3:48" x14ac:dyDescent="0.25">
      <c r="E81" s="162"/>
      <c r="Q81" s="262">
        <v>100</v>
      </c>
      <c r="R81" s="263">
        <v>6</v>
      </c>
      <c r="S81" s="155">
        <v>43892</v>
      </c>
      <c r="T81" s="155" t="s">
        <v>174</v>
      </c>
      <c r="U81" s="155"/>
      <c r="V81" s="156"/>
      <c r="W81" s="156"/>
      <c r="X81" s="156"/>
      <c r="Y81" s="155">
        <v>43906</v>
      </c>
      <c r="AQ81" s="69"/>
    </row>
    <row r="82" spans="3:48" x14ac:dyDescent="0.25">
      <c r="C82" s="69"/>
      <c r="D82" s="69"/>
      <c r="E82" s="162"/>
      <c r="F82" s="69"/>
      <c r="G82" s="69"/>
      <c r="H82" s="69"/>
      <c r="I82" s="69"/>
      <c r="J82" s="69"/>
      <c r="K82" s="69"/>
      <c r="L82" s="69"/>
      <c r="M82" s="69"/>
      <c r="N82" s="69"/>
      <c r="O82" s="69"/>
      <c r="P82" s="69"/>
      <c r="Q82" s="262">
        <v>100</v>
      </c>
      <c r="R82" s="264">
        <v>6</v>
      </c>
      <c r="S82" s="245">
        <v>43892</v>
      </c>
      <c r="T82" s="162" t="s">
        <v>280</v>
      </c>
      <c r="U82" s="162"/>
      <c r="V82" s="69"/>
      <c r="W82" s="162"/>
      <c r="X82" s="69"/>
      <c r="Y82" s="69"/>
      <c r="AB82" s="69"/>
      <c r="AC82" s="69"/>
      <c r="AD82" s="69"/>
      <c r="AE82" s="69"/>
      <c r="AF82" s="69"/>
      <c r="AG82" s="69"/>
      <c r="AH82" s="69"/>
      <c r="AI82" s="69"/>
      <c r="AJ82" s="69"/>
    </row>
    <row r="83" spans="3:48" x14ac:dyDescent="0.25">
      <c r="C83" s="69"/>
      <c r="D83" s="69"/>
      <c r="E83" s="162"/>
      <c r="F83" s="69"/>
      <c r="G83" s="69"/>
      <c r="H83" s="69"/>
      <c r="I83" s="69"/>
      <c r="J83" s="69"/>
      <c r="K83" s="69"/>
      <c r="L83" s="69"/>
      <c r="M83" s="69"/>
      <c r="N83" s="69"/>
      <c r="O83" s="69"/>
      <c r="P83" s="69"/>
      <c r="Q83" s="69"/>
      <c r="R83" s="260">
        <v>124</v>
      </c>
      <c r="S83" s="264">
        <v>9</v>
      </c>
      <c r="T83" s="162">
        <v>43893</v>
      </c>
      <c r="U83" s="69" t="s">
        <v>221</v>
      </c>
      <c r="X83" s="69"/>
      <c r="Y83" s="162"/>
      <c r="Z83" s="69"/>
      <c r="AA83" s="69"/>
      <c r="AB83" s="69"/>
      <c r="AC83" s="69"/>
      <c r="AD83" s="69"/>
      <c r="AE83" s="69"/>
      <c r="AF83" s="69"/>
      <c r="AG83" s="69"/>
      <c r="AH83" s="69"/>
      <c r="AI83" s="69"/>
      <c r="AJ83" s="69"/>
    </row>
    <row r="84" spans="3:48" x14ac:dyDescent="0.25">
      <c r="E84" s="162"/>
      <c r="R84" s="262">
        <v>158</v>
      </c>
      <c r="S84" s="264">
        <v>11</v>
      </c>
      <c r="T84" s="245">
        <v>43894</v>
      </c>
      <c r="U84" t="s">
        <v>198</v>
      </c>
    </row>
    <row r="85" spans="3:48" x14ac:dyDescent="0.25">
      <c r="E85" s="162"/>
      <c r="R85" s="262">
        <v>158</v>
      </c>
      <c r="S85" s="264">
        <v>11</v>
      </c>
      <c r="T85" s="245">
        <v>43894</v>
      </c>
      <c r="U85" t="s">
        <v>324</v>
      </c>
      <c r="AR85" s="69"/>
    </row>
    <row r="86" spans="3:48" x14ac:dyDescent="0.25">
      <c r="E86" s="162"/>
      <c r="S86" s="260">
        <v>221</v>
      </c>
      <c r="T86" s="264">
        <v>12</v>
      </c>
      <c r="U86" s="245">
        <v>43895</v>
      </c>
      <c r="V86" s="69" t="s">
        <v>325</v>
      </c>
      <c r="Y86" s="162"/>
      <c r="AR86" s="69"/>
    </row>
    <row r="87" spans="3:48" x14ac:dyDescent="0.25">
      <c r="E87" s="162"/>
      <c r="S87" s="262">
        <v>221</v>
      </c>
      <c r="T87" s="264">
        <v>12</v>
      </c>
      <c r="U87" s="245">
        <v>43895</v>
      </c>
      <c r="V87" s="69" t="s">
        <v>275</v>
      </c>
      <c r="Y87" s="162"/>
      <c r="AR87" s="69"/>
    </row>
    <row r="88" spans="3:48" x14ac:dyDescent="0.25">
      <c r="E88" s="162"/>
      <c r="S88" s="262">
        <v>319</v>
      </c>
      <c r="T88" s="263">
        <v>15</v>
      </c>
      <c r="U88" s="245">
        <v>43896</v>
      </c>
      <c r="V88" s="69" t="s">
        <v>234</v>
      </c>
      <c r="Y88" s="162"/>
      <c r="AK88" s="69"/>
      <c r="AR88" s="69"/>
    </row>
    <row r="89" spans="3:48" x14ac:dyDescent="0.25">
      <c r="C89" s="69"/>
      <c r="D89" s="69"/>
      <c r="E89" s="162"/>
      <c r="F89" s="69"/>
      <c r="G89" s="69"/>
      <c r="H89" s="69"/>
      <c r="I89" s="69"/>
      <c r="J89" s="69"/>
      <c r="K89" s="69"/>
      <c r="L89" s="69"/>
      <c r="M89" s="69"/>
      <c r="N89" s="69"/>
      <c r="O89" s="69"/>
      <c r="P89" s="69"/>
      <c r="Q89" s="69"/>
      <c r="R89" s="69"/>
      <c r="S89" s="262">
        <v>319</v>
      </c>
      <c r="T89" s="264">
        <v>15</v>
      </c>
      <c r="U89" s="162">
        <v>43896</v>
      </c>
      <c r="V89" s="69" t="s">
        <v>245</v>
      </c>
      <c r="Y89" s="162"/>
      <c r="Z89" s="69"/>
      <c r="AA89" s="69"/>
      <c r="AB89" s="69"/>
      <c r="AC89" s="69"/>
      <c r="AD89" s="69"/>
      <c r="AE89" s="69"/>
      <c r="AF89" s="69"/>
      <c r="AG89" s="69"/>
      <c r="AH89" s="69"/>
      <c r="AI89" s="69"/>
      <c r="AJ89" s="69"/>
      <c r="AK89" s="69"/>
      <c r="AQ89" s="69"/>
      <c r="AR89" s="69"/>
    </row>
    <row r="90" spans="3:48" x14ac:dyDescent="0.25">
      <c r="C90" s="69"/>
      <c r="D90" s="69"/>
      <c r="E90" s="162"/>
      <c r="F90" s="69"/>
      <c r="G90" s="69"/>
      <c r="H90" s="69"/>
      <c r="I90" s="69"/>
      <c r="J90" s="69"/>
      <c r="K90" s="69"/>
      <c r="L90" s="69"/>
      <c r="M90" s="69"/>
      <c r="N90" s="69"/>
      <c r="O90" s="69"/>
      <c r="P90" s="69"/>
      <c r="Q90" s="69"/>
      <c r="R90" s="69"/>
      <c r="S90" s="262">
        <v>319</v>
      </c>
      <c r="T90" s="264">
        <v>15</v>
      </c>
      <c r="U90" s="245">
        <v>43896</v>
      </c>
      <c r="V90" s="69" t="s">
        <v>282</v>
      </c>
      <c r="Y90" s="162"/>
      <c r="Z90" s="69"/>
      <c r="AA90" s="69"/>
      <c r="AB90" s="69"/>
      <c r="AC90" s="69"/>
      <c r="AD90" s="69"/>
      <c r="AE90" s="69"/>
      <c r="AF90" s="69"/>
      <c r="AG90" s="69"/>
      <c r="AH90" s="69"/>
      <c r="AI90" s="69"/>
      <c r="AJ90" s="69"/>
      <c r="AQ90" s="69"/>
      <c r="AR90" s="69"/>
    </row>
    <row r="91" spans="3:48" x14ac:dyDescent="0.25">
      <c r="C91" s="69"/>
      <c r="D91" s="69"/>
      <c r="E91" s="162"/>
      <c r="F91" s="69"/>
      <c r="G91" s="69"/>
      <c r="H91" s="69"/>
      <c r="I91" s="69"/>
      <c r="J91" s="69"/>
      <c r="K91" s="69"/>
      <c r="L91" s="69"/>
      <c r="M91" s="69"/>
      <c r="N91" s="69"/>
      <c r="O91" s="69"/>
      <c r="P91" s="69"/>
      <c r="Q91" s="69"/>
      <c r="R91" s="69"/>
      <c r="S91" s="262">
        <v>319</v>
      </c>
      <c r="T91" s="264">
        <v>15</v>
      </c>
      <c r="U91" s="245">
        <v>43896</v>
      </c>
      <c r="V91" s="69" t="s">
        <v>283</v>
      </c>
      <c r="Y91" s="162"/>
      <c r="Z91" s="69"/>
      <c r="AA91" s="69"/>
      <c r="AB91" s="69"/>
      <c r="AC91" s="69"/>
      <c r="AD91" s="69"/>
      <c r="AE91" s="69"/>
      <c r="AF91" s="69"/>
      <c r="AG91" s="69"/>
      <c r="AH91" s="69"/>
      <c r="AI91" s="69"/>
      <c r="AJ91" s="69"/>
      <c r="AR91" s="69"/>
    </row>
    <row r="92" spans="3:48" x14ac:dyDescent="0.25">
      <c r="C92" s="69"/>
      <c r="D92" s="69"/>
      <c r="E92" s="162"/>
      <c r="F92" s="69"/>
      <c r="G92" s="69"/>
      <c r="H92" s="69"/>
      <c r="I92" s="69"/>
      <c r="J92" s="69"/>
      <c r="K92" s="69"/>
      <c r="L92" s="69"/>
      <c r="M92" s="69"/>
      <c r="N92" s="69"/>
      <c r="O92" s="69"/>
      <c r="P92" s="69"/>
      <c r="Q92" s="69"/>
      <c r="R92" s="69"/>
      <c r="S92" s="260">
        <v>435</v>
      </c>
      <c r="T92" s="264">
        <v>19</v>
      </c>
      <c r="U92" s="245">
        <v>43897</v>
      </c>
      <c r="V92" s="69" t="s">
        <v>269</v>
      </c>
      <c r="Y92" s="162"/>
      <c r="Z92" s="69"/>
      <c r="AA92" s="69"/>
      <c r="AB92" s="69"/>
      <c r="AC92" s="69"/>
      <c r="AD92" s="69"/>
      <c r="AE92" s="69"/>
      <c r="AF92" s="69"/>
      <c r="AG92" s="69"/>
      <c r="AH92" s="69"/>
      <c r="AI92" s="69"/>
      <c r="AJ92" s="69"/>
    </row>
    <row r="93" spans="3:48" x14ac:dyDescent="0.25">
      <c r="C93" s="69"/>
      <c r="D93" s="69"/>
      <c r="E93" s="162"/>
      <c r="F93" s="69"/>
      <c r="G93" s="69"/>
      <c r="H93" s="69"/>
      <c r="I93" s="69"/>
      <c r="J93" s="69"/>
      <c r="K93" s="69"/>
      <c r="L93" s="69"/>
      <c r="M93" s="69"/>
      <c r="N93" s="69"/>
      <c r="O93" s="69"/>
      <c r="P93" s="69"/>
      <c r="Q93" s="69"/>
      <c r="R93" s="69"/>
      <c r="S93" s="69"/>
      <c r="T93" s="262">
        <v>541</v>
      </c>
      <c r="U93" s="264">
        <v>22</v>
      </c>
      <c r="V93" s="245">
        <v>43898</v>
      </c>
      <c r="W93" s="162" t="s">
        <v>284</v>
      </c>
      <c r="X93" s="69"/>
      <c r="Y93" s="69"/>
      <c r="Z93" s="69"/>
      <c r="AA93" s="69"/>
      <c r="AB93" s="69"/>
      <c r="AC93" s="69"/>
      <c r="AD93" s="69"/>
      <c r="AE93" s="69"/>
      <c r="AF93" s="69"/>
      <c r="AG93" s="69"/>
      <c r="AH93" s="69"/>
      <c r="AI93" s="69"/>
      <c r="AJ93" s="69"/>
    </row>
    <row r="94" spans="3:48" x14ac:dyDescent="0.25">
      <c r="E94" s="162"/>
      <c r="T94" s="262">
        <v>704</v>
      </c>
      <c r="U94" s="264">
        <v>26</v>
      </c>
      <c r="V94" s="245">
        <v>43899</v>
      </c>
      <c r="W94" s="162" t="s">
        <v>350</v>
      </c>
    </row>
    <row r="95" spans="3:48" x14ac:dyDescent="0.25">
      <c r="E95" s="162"/>
      <c r="T95" s="262">
        <v>704</v>
      </c>
      <c r="U95" s="264">
        <v>26</v>
      </c>
      <c r="V95" s="245">
        <v>43899</v>
      </c>
      <c r="W95" s="162" t="s">
        <v>326</v>
      </c>
      <c r="AK95" s="69"/>
      <c r="AS95" s="69"/>
      <c r="AT95" s="69"/>
      <c r="AU95" s="69"/>
      <c r="AV95" s="69"/>
    </row>
    <row r="96" spans="3:48" x14ac:dyDescent="0.25">
      <c r="E96" s="162"/>
      <c r="T96" s="262">
        <v>704</v>
      </c>
      <c r="U96" s="264">
        <v>26</v>
      </c>
      <c r="V96" s="245">
        <v>43899</v>
      </c>
      <c r="W96" s="162" t="s">
        <v>212</v>
      </c>
      <c r="AK96" s="69"/>
      <c r="AS96" s="69"/>
      <c r="AT96" s="69"/>
      <c r="AU96" s="69"/>
      <c r="AV96" s="69"/>
    </row>
    <row r="97" spans="3:55" x14ac:dyDescent="0.25">
      <c r="E97" s="162"/>
      <c r="T97" s="260">
        <v>994</v>
      </c>
      <c r="U97" s="263">
        <v>30</v>
      </c>
      <c r="V97" s="245">
        <v>43900</v>
      </c>
      <c r="W97" s="162" t="s">
        <v>285</v>
      </c>
      <c r="AK97" s="69"/>
      <c r="AR97" s="69"/>
      <c r="AS97" s="69"/>
      <c r="AT97" s="69"/>
      <c r="AU97" s="69"/>
      <c r="AV97" s="69"/>
    </row>
    <row r="98" spans="3:55" x14ac:dyDescent="0.25">
      <c r="E98" s="162"/>
      <c r="T98" s="262">
        <v>994</v>
      </c>
      <c r="U98" s="264">
        <v>30</v>
      </c>
      <c r="V98" s="245">
        <v>43900</v>
      </c>
      <c r="W98" s="162" t="s">
        <v>213</v>
      </c>
      <c r="AK98" s="69"/>
      <c r="AS98" s="69"/>
      <c r="AT98" s="69"/>
      <c r="AU98" s="69"/>
      <c r="AV98" s="69"/>
    </row>
    <row r="99" spans="3:55" x14ac:dyDescent="0.25">
      <c r="E99" s="162"/>
      <c r="T99" s="162"/>
      <c r="U99" s="262">
        <v>1301</v>
      </c>
      <c r="V99" s="264">
        <v>38</v>
      </c>
      <c r="W99" s="246">
        <v>43901</v>
      </c>
      <c r="X99" s="69" t="s">
        <v>200</v>
      </c>
      <c r="AK99" s="69"/>
      <c r="AS99" s="69"/>
      <c r="AT99" s="69"/>
      <c r="AU99" s="69"/>
      <c r="AV99" s="69"/>
    </row>
    <row r="100" spans="3:55" x14ac:dyDescent="0.25">
      <c r="E100" s="162"/>
      <c r="T100" s="162"/>
      <c r="U100" s="262">
        <v>1301</v>
      </c>
      <c r="V100" s="264">
        <v>38</v>
      </c>
      <c r="W100" s="245">
        <v>43901</v>
      </c>
      <c r="X100" s="69" t="s">
        <v>244</v>
      </c>
      <c r="AL100" s="69"/>
      <c r="AM100" s="69"/>
      <c r="AN100" s="69"/>
      <c r="AO100" s="69"/>
      <c r="AP100" s="69"/>
      <c r="AS100" s="69"/>
      <c r="AT100" s="69"/>
      <c r="AU100" s="69"/>
      <c r="AV100" s="69"/>
    </row>
    <row r="101" spans="3:55" x14ac:dyDescent="0.25">
      <c r="E101" s="162"/>
      <c r="U101" s="262">
        <v>1301</v>
      </c>
      <c r="V101" s="264">
        <v>38</v>
      </c>
      <c r="W101" s="245">
        <v>43901</v>
      </c>
      <c r="X101" t="s">
        <v>218</v>
      </c>
      <c r="AL101" s="69"/>
      <c r="AM101" s="69"/>
      <c r="AN101" s="69"/>
      <c r="AO101" s="69"/>
      <c r="AP101" s="69"/>
      <c r="AS101" s="69"/>
      <c r="AT101" s="69"/>
      <c r="AU101" s="69"/>
      <c r="AV101" s="69"/>
    </row>
    <row r="102" spans="3:55" x14ac:dyDescent="0.25">
      <c r="C102" s="69"/>
      <c r="D102" s="69"/>
      <c r="E102" s="162"/>
      <c r="F102" s="69"/>
      <c r="G102" s="69"/>
      <c r="H102" s="69"/>
      <c r="I102" s="69"/>
      <c r="J102" s="69"/>
      <c r="K102" s="69"/>
      <c r="L102" s="69"/>
      <c r="M102" s="69"/>
      <c r="N102" s="69"/>
      <c r="O102" s="69"/>
      <c r="P102" s="69"/>
      <c r="Q102" s="69"/>
      <c r="R102" s="69"/>
      <c r="S102" s="69"/>
      <c r="T102" s="162"/>
      <c r="U102" s="262">
        <v>1630</v>
      </c>
      <c r="V102" s="264">
        <v>41</v>
      </c>
      <c r="W102" s="162">
        <v>43902</v>
      </c>
      <c r="X102" s="69" t="s">
        <v>237</v>
      </c>
      <c r="Y102" s="69"/>
      <c r="Z102" s="69"/>
      <c r="AA102" s="69"/>
      <c r="AB102" s="69"/>
      <c r="AC102" s="69"/>
      <c r="AD102" s="69"/>
      <c r="AE102" s="69"/>
      <c r="AF102" s="69"/>
      <c r="AG102" s="69"/>
      <c r="AJ102" s="69"/>
      <c r="AS102" s="69"/>
      <c r="AT102" s="69"/>
      <c r="AU102" s="69"/>
      <c r="AV102" s="69"/>
    </row>
    <row r="103" spans="3:55" x14ac:dyDescent="0.25">
      <c r="E103" s="162"/>
      <c r="U103" s="262">
        <v>1630</v>
      </c>
      <c r="V103" s="264">
        <v>41</v>
      </c>
      <c r="W103" s="245">
        <v>43902</v>
      </c>
      <c r="X103" t="s">
        <v>214</v>
      </c>
      <c r="AS103" s="69"/>
      <c r="AT103" s="69"/>
      <c r="AU103" s="69"/>
      <c r="AV103" s="69"/>
    </row>
    <row r="104" spans="3:55" x14ac:dyDescent="0.25">
      <c r="E104" s="162"/>
      <c r="U104" s="261">
        <v>2183</v>
      </c>
      <c r="V104" s="264">
        <v>48</v>
      </c>
      <c r="W104" s="155">
        <v>43903</v>
      </c>
      <c r="X104" s="156" t="s">
        <v>175</v>
      </c>
      <c r="Y104" s="156"/>
      <c r="Z104" s="156"/>
      <c r="AA104" s="156"/>
      <c r="AB104" s="156"/>
      <c r="AC104" s="156"/>
      <c r="AD104" s="156"/>
      <c r="AE104" s="156"/>
      <c r="AF104" s="156"/>
      <c r="AG104" s="156"/>
      <c r="AH104" s="156"/>
      <c r="AI104" s="156"/>
      <c r="AJ104" s="156"/>
      <c r="AS104" s="69"/>
      <c r="AT104" s="69"/>
      <c r="AU104" s="69"/>
      <c r="AV104" s="69"/>
      <c r="AW104" s="69"/>
      <c r="AX104" s="69"/>
      <c r="AY104" s="69"/>
      <c r="AZ104" s="69"/>
      <c r="BA104" s="69"/>
      <c r="BB104" s="69"/>
    </row>
    <row r="105" spans="3:55" x14ac:dyDescent="0.25">
      <c r="E105" s="162"/>
      <c r="U105" s="262">
        <v>2183</v>
      </c>
      <c r="V105" s="264">
        <v>48</v>
      </c>
      <c r="W105" s="245">
        <v>43903</v>
      </c>
      <c r="X105" t="s">
        <v>215</v>
      </c>
      <c r="AR105" s="69"/>
      <c r="AW105" s="69"/>
      <c r="AX105" s="69"/>
      <c r="AY105" s="69"/>
      <c r="AZ105" s="69"/>
      <c r="BA105" s="69"/>
      <c r="BB105" s="69"/>
    </row>
    <row r="106" spans="3:55" x14ac:dyDescent="0.25">
      <c r="E106" s="162"/>
      <c r="U106" s="262">
        <v>2183</v>
      </c>
      <c r="V106" s="264">
        <v>48</v>
      </c>
      <c r="W106" s="245">
        <v>43903</v>
      </c>
      <c r="X106" t="s">
        <v>216</v>
      </c>
      <c r="AR106" s="69"/>
      <c r="AW106" s="69"/>
      <c r="AX106" s="69"/>
      <c r="AY106" s="69"/>
      <c r="AZ106" s="69"/>
      <c r="BA106" s="69"/>
      <c r="BB106" s="69"/>
    </row>
    <row r="107" spans="3:55" x14ac:dyDescent="0.25">
      <c r="C107" s="69"/>
      <c r="D107" s="69"/>
      <c r="E107" s="162"/>
      <c r="F107" s="69"/>
      <c r="G107" s="69"/>
      <c r="H107" s="69"/>
      <c r="I107" s="69"/>
      <c r="J107" s="69"/>
      <c r="K107" s="69"/>
      <c r="L107" s="69"/>
      <c r="M107" s="69"/>
      <c r="N107" s="69"/>
      <c r="O107" s="69"/>
      <c r="P107" s="69"/>
      <c r="Q107" s="69"/>
      <c r="R107" s="69"/>
      <c r="S107" s="69"/>
      <c r="T107" s="69"/>
      <c r="U107" s="262">
        <v>2183</v>
      </c>
      <c r="V107" s="264">
        <v>48</v>
      </c>
      <c r="W107" s="162">
        <v>43903</v>
      </c>
      <c r="X107" s="69" t="s">
        <v>252</v>
      </c>
      <c r="Y107" s="69"/>
      <c r="Z107" s="69"/>
      <c r="AA107" s="69"/>
      <c r="AB107" s="69"/>
      <c r="AC107" s="69"/>
      <c r="AD107" s="69"/>
      <c r="AE107" s="69"/>
      <c r="AF107" s="69"/>
      <c r="AG107" s="69"/>
      <c r="AJ107" s="69"/>
      <c r="AL107" s="69"/>
      <c r="AM107" s="69"/>
      <c r="AN107" s="69"/>
      <c r="AO107" s="69"/>
      <c r="AP107" s="69"/>
      <c r="AW107" s="69"/>
      <c r="AX107" s="69"/>
      <c r="AY107" s="69"/>
      <c r="AZ107" s="69"/>
      <c r="BA107" s="69"/>
      <c r="BB107" s="69"/>
    </row>
    <row r="108" spans="3:55" x14ac:dyDescent="0.25">
      <c r="D108" s="162"/>
      <c r="S108" s="69"/>
      <c r="T108" s="162"/>
      <c r="U108" s="69"/>
      <c r="V108" s="262">
        <v>2771</v>
      </c>
      <c r="W108" s="263">
        <v>58</v>
      </c>
      <c r="X108" s="155">
        <v>43904</v>
      </c>
      <c r="Y108" s="156" t="s">
        <v>170</v>
      </c>
      <c r="Z108" s="156"/>
      <c r="AA108" s="155"/>
      <c r="AB108" s="155"/>
      <c r="AC108" s="156"/>
      <c r="AD108" s="155">
        <v>43918</v>
      </c>
      <c r="AK108" s="69"/>
      <c r="AL108" s="69"/>
      <c r="AM108" s="69"/>
      <c r="AN108" s="69"/>
      <c r="AO108" s="69"/>
      <c r="AP108" s="69"/>
      <c r="AW108" s="69"/>
      <c r="AX108" s="69"/>
      <c r="AY108" s="69"/>
      <c r="AZ108" s="69"/>
      <c r="BA108" s="69"/>
      <c r="BB108" s="69"/>
    </row>
    <row r="109" spans="3:55" x14ac:dyDescent="0.25">
      <c r="D109" s="69"/>
      <c r="E109" s="69"/>
      <c r="F109" s="162"/>
      <c r="G109" s="162"/>
      <c r="H109" s="162"/>
      <c r="I109" s="162"/>
      <c r="J109" s="162"/>
      <c r="K109" s="162"/>
      <c r="L109" s="162"/>
      <c r="M109" s="162"/>
      <c r="N109" s="162"/>
      <c r="O109" s="162"/>
      <c r="P109" s="162"/>
      <c r="Q109" s="162"/>
      <c r="R109" s="69"/>
      <c r="S109" s="69"/>
      <c r="W109" s="261">
        <v>4604</v>
      </c>
      <c r="X109" s="264">
        <v>95</v>
      </c>
      <c r="Y109" s="155">
        <v>43906</v>
      </c>
      <c r="Z109" s="156" t="s">
        <v>359</v>
      </c>
      <c r="AA109" s="156"/>
      <c r="AB109" s="156"/>
      <c r="AC109" s="156"/>
      <c r="AD109" s="156"/>
      <c r="AE109" s="156"/>
      <c r="AF109" s="156"/>
      <c r="AG109" s="156"/>
      <c r="AH109" s="156"/>
      <c r="AI109" s="156"/>
      <c r="AJ109" s="156"/>
      <c r="AL109" s="69"/>
      <c r="AM109" s="69"/>
      <c r="AN109" s="69"/>
      <c r="AO109" s="69"/>
      <c r="AP109" s="69"/>
      <c r="AW109" s="69"/>
      <c r="AX109" s="69"/>
      <c r="AY109" s="69"/>
      <c r="AZ109" s="69"/>
      <c r="BA109" s="69"/>
      <c r="BB109" s="69"/>
      <c r="BC109" s="69"/>
    </row>
    <row r="110" spans="3:55" x14ac:dyDescent="0.25">
      <c r="D110" s="69"/>
      <c r="E110" s="69"/>
      <c r="F110" s="162"/>
      <c r="G110" s="162"/>
      <c r="H110" s="162"/>
      <c r="I110" s="162"/>
      <c r="J110" s="162"/>
      <c r="K110" s="162"/>
      <c r="L110" s="162"/>
      <c r="M110" s="162"/>
      <c r="N110" s="162"/>
      <c r="O110" s="162"/>
      <c r="P110" s="162"/>
      <c r="Q110" s="162"/>
      <c r="R110" s="69"/>
      <c r="S110" s="69"/>
      <c r="W110" s="262">
        <v>4604</v>
      </c>
      <c r="X110" s="264">
        <v>95</v>
      </c>
      <c r="Y110" s="208">
        <v>43906</v>
      </c>
      <c r="Z110" s="162" t="s">
        <v>506</v>
      </c>
      <c r="AA110" s="69"/>
      <c r="AB110" s="69"/>
      <c r="AC110" s="69"/>
      <c r="AD110" s="69"/>
      <c r="AE110" s="69"/>
      <c r="AF110" s="69"/>
      <c r="AG110" s="69"/>
      <c r="AH110" s="69"/>
      <c r="AI110" s="69"/>
      <c r="AJ110" s="69"/>
      <c r="AL110" s="69"/>
      <c r="AM110" s="69"/>
      <c r="AN110" s="69"/>
      <c r="AO110" s="69"/>
      <c r="AP110" s="69"/>
      <c r="AW110" s="69"/>
      <c r="AX110" s="69"/>
      <c r="AY110" s="69"/>
      <c r="AZ110" s="69"/>
      <c r="BA110" s="69"/>
      <c r="BB110" s="69"/>
    </row>
    <row r="111" spans="3:55" x14ac:dyDescent="0.25">
      <c r="D111" s="69"/>
      <c r="E111" s="69"/>
      <c r="F111" s="69"/>
      <c r="G111" s="69"/>
      <c r="H111" s="69"/>
      <c r="I111" s="69"/>
      <c r="J111" s="69"/>
      <c r="K111" s="69"/>
      <c r="L111" s="69"/>
      <c r="M111" s="69"/>
      <c r="N111" s="69"/>
      <c r="O111" s="69"/>
      <c r="P111" s="69"/>
      <c r="Q111" s="69"/>
      <c r="R111" s="162"/>
      <c r="S111" s="69"/>
      <c r="T111" s="69"/>
      <c r="U111" s="69"/>
      <c r="V111" s="162"/>
      <c r="W111" s="262">
        <v>6357</v>
      </c>
      <c r="X111" s="263">
        <v>121</v>
      </c>
      <c r="Y111" s="245">
        <v>43907</v>
      </c>
      <c r="Z111" t="s">
        <v>199</v>
      </c>
      <c r="AL111" s="69"/>
      <c r="AM111" s="69"/>
      <c r="AN111" s="69"/>
      <c r="AO111" s="69"/>
      <c r="AP111" s="69"/>
      <c r="AW111" s="69"/>
      <c r="AX111" s="69"/>
      <c r="AY111" s="69"/>
      <c r="AZ111" s="69"/>
      <c r="BA111" s="69"/>
      <c r="BB111" s="69"/>
    </row>
    <row r="112" spans="3:55" x14ac:dyDescent="0.25">
      <c r="X112" s="261">
        <v>9317</v>
      </c>
      <c r="Y112" s="264">
        <v>171</v>
      </c>
      <c r="Z112" s="155">
        <v>43908</v>
      </c>
      <c r="AA112" s="156" t="s">
        <v>171</v>
      </c>
      <c r="AB112" s="155">
        <v>43922</v>
      </c>
      <c r="AL112" s="69"/>
      <c r="AM112" s="69"/>
      <c r="AN112" s="69"/>
      <c r="AO112" s="69"/>
      <c r="AP112" s="69"/>
      <c r="AW112" s="69"/>
      <c r="AX112" s="69"/>
      <c r="AY112" s="69"/>
      <c r="AZ112" s="69"/>
      <c r="BA112" s="69"/>
      <c r="BB112" s="69"/>
    </row>
    <row r="113" spans="3:55" x14ac:dyDescent="0.25">
      <c r="X113" s="262">
        <v>9317</v>
      </c>
      <c r="Y113" s="264">
        <v>171</v>
      </c>
      <c r="Z113" s="245">
        <v>43908</v>
      </c>
      <c r="AA113" s="69" t="s">
        <v>238</v>
      </c>
      <c r="AB113" s="162"/>
      <c r="AQ113" s="69"/>
      <c r="AW113" s="69"/>
      <c r="AX113" s="69"/>
      <c r="AY113" s="69"/>
      <c r="AZ113" s="69"/>
      <c r="BA113" s="69"/>
      <c r="BB113" s="69"/>
    </row>
    <row r="114" spans="3:55" x14ac:dyDescent="0.25">
      <c r="X114" s="262">
        <v>9317</v>
      </c>
      <c r="Y114" s="264">
        <v>171</v>
      </c>
      <c r="Z114" s="245">
        <v>43908</v>
      </c>
      <c r="AA114" s="69" t="s">
        <v>398</v>
      </c>
      <c r="AB114" s="162"/>
      <c r="AQ114" s="69"/>
    </row>
    <row r="115" spans="3:55" x14ac:dyDescent="0.25">
      <c r="X115" s="262">
        <v>13898</v>
      </c>
      <c r="Y115" s="263">
        <v>239</v>
      </c>
      <c r="Z115" s="245">
        <v>43909</v>
      </c>
      <c r="AA115" s="69" t="s">
        <v>286</v>
      </c>
      <c r="AB115" s="162"/>
      <c r="AC115" s="69"/>
      <c r="AF115" s="69"/>
      <c r="AG115" s="69"/>
      <c r="AH115" s="69"/>
      <c r="AK115" s="69"/>
      <c r="AQ115" s="69"/>
    </row>
    <row r="116" spans="3:55" x14ac:dyDescent="0.25">
      <c r="Y116" s="261">
        <v>19551</v>
      </c>
      <c r="Z116" s="264">
        <v>309</v>
      </c>
      <c r="AA116" s="155">
        <v>43910</v>
      </c>
      <c r="AB116" s="156" t="s">
        <v>172</v>
      </c>
      <c r="AC116" s="156"/>
      <c r="AD116" s="156"/>
      <c r="AE116" s="155">
        <v>43924</v>
      </c>
      <c r="AS116" s="69"/>
      <c r="AT116" s="69"/>
      <c r="AU116" s="69"/>
      <c r="AV116" s="69"/>
    </row>
    <row r="117" spans="3:55" x14ac:dyDescent="0.25">
      <c r="Y117" s="69"/>
      <c r="Z117" s="262">
        <v>33840</v>
      </c>
      <c r="AA117" s="263">
        <v>509</v>
      </c>
      <c r="AB117" s="245">
        <v>43912</v>
      </c>
      <c r="AC117" s="69" t="s">
        <v>397</v>
      </c>
      <c r="AD117" s="69"/>
      <c r="AE117" s="162"/>
    </row>
    <row r="118" spans="3:55" x14ac:dyDescent="0.25">
      <c r="Z118" s="262">
        <v>44189</v>
      </c>
      <c r="AA118" s="264">
        <v>689</v>
      </c>
      <c r="AB118" s="245">
        <v>43913</v>
      </c>
      <c r="AC118" s="69" t="s">
        <v>322</v>
      </c>
      <c r="AD118" s="69"/>
      <c r="AE118" s="162"/>
    </row>
    <row r="119" spans="3:55" x14ac:dyDescent="0.25">
      <c r="Z119" s="261">
        <v>55398</v>
      </c>
      <c r="AA119" s="263">
        <v>957</v>
      </c>
      <c r="AB119" s="155">
        <v>43914</v>
      </c>
      <c r="AC119" s="156" t="s">
        <v>173</v>
      </c>
      <c r="AD119" s="156"/>
      <c r="AE119" s="155">
        <v>43928</v>
      </c>
      <c r="AG119" s="69"/>
      <c r="AH119" s="69"/>
    </row>
    <row r="120" spans="3:55" x14ac:dyDescent="0.25">
      <c r="Z120" s="262">
        <v>55398</v>
      </c>
      <c r="AA120" s="264">
        <v>957</v>
      </c>
      <c r="AB120" s="245">
        <v>43914</v>
      </c>
      <c r="AC120" t="s">
        <v>235</v>
      </c>
      <c r="AG120" s="69"/>
      <c r="AH120" s="69"/>
    </row>
    <row r="121" spans="3:55" x14ac:dyDescent="0.25">
      <c r="C121" s="69"/>
      <c r="D121" s="69"/>
      <c r="E121" s="69"/>
      <c r="F121" s="69"/>
      <c r="G121" s="69"/>
      <c r="H121" s="69"/>
      <c r="I121" s="69"/>
      <c r="J121" s="69"/>
      <c r="K121" s="69"/>
      <c r="L121" s="69"/>
      <c r="M121" s="69"/>
      <c r="N121" s="69"/>
      <c r="O121" s="69"/>
      <c r="P121" s="69"/>
      <c r="Q121" s="69"/>
      <c r="R121" s="69"/>
      <c r="S121" s="69"/>
      <c r="T121" s="69"/>
      <c r="U121" s="69"/>
      <c r="V121" s="69"/>
      <c r="W121" s="69"/>
      <c r="X121" s="69"/>
      <c r="Y121" s="69"/>
      <c r="Z121" s="262">
        <v>55398</v>
      </c>
      <c r="AA121" s="264">
        <v>957</v>
      </c>
      <c r="AB121" s="162">
        <v>43914</v>
      </c>
      <c r="AC121" s="69" t="s">
        <v>294</v>
      </c>
      <c r="AD121" s="69"/>
      <c r="AE121" s="69"/>
      <c r="AF121" s="69"/>
      <c r="AG121" s="69"/>
      <c r="AH121" s="69"/>
      <c r="AI121" s="69"/>
      <c r="AJ121" s="69"/>
    </row>
    <row r="122" spans="3:55" x14ac:dyDescent="0.25">
      <c r="C122" s="69"/>
      <c r="D122" s="69"/>
      <c r="E122" s="69"/>
      <c r="F122" s="69"/>
      <c r="G122" s="69"/>
      <c r="H122" s="69"/>
      <c r="I122" s="69"/>
      <c r="J122" s="69"/>
      <c r="K122" s="69"/>
      <c r="L122" s="69"/>
      <c r="M122" s="69"/>
      <c r="N122" s="69"/>
      <c r="O122" s="69"/>
      <c r="P122" s="69"/>
      <c r="Q122" s="69"/>
      <c r="R122" s="69"/>
      <c r="S122" s="69"/>
      <c r="T122" s="69"/>
      <c r="U122" s="69"/>
      <c r="V122" s="69"/>
      <c r="W122" s="69"/>
      <c r="X122" s="69"/>
      <c r="Y122" s="69"/>
      <c r="AA122" s="262">
        <v>68905</v>
      </c>
      <c r="AB122" s="264">
        <v>1260</v>
      </c>
      <c r="AC122" s="162">
        <v>43915</v>
      </c>
      <c r="AD122" s="69" t="s">
        <v>396</v>
      </c>
      <c r="AE122" s="69"/>
      <c r="AF122" s="69"/>
      <c r="AG122" s="69"/>
      <c r="AH122" s="69"/>
      <c r="AI122" s="69"/>
      <c r="AJ122" s="69"/>
    </row>
    <row r="123" spans="3:55" x14ac:dyDescent="0.25">
      <c r="C123" s="69"/>
      <c r="D123" s="69"/>
      <c r="E123" s="69"/>
      <c r="F123" s="69"/>
      <c r="G123" s="69"/>
      <c r="H123" s="69"/>
      <c r="I123" s="69"/>
      <c r="J123" s="69"/>
      <c r="K123" s="69"/>
      <c r="L123" s="69"/>
      <c r="M123" s="69"/>
      <c r="N123" s="69"/>
      <c r="O123" s="69"/>
      <c r="P123" s="69"/>
      <c r="Q123" s="69"/>
      <c r="R123" s="69"/>
      <c r="S123" s="69"/>
      <c r="T123" s="69"/>
      <c r="U123" s="69"/>
      <c r="V123" s="69"/>
      <c r="W123" s="69"/>
      <c r="X123" s="69"/>
      <c r="Y123" s="69"/>
      <c r="Z123" s="69"/>
      <c r="AA123" s="262">
        <v>105217</v>
      </c>
      <c r="AB123" s="264">
        <v>2110</v>
      </c>
      <c r="AC123" s="208">
        <v>43917</v>
      </c>
      <c r="AD123" s="208" t="s">
        <v>219</v>
      </c>
      <c r="AE123" s="69"/>
      <c r="AF123" s="69"/>
      <c r="AG123" s="69"/>
      <c r="AH123" s="69"/>
      <c r="AI123" s="69"/>
      <c r="AJ123" s="69"/>
      <c r="AQ123" s="69"/>
    </row>
    <row r="124" spans="3:55" x14ac:dyDescent="0.25">
      <c r="C124" s="69"/>
      <c r="D124" s="69"/>
      <c r="E124" s="69"/>
      <c r="F124" s="69"/>
      <c r="G124" s="69"/>
      <c r="H124" s="69"/>
      <c r="I124" s="69"/>
      <c r="J124" s="69"/>
      <c r="K124" s="69"/>
      <c r="L124" s="69"/>
      <c r="M124" s="69"/>
      <c r="N124" s="69"/>
      <c r="O124" s="69"/>
      <c r="P124" s="69"/>
      <c r="Q124" s="69"/>
      <c r="R124" s="69"/>
      <c r="S124" s="69"/>
      <c r="T124" s="69"/>
      <c r="U124" s="69"/>
      <c r="V124" s="69"/>
      <c r="W124" s="69"/>
      <c r="X124" s="69"/>
      <c r="Y124" s="69"/>
      <c r="Z124" s="69"/>
      <c r="AA124" s="262">
        <v>105217</v>
      </c>
      <c r="AB124" s="264">
        <v>2110</v>
      </c>
      <c r="AC124" s="245">
        <v>43917</v>
      </c>
      <c r="AD124" t="s">
        <v>246</v>
      </c>
      <c r="AE124" s="69"/>
      <c r="AF124" s="69"/>
      <c r="AG124" s="69"/>
      <c r="AH124" s="69"/>
      <c r="AI124" s="69"/>
      <c r="AJ124" s="69"/>
      <c r="AQ124" s="69"/>
    </row>
    <row r="125" spans="3:55" x14ac:dyDescent="0.25">
      <c r="C125" s="69"/>
      <c r="D125" s="69"/>
      <c r="E125" s="69"/>
      <c r="F125" s="69"/>
      <c r="G125" s="69"/>
      <c r="H125" s="69"/>
      <c r="I125" s="69"/>
      <c r="J125" s="69"/>
      <c r="K125" s="69"/>
      <c r="L125" s="69"/>
      <c r="M125" s="69"/>
      <c r="N125" s="69"/>
      <c r="O125" s="69"/>
      <c r="P125" s="69"/>
      <c r="Q125" s="69"/>
      <c r="R125" s="69"/>
      <c r="S125" s="69"/>
      <c r="T125" s="69"/>
      <c r="U125" s="69"/>
      <c r="V125" s="69"/>
      <c r="W125" s="69"/>
      <c r="X125" s="69"/>
      <c r="Y125" s="69"/>
      <c r="Z125" s="69"/>
      <c r="AA125" s="262">
        <v>105217</v>
      </c>
      <c r="AB125" s="264">
        <v>2110</v>
      </c>
      <c r="AC125" s="245">
        <v>43917</v>
      </c>
      <c r="AD125" t="s">
        <v>274</v>
      </c>
      <c r="AE125" s="69"/>
      <c r="AF125" s="69"/>
      <c r="AG125" s="69"/>
      <c r="AH125" s="69"/>
      <c r="AI125" s="69"/>
      <c r="AJ125" s="69"/>
      <c r="AL125" s="69"/>
      <c r="AM125" s="69"/>
      <c r="AN125" s="69"/>
      <c r="AO125" s="69"/>
      <c r="AP125" s="69"/>
      <c r="AQ125" s="69"/>
      <c r="AW125" s="69"/>
      <c r="AX125" s="69"/>
      <c r="AY125" s="69"/>
      <c r="AZ125" s="69"/>
      <c r="BA125" s="69"/>
      <c r="BB125" s="69"/>
    </row>
    <row r="126" spans="3:55" x14ac:dyDescent="0.25">
      <c r="C126" s="69"/>
      <c r="D126" s="69"/>
      <c r="E126" s="69"/>
      <c r="F126" s="69"/>
      <c r="G126" s="69"/>
      <c r="H126" s="69"/>
      <c r="I126" s="69"/>
      <c r="J126" s="69"/>
      <c r="K126" s="69"/>
      <c r="L126" s="69"/>
      <c r="M126" s="69"/>
      <c r="N126" s="69"/>
      <c r="O126" s="69"/>
      <c r="P126" s="69"/>
      <c r="Q126" s="69"/>
      <c r="R126" s="69"/>
      <c r="S126" s="69"/>
      <c r="T126" s="69"/>
      <c r="U126" s="69"/>
      <c r="V126" s="69"/>
      <c r="W126" s="69"/>
      <c r="X126" s="69"/>
      <c r="Y126" s="69"/>
      <c r="Z126" s="69"/>
      <c r="AA126" s="262">
        <v>105217</v>
      </c>
      <c r="AB126" s="264">
        <v>2110</v>
      </c>
      <c r="AC126" s="245">
        <v>43917</v>
      </c>
      <c r="AD126" t="s">
        <v>308</v>
      </c>
      <c r="AE126" s="69"/>
      <c r="AF126" s="69"/>
      <c r="AG126" s="69"/>
      <c r="AH126" s="69"/>
      <c r="AI126" s="69"/>
      <c r="AJ126" s="69"/>
      <c r="AQ126" s="69"/>
    </row>
    <row r="127" spans="3:55" x14ac:dyDescent="0.25">
      <c r="C127" s="69"/>
      <c r="D127" s="69"/>
      <c r="E127" s="69"/>
      <c r="F127" s="69"/>
      <c r="G127" s="69"/>
      <c r="H127" s="69"/>
      <c r="I127" s="69"/>
      <c r="J127" s="69"/>
      <c r="K127" s="69"/>
      <c r="L127" s="69"/>
      <c r="M127" s="69"/>
      <c r="N127" s="69"/>
      <c r="O127" s="69"/>
      <c r="P127" s="69"/>
      <c r="Q127" s="69"/>
      <c r="R127" s="69"/>
      <c r="S127" s="69"/>
      <c r="T127" s="69"/>
      <c r="U127" s="69"/>
      <c r="V127" s="69"/>
      <c r="W127" s="69"/>
      <c r="X127" s="69"/>
      <c r="Y127" s="69"/>
      <c r="Z127" s="69"/>
      <c r="AA127" s="35"/>
      <c r="AB127" s="261">
        <v>124788</v>
      </c>
      <c r="AC127" s="268">
        <v>2754</v>
      </c>
      <c r="AD127" s="267">
        <v>43918</v>
      </c>
      <c r="AE127" s="69" t="s">
        <v>521</v>
      </c>
      <c r="AF127" s="69"/>
      <c r="AG127" s="69"/>
      <c r="AH127" s="69"/>
      <c r="AI127" s="69"/>
      <c r="AJ127" s="69"/>
      <c r="AQ127" s="69"/>
    </row>
    <row r="128" spans="3:55" x14ac:dyDescent="0.25">
      <c r="Z128" s="226"/>
      <c r="AA128" s="162"/>
      <c r="AB128" s="262">
        <v>124788</v>
      </c>
      <c r="AC128" s="264">
        <v>2754</v>
      </c>
      <c r="AD128" s="246">
        <v>43918</v>
      </c>
      <c r="AE128" t="s">
        <v>243</v>
      </c>
      <c r="AF128" s="69"/>
      <c r="AG128" s="69"/>
      <c r="AQ128" s="69"/>
      <c r="BC128" s="69"/>
    </row>
    <row r="129" spans="3:59" x14ac:dyDescent="0.25">
      <c r="Z129" s="226"/>
      <c r="AA129" s="162"/>
      <c r="AB129" s="262">
        <v>144980</v>
      </c>
      <c r="AC129" s="264">
        <v>3251</v>
      </c>
      <c r="AD129" s="267">
        <v>43919</v>
      </c>
      <c r="AE129" t="s">
        <v>520</v>
      </c>
      <c r="AF129" s="69"/>
      <c r="AG129" s="69"/>
      <c r="AQ129" s="69"/>
      <c r="AR129" s="69"/>
      <c r="AS129" s="69"/>
      <c r="AT129" s="69"/>
      <c r="AU129" s="69"/>
      <c r="AV129" s="69"/>
      <c r="BC129" s="69"/>
    </row>
    <row r="130" spans="3:59" x14ac:dyDescent="0.25">
      <c r="AB130" s="262">
        <v>168177</v>
      </c>
      <c r="AC130" s="264">
        <v>4066</v>
      </c>
      <c r="AD130" s="267">
        <v>43920</v>
      </c>
      <c r="AE130" t="s">
        <v>519</v>
      </c>
      <c r="AF130" s="69"/>
      <c r="AG130" s="69"/>
      <c r="AR130" s="69"/>
      <c r="AS130" s="69"/>
      <c r="AT130" s="69"/>
      <c r="AU130" s="69"/>
      <c r="AV130" s="69"/>
      <c r="BC130" s="69"/>
    </row>
    <row r="131" spans="3:59" x14ac:dyDescent="0.25">
      <c r="AB131" s="262">
        <v>168177</v>
      </c>
      <c r="AC131" s="264">
        <v>4066</v>
      </c>
      <c r="AD131" s="245">
        <v>43920</v>
      </c>
      <c r="AE131" t="s">
        <v>249</v>
      </c>
      <c r="AF131" s="69"/>
      <c r="AG131" s="69"/>
      <c r="AR131" s="69"/>
      <c r="BC131" s="69"/>
    </row>
    <row r="132" spans="3:59" x14ac:dyDescent="0.25">
      <c r="AB132" s="262">
        <v>168177</v>
      </c>
      <c r="AC132" s="264">
        <v>4066</v>
      </c>
      <c r="AD132" s="245">
        <v>43920</v>
      </c>
      <c r="AE132" t="s">
        <v>321</v>
      </c>
      <c r="AF132" s="69"/>
      <c r="AG132" s="69"/>
      <c r="BC132" s="69"/>
    </row>
    <row r="133" spans="3:59" x14ac:dyDescent="0.25">
      <c r="AB133" s="262">
        <v>193353</v>
      </c>
      <c r="AC133" s="268">
        <v>5151</v>
      </c>
      <c r="AD133" s="267">
        <v>43921</v>
      </c>
      <c r="AE133" t="s">
        <v>522</v>
      </c>
      <c r="AF133" s="69"/>
      <c r="AG133" s="69"/>
      <c r="BC133" s="69"/>
    </row>
    <row r="134" spans="3:59" x14ac:dyDescent="0.25">
      <c r="AB134" s="262">
        <v>220295</v>
      </c>
      <c r="AC134" s="264">
        <v>6394</v>
      </c>
      <c r="AD134" s="149">
        <v>43922</v>
      </c>
      <c r="AE134" t="s">
        <v>517</v>
      </c>
      <c r="AF134" s="69"/>
      <c r="AG134" s="69"/>
      <c r="BC134" s="69"/>
    </row>
    <row r="135" spans="3:59" x14ac:dyDescent="0.25">
      <c r="AB135" s="262">
        <v>220295</v>
      </c>
      <c r="AC135" s="264">
        <v>6394</v>
      </c>
      <c r="AD135" s="294">
        <v>43922</v>
      </c>
      <c r="AE135" t="s">
        <v>518</v>
      </c>
      <c r="AF135" s="69"/>
      <c r="AG135" s="69"/>
      <c r="BC135" s="69"/>
    </row>
    <row r="136" spans="3:59" x14ac:dyDescent="0.25">
      <c r="AC136" s="261">
        <v>250708</v>
      </c>
      <c r="AD136" s="264">
        <v>7576</v>
      </c>
      <c r="AE136" s="245">
        <v>43923</v>
      </c>
      <c r="AF136" s="69" t="s">
        <v>302</v>
      </c>
      <c r="AG136" s="69"/>
      <c r="AH136" s="69"/>
      <c r="AI136" s="69"/>
      <c r="AK136" s="69"/>
      <c r="BC136" s="69"/>
    </row>
    <row r="137" spans="3:59" x14ac:dyDescent="0.25">
      <c r="AC137" s="262">
        <v>283477</v>
      </c>
      <c r="AD137" s="264">
        <v>8839</v>
      </c>
      <c r="AE137" s="155">
        <v>43924</v>
      </c>
      <c r="AF137" s="156" t="s">
        <v>220</v>
      </c>
      <c r="AG137" s="155">
        <v>43938</v>
      </c>
      <c r="AH137" s="69"/>
      <c r="AI137" s="69"/>
      <c r="AK137" s="69"/>
      <c r="AL137" s="69"/>
      <c r="AM137" s="69"/>
      <c r="AN137" s="69"/>
      <c r="AO137" s="69"/>
      <c r="AP137" s="69"/>
      <c r="BC137" s="69"/>
    </row>
    <row r="138" spans="3:59" x14ac:dyDescent="0.25">
      <c r="C138" s="69"/>
      <c r="D138" s="69"/>
      <c r="E138" s="69"/>
      <c r="F138" s="69"/>
      <c r="G138" s="69"/>
      <c r="H138" s="69"/>
      <c r="I138" s="69"/>
      <c r="J138" s="69"/>
      <c r="K138" s="69"/>
      <c r="L138" s="69"/>
      <c r="M138" s="69"/>
      <c r="N138" s="69"/>
      <c r="O138" s="69"/>
      <c r="P138" s="69"/>
      <c r="Q138" s="69"/>
      <c r="R138" s="69"/>
      <c r="S138" s="69"/>
      <c r="T138" s="69"/>
      <c r="U138" s="69"/>
      <c r="V138" s="69"/>
      <c r="W138" s="69"/>
      <c r="X138" s="69"/>
      <c r="Y138" s="69"/>
      <c r="Z138" s="69"/>
      <c r="AA138" s="69"/>
      <c r="AB138" s="69"/>
      <c r="AC138" s="262">
        <v>317994</v>
      </c>
      <c r="AD138" s="263">
        <v>10384</v>
      </c>
      <c r="AE138" s="245">
        <v>43925</v>
      </c>
      <c r="AF138" t="s">
        <v>222</v>
      </c>
      <c r="AJ138" s="69"/>
      <c r="AK138" s="69"/>
      <c r="AW138" s="69"/>
      <c r="AX138" s="69"/>
      <c r="AY138" s="69"/>
      <c r="AZ138" s="69"/>
      <c r="BA138" s="69"/>
      <c r="BB138" s="69"/>
      <c r="BC138" s="69"/>
    </row>
    <row r="139" spans="3:59" x14ac:dyDescent="0.25">
      <c r="C139" s="69"/>
      <c r="D139" s="69"/>
      <c r="E139" s="69"/>
      <c r="F139" s="69"/>
      <c r="G139" s="69"/>
      <c r="H139" s="69"/>
      <c r="I139" s="69"/>
      <c r="J139" s="69"/>
      <c r="K139" s="69"/>
      <c r="L139" s="69"/>
      <c r="M139" s="69"/>
      <c r="N139" s="69"/>
      <c r="O139" s="69"/>
      <c r="P139" s="69"/>
      <c r="Q139" s="69"/>
      <c r="R139" s="69"/>
      <c r="S139" s="69"/>
      <c r="T139" s="69"/>
      <c r="U139" s="69"/>
      <c r="V139" s="69"/>
      <c r="W139" s="69"/>
      <c r="X139" s="69"/>
      <c r="Y139" s="69"/>
      <c r="Z139" s="69"/>
      <c r="AA139" s="69"/>
      <c r="AB139" s="69"/>
      <c r="AC139" s="262">
        <v>343747</v>
      </c>
      <c r="AD139" s="264">
        <v>11793</v>
      </c>
      <c r="AE139" s="267">
        <v>43926</v>
      </c>
      <c r="AF139" t="s">
        <v>523</v>
      </c>
      <c r="AJ139" s="69"/>
      <c r="AK139" s="69"/>
      <c r="AR139" s="69"/>
      <c r="AS139" s="69"/>
      <c r="AT139" s="69"/>
      <c r="AU139" s="69"/>
      <c r="AV139" s="69"/>
      <c r="AW139" s="69"/>
      <c r="AX139" s="69"/>
      <c r="AY139" s="69"/>
      <c r="AZ139" s="69"/>
      <c r="BA139" s="69"/>
      <c r="BB139" s="69"/>
      <c r="BC139" s="69"/>
    </row>
    <row r="140" spans="3:59" x14ac:dyDescent="0.25">
      <c r="C140" s="69"/>
      <c r="D140" s="69"/>
      <c r="E140" s="69"/>
      <c r="F140" s="69"/>
      <c r="G140" s="69"/>
      <c r="H140" s="69"/>
      <c r="I140" s="69"/>
      <c r="J140" s="69"/>
      <c r="K140" s="69"/>
      <c r="L140" s="69"/>
      <c r="M140" s="69"/>
      <c r="N140" s="69"/>
      <c r="O140" s="69"/>
      <c r="P140" s="69"/>
      <c r="Q140" s="69"/>
      <c r="R140" s="69"/>
      <c r="S140" s="69"/>
      <c r="T140" s="69"/>
      <c r="U140" s="69"/>
      <c r="V140" s="69"/>
      <c r="W140" s="69"/>
      <c r="X140" s="69"/>
      <c r="Y140" s="69"/>
      <c r="Z140" s="69"/>
      <c r="AA140" s="69"/>
      <c r="AB140" s="69"/>
      <c r="AC140" s="262">
        <v>343747</v>
      </c>
      <c r="AD140" s="264">
        <v>11793</v>
      </c>
      <c r="AE140" s="162">
        <v>43926</v>
      </c>
      <c r="AF140" t="s">
        <v>323</v>
      </c>
      <c r="AJ140" s="69"/>
      <c r="AK140" s="69"/>
      <c r="AR140" s="69"/>
      <c r="AS140" s="69"/>
      <c r="AT140" s="69"/>
      <c r="AU140" s="69"/>
      <c r="AV140" s="69"/>
    </row>
    <row r="141" spans="3:59" x14ac:dyDescent="0.25">
      <c r="C141" s="69"/>
      <c r="D141" s="69"/>
      <c r="E141" s="69"/>
      <c r="F141" s="69"/>
      <c r="G141" s="69"/>
      <c r="H141" s="69"/>
      <c r="I141" s="69"/>
      <c r="J141" s="69"/>
      <c r="K141" s="69"/>
      <c r="L141" s="69"/>
      <c r="M141" s="69"/>
      <c r="N141" s="69"/>
      <c r="O141" s="69"/>
      <c r="P141" s="69"/>
      <c r="Q141" s="69"/>
      <c r="R141" s="69"/>
      <c r="S141" s="69"/>
      <c r="T141" s="69"/>
      <c r="U141" s="69"/>
      <c r="V141" s="69"/>
      <c r="W141" s="69"/>
      <c r="X141" s="69"/>
      <c r="Y141" s="69"/>
      <c r="Z141" s="69"/>
      <c r="AA141" s="69"/>
      <c r="AB141" s="69"/>
      <c r="AC141" s="262">
        <v>375348</v>
      </c>
      <c r="AD141" s="264">
        <v>13298</v>
      </c>
      <c r="AE141" s="267">
        <v>43927</v>
      </c>
      <c r="AF141" t="s">
        <v>524</v>
      </c>
      <c r="AJ141" s="69"/>
      <c r="AK141" s="69"/>
      <c r="AR141" s="69"/>
      <c r="AS141" s="69"/>
      <c r="AT141" s="69"/>
      <c r="AU141" s="69"/>
      <c r="AV141" s="69"/>
      <c r="BD141" s="69"/>
      <c r="BE141" s="69"/>
      <c r="BF141" s="69"/>
      <c r="BG141" s="69"/>
    </row>
    <row r="142" spans="3:59" x14ac:dyDescent="0.25">
      <c r="C142" s="69"/>
      <c r="D142" s="69"/>
      <c r="E142" s="69"/>
      <c r="F142" s="69"/>
      <c r="G142" s="69"/>
      <c r="H142" s="69"/>
      <c r="I142" s="69"/>
      <c r="J142" s="69"/>
      <c r="K142" s="69"/>
      <c r="L142" s="69"/>
      <c r="M142" s="69"/>
      <c r="N142" s="69"/>
      <c r="O142" s="69"/>
      <c r="P142" s="69"/>
      <c r="Q142" s="69"/>
      <c r="R142" s="69"/>
      <c r="S142" s="69"/>
      <c r="T142" s="69"/>
      <c r="U142" s="69"/>
      <c r="V142" s="69"/>
      <c r="W142" s="69"/>
      <c r="X142" s="69"/>
      <c r="Y142" s="69"/>
      <c r="Z142" s="69"/>
      <c r="AA142" s="69"/>
      <c r="AB142" s="69"/>
      <c r="AC142" s="262">
        <v>441569</v>
      </c>
      <c r="AD142" s="264">
        <v>17691</v>
      </c>
      <c r="AE142" s="294">
        <v>43929</v>
      </c>
      <c r="AF142" t="s">
        <v>508</v>
      </c>
      <c r="AJ142" s="69"/>
      <c r="AK142" s="69"/>
      <c r="AR142" s="69"/>
      <c r="AS142" s="69"/>
      <c r="AT142" s="69"/>
      <c r="AU142" s="69"/>
      <c r="AV142" s="69"/>
    </row>
    <row r="143" spans="3:59" x14ac:dyDescent="0.25">
      <c r="C143" s="69"/>
      <c r="D143" s="69"/>
      <c r="E143" s="69"/>
      <c r="F143" s="69"/>
      <c r="G143" s="69"/>
      <c r="H143" s="69"/>
      <c r="I143" s="69"/>
      <c r="J143" s="69"/>
      <c r="K143" s="69"/>
      <c r="L143" s="69"/>
      <c r="M143" s="69"/>
      <c r="N143" s="69"/>
      <c r="O143" s="69"/>
      <c r="P143" s="69"/>
      <c r="Q143" s="69"/>
      <c r="R143" s="69"/>
      <c r="S143" s="69"/>
      <c r="T143" s="69"/>
      <c r="U143" s="69"/>
      <c r="V143" s="69"/>
      <c r="W143" s="69"/>
      <c r="X143" s="69"/>
      <c r="Y143" s="69"/>
      <c r="Z143" s="69"/>
      <c r="AA143" s="69"/>
      <c r="AB143" s="69"/>
      <c r="AC143" s="262">
        <v>441569</v>
      </c>
      <c r="AD143" s="264">
        <v>17691</v>
      </c>
      <c r="AE143" s="294">
        <v>43929</v>
      </c>
      <c r="AF143" t="s">
        <v>549</v>
      </c>
      <c r="AJ143" s="69"/>
      <c r="AK143" s="69"/>
      <c r="AR143" s="69"/>
      <c r="AS143" s="69"/>
      <c r="AT143" s="69"/>
      <c r="AU143" s="69"/>
      <c r="AV143" s="69"/>
    </row>
    <row r="144" spans="3:59" x14ac:dyDescent="0.25">
      <c r="C144" s="69"/>
      <c r="D144" s="69"/>
      <c r="E144" s="69"/>
      <c r="F144" s="69"/>
      <c r="G144" s="69"/>
      <c r="H144" s="69"/>
      <c r="I144" s="69"/>
      <c r="J144" s="69"/>
      <c r="K144" s="69"/>
      <c r="L144" s="69"/>
      <c r="M144" s="69"/>
      <c r="N144" s="69"/>
      <c r="O144" s="69"/>
      <c r="P144" s="69"/>
      <c r="Q144" s="69"/>
      <c r="R144" s="69"/>
      <c r="S144" s="69"/>
      <c r="T144" s="69"/>
      <c r="U144" s="69"/>
      <c r="V144" s="69"/>
      <c r="W144" s="69"/>
      <c r="X144" s="69"/>
      <c r="Y144" s="69"/>
      <c r="Z144" s="69"/>
      <c r="AA144" s="69"/>
      <c r="AB144" s="69"/>
      <c r="AC144" s="261">
        <v>509604</v>
      </c>
      <c r="AD144" s="264">
        <v>22038</v>
      </c>
      <c r="AE144" s="294">
        <v>43931</v>
      </c>
      <c r="AF144" t="s">
        <v>516</v>
      </c>
      <c r="AJ144" s="69"/>
      <c r="AK144" s="69"/>
      <c r="AR144" s="69"/>
      <c r="AS144" s="69"/>
      <c r="AT144" s="69"/>
      <c r="AU144" s="69"/>
      <c r="AV144" s="69"/>
    </row>
    <row r="145" spans="3:65" x14ac:dyDescent="0.25">
      <c r="C145" s="69"/>
      <c r="D145" s="69"/>
      <c r="E145" s="69"/>
      <c r="F145" s="69"/>
      <c r="G145" s="69"/>
      <c r="H145" s="69"/>
      <c r="I145" s="69"/>
      <c r="J145" s="69"/>
      <c r="K145" s="69"/>
      <c r="L145" s="69"/>
      <c r="M145" s="69"/>
      <c r="N145" s="69"/>
      <c r="O145" s="69"/>
      <c r="P145" s="69"/>
      <c r="Q145" s="69"/>
      <c r="R145" s="69"/>
      <c r="S145" s="69"/>
      <c r="T145" s="69"/>
      <c r="U145" s="69"/>
      <c r="V145" s="69"/>
      <c r="W145" s="69"/>
      <c r="X145" s="69"/>
      <c r="Y145" s="69"/>
      <c r="Z145" s="69"/>
      <c r="AA145" s="69"/>
      <c r="AB145" s="69"/>
      <c r="AC145" s="69"/>
      <c r="AD145" s="262">
        <v>539942</v>
      </c>
      <c r="AE145" s="264">
        <v>24062</v>
      </c>
      <c r="AF145" s="245">
        <v>43932</v>
      </c>
      <c r="AG145" t="s">
        <v>231</v>
      </c>
      <c r="AJ145" s="69"/>
      <c r="AK145" s="69"/>
      <c r="AR145" s="69"/>
      <c r="AS145" s="69"/>
      <c r="AT145" s="69"/>
      <c r="AU145" s="69"/>
      <c r="AV145" s="69"/>
    </row>
    <row r="146" spans="3:65" x14ac:dyDescent="0.25">
      <c r="C146" s="69"/>
      <c r="D146" s="69"/>
      <c r="E146" s="69"/>
      <c r="F146" s="69"/>
      <c r="G146" s="69"/>
      <c r="H146" s="69"/>
      <c r="I146" s="69"/>
      <c r="J146" s="69"/>
      <c r="K146" s="69"/>
      <c r="L146" s="69"/>
      <c r="M146" s="69"/>
      <c r="N146" s="69"/>
      <c r="O146" s="69"/>
      <c r="P146" s="69"/>
      <c r="Q146" s="69"/>
      <c r="R146" s="69"/>
      <c r="S146" s="69"/>
      <c r="T146" s="69"/>
      <c r="U146" s="69"/>
      <c r="V146" s="69"/>
      <c r="W146" s="69"/>
      <c r="X146" s="69"/>
      <c r="Y146" s="69"/>
      <c r="Z146" s="69"/>
      <c r="AA146" s="69"/>
      <c r="AB146" s="69"/>
      <c r="AC146" s="69"/>
      <c r="AD146" s="262">
        <v>567708</v>
      </c>
      <c r="AE146" s="268">
        <v>25789</v>
      </c>
      <c r="AF146" s="267">
        <v>43933</v>
      </c>
      <c r="AG146" t="s">
        <v>525</v>
      </c>
      <c r="AJ146" s="69"/>
      <c r="AK146" s="69"/>
    </row>
    <row r="147" spans="3:65" x14ac:dyDescent="0.25">
      <c r="AD147" s="262">
        <v>594693</v>
      </c>
      <c r="AE147" s="264">
        <v>27515</v>
      </c>
      <c r="AF147" s="245">
        <v>43934</v>
      </c>
      <c r="AG147" t="s">
        <v>223</v>
      </c>
    </row>
    <row r="148" spans="3:65" x14ac:dyDescent="0.25">
      <c r="AD148" s="262">
        <v>621953</v>
      </c>
      <c r="AE148" s="264">
        <v>30081</v>
      </c>
      <c r="AF148" s="208">
        <v>43935</v>
      </c>
      <c r="AG148" t="s">
        <v>247</v>
      </c>
      <c r="AW148" s="69"/>
      <c r="AX148" s="69"/>
      <c r="AY148" s="69"/>
      <c r="AZ148" s="69"/>
      <c r="BA148" s="69"/>
      <c r="BB148" s="69"/>
    </row>
    <row r="149" spans="3:65" x14ac:dyDescent="0.25">
      <c r="AE149" s="262">
        <v>652474</v>
      </c>
      <c r="AF149" s="264">
        <v>32712</v>
      </c>
      <c r="AG149" s="245">
        <v>43936</v>
      </c>
      <c r="AH149" s="69" t="s">
        <v>248</v>
      </c>
      <c r="AQ149" s="69"/>
      <c r="AW149" s="69"/>
      <c r="AX149" s="69"/>
      <c r="AY149" s="69"/>
      <c r="AZ149" s="69"/>
      <c r="BA149" s="69"/>
      <c r="BB149" s="69"/>
    </row>
    <row r="150" spans="3:65" x14ac:dyDescent="0.25">
      <c r="AE150" s="262">
        <v>652474</v>
      </c>
      <c r="AF150" s="264">
        <v>32712</v>
      </c>
      <c r="AG150" s="245">
        <v>43936</v>
      </c>
      <c r="AH150" t="s">
        <v>253</v>
      </c>
      <c r="AW150" s="69"/>
      <c r="AX150" s="69"/>
      <c r="AY150" s="69"/>
      <c r="AZ150" s="69"/>
      <c r="BA150" s="69"/>
      <c r="BB150" s="69"/>
    </row>
    <row r="151" spans="3:65" x14ac:dyDescent="0.25">
      <c r="AE151" s="262">
        <v>652474</v>
      </c>
      <c r="AF151" s="264">
        <v>32712</v>
      </c>
      <c r="AG151" s="245">
        <v>43936</v>
      </c>
      <c r="AH151" t="s">
        <v>251</v>
      </c>
      <c r="AK151" s="69"/>
      <c r="AW151" s="69"/>
      <c r="AX151" s="69"/>
      <c r="AY151" s="69"/>
      <c r="AZ151" s="69"/>
      <c r="BA151" s="69"/>
      <c r="BB151" s="69"/>
    </row>
    <row r="152" spans="3:65" x14ac:dyDescent="0.25">
      <c r="AE152" s="262">
        <v>652474</v>
      </c>
      <c r="AF152" s="264">
        <v>32712</v>
      </c>
      <c r="AG152" s="208">
        <v>43936</v>
      </c>
      <c r="AH152" t="s">
        <v>319</v>
      </c>
      <c r="AJ152" s="208">
        <f>AG152+14</f>
        <v>43950</v>
      </c>
      <c r="AK152" s="69"/>
      <c r="AW152" s="69"/>
      <c r="AX152" s="69"/>
      <c r="AY152" s="69"/>
      <c r="AZ152" s="69"/>
      <c r="BA152" s="69"/>
      <c r="BB152" s="69"/>
    </row>
    <row r="153" spans="3:65" x14ac:dyDescent="0.25">
      <c r="AE153" s="262">
        <v>682454</v>
      </c>
      <c r="AF153" s="264">
        <v>34905</v>
      </c>
      <c r="AG153" s="245">
        <v>43937</v>
      </c>
      <c r="AH153" t="s">
        <v>293</v>
      </c>
      <c r="AW153" s="69"/>
      <c r="AX153" s="69"/>
      <c r="AY153" s="69"/>
      <c r="AZ153" s="69"/>
      <c r="BA153" s="69"/>
      <c r="BB153" s="69"/>
    </row>
    <row r="154" spans="3:65" x14ac:dyDescent="0.25">
      <c r="AE154" s="262">
        <v>714822</v>
      </c>
      <c r="AF154" s="264">
        <v>37448</v>
      </c>
      <c r="AG154" s="267">
        <v>43938</v>
      </c>
      <c r="AH154" t="s">
        <v>526</v>
      </c>
      <c r="AW154" s="69"/>
      <c r="AX154" s="69"/>
      <c r="AY154" s="69"/>
      <c r="AZ154" s="69"/>
      <c r="BA154" s="69"/>
      <c r="BB154" s="69"/>
    </row>
    <row r="155" spans="3:65" x14ac:dyDescent="0.25">
      <c r="AE155" s="262">
        <v>714822</v>
      </c>
      <c r="AF155" s="264">
        <v>37448</v>
      </c>
      <c r="AG155" s="245">
        <v>43938</v>
      </c>
      <c r="AH155" t="s">
        <v>250</v>
      </c>
    </row>
    <row r="156" spans="3:65" x14ac:dyDescent="0.25">
      <c r="AE156" s="262">
        <v>714822</v>
      </c>
      <c r="AF156" s="264">
        <v>37448</v>
      </c>
      <c r="AG156" s="245">
        <v>43938</v>
      </c>
      <c r="AH156" t="s">
        <v>351</v>
      </c>
      <c r="AL156" s="69"/>
      <c r="AM156" s="69"/>
      <c r="AN156" s="69"/>
      <c r="AO156" s="69"/>
      <c r="AP156" s="69"/>
      <c r="AQ156" s="69"/>
      <c r="AS156" s="69"/>
      <c r="AT156" s="69"/>
      <c r="AU156" s="69"/>
      <c r="AV156" s="69"/>
      <c r="BC156" s="69"/>
    </row>
    <row r="157" spans="3:65" x14ac:dyDescent="0.25">
      <c r="AE157" s="262">
        <v>743901</v>
      </c>
      <c r="AF157" s="264">
        <v>39331</v>
      </c>
      <c r="AG157" s="267">
        <v>43939</v>
      </c>
      <c r="AH157" t="s">
        <v>527</v>
      </c>
      <c r="AL157" s="69"/>
      <c r="AM157" s="69"/>
      <c r="AN157" s="69"/>
      <c r="AO157" s="69"/>
      <c r="AP157" s="69"/>
      <c r="AQ157" s="69"/>
      <c r="AS157" s="69"/>
      <c r="AT157" s="69"/>
      <c r="AU157" s="69"/>
      <c r="AV157" s="69"/>
      <c r="BH157" s="69"/>
      <c r="BI157" s="69"/>
      <c r="BJ157" s="69"/>
      <c r="BK157" s="69"/>
      <c r="BL157" s="69"/>
      <c r="BM157" s="69"/>
    </row>
    <row r="158" spans="3:65" x14ac:dyDescent="0.25">
      <c r="C158" s="69"/>
      <c r="D158" s="69"/>
      <c r="E158" s="69"/>
      <c r="F158" s="69"/>
      <c r="G158" s="69"/>
      <c r="H158" s="69"/>
      <c r="I158" s="69"/>
      <c r="J158" s="69"/>
      <c r="K158" s="69"/>
      <c r="L158" s="69"/>
      <c r="M158" s="69"/>
      <c r="N158" s="69"/>
      <c r="O158" s="69"/>
      <c r="P158" s="69"/>
      <c r="Q158" s="69"/>
      <c r="R158" s="69"/>
      <c r="S158" s="69"/>
      <c r="T158" s="69"/>
      <c r="U158" s="69"/>
      <c r="V158" s="69"/>
      <c r="W158" s="69"/>
      <c r="X158" s="69"/>
      <c r="Y158" s="69"/>
      <c r="Z158" s="69"/>
      <c r="AA158" s="69"/>
      <c r="AB158" s="69"/>
      <c r="AC158" s="69"/>
      <c r="AD158" s="69"/>
      <c r="AE158" s="262">
        <v>743901</v>
      </c>
      <c r="AF158" s="264">
        <v>39331</v>
      </c>
      <c r="AG158" s="245">
        <v>43939</v>
      </c>
      <c r="AH158" s="69" t="s">
        <v>255</v>
      </c>
      <c r="AL158" s="69"/>
      <c r="AM158" s="69"/>
      <c r="AN158" s="69"/>
      <c r="AO158" s="69"/>
      <c r="AP158" s="69"/>
      <c r="AS158" s="69"/>
      <c r="AT158" s="69"/>
      <c r="AU158" s="69"/>
      <c r="AV158" s="69"/>
    </row>
    <row r="159" spans="3:65" x14ac:dyDescent="0.25">
      <c r="C159" s="69"/>
      <c r="D159" s="69"/>
      <c r="E159" s="69"/>
      <c r="F159" s="69"/>
      <c r="G159" s="69"/>
      <c r="H159" s="69"/>
      <c r="I159" s="69"/>
      <c r="J159" s="69"/>
      <c r="K159" s="69"/>
      <c r="L159" s="69"/>
      <c r="M159" s="69"/>
      <c r="N159" s="69"/>
      <c r="O159" s="69"/>
      <c r="P159" s="69"/>
      <c r="Q159" s="69"/>
      <c r="R159" s="69"/>
      <c r="S159" s="69"/>
      <c r="T159" s="69"/>
      <c r="U159" s="69"/>
      <c r="V159" s="69"/>
      <c r="W159" s="69"/>
      <c r="X159" s="69"/>
      <c r="Y159" s="69"/>
      <c r="Z159" s="69"/>
      <c r="AA159" s="69"/>
      <c r="AB159" s="69"/>
      <c r="AC159" s="69"/>
      <c r="AD159" s="69"/>
      <c r="AE159" s="262">
        <v>743901</v>
      </c>
      <c r="AF159" s="264">
        <v>39331</v>
      </c>
      <c r="AG159" s="245">
        <v>43939</v>
      </c>
      <c r="AH159" s="69" t="s">
        <v>360</v>
      </c>
      <c r="AL159" s="69"/>
      <c r="AM159" s="69"/>
      <c r="AN159" s="69"/>
      <c r="AO159" s="69"/>
      <c r="AP159" s="69"/>
      <c r="AS159" s="69"/>
      <c r="AT159" s="69"/>
      <c r="AU159" s="69"/>
      <c r="AV159" s="69"/>
    </row>
    <row r="160" spans="3:65" x14ac:dyDescent="0.25">
      <c r="C160" s="69"/>
      <c r="D160" s="69"/>
      <c r="E160" s="69"/>
      <c r="F160" s="69"/>
      <c r="G160" s="69"/>
      <c r="H160" s="69"/>
      <c r="I160" s="69"/>
      <c r="J160" s="69"/>
      <c r="K160" s="69"/>
      <c r="L160" s="69"/>
      <c r="M160" s="69"/>
      <c r="N160" s="69"/>
      <c r="O160" s="69"/>
      <c r="P160" s="69"/>
      <c r="Q160" s="69"/>
      <c r="R160" s="69"/>
      <c r="S160" s="69"/>
      <c r="T160" s="69"/>
      <c r="U160" s="69"/>
      <c r="V160" s="69"/>
      <c r="W160" s="69"/>
      <c r="X160" s="69"/>
      <c r="Y160" s="69"/>
      <c r="Z160" s="69"/>
      <c r="AA160" s="69"/>
      <c r="AB160" s="69"/>
      <c r="AC160" s="69"/>
      <c r="AD160" s="69"/>
      <c r="AF160" s="262">
        <v>770014</v>
      </c>
      <c r="AG160" s="264">
        <v>40901</v>
      </c>
      <c r="AH160" s="245">
        <v>43940</v>
      </c>
      <c r="AI160" s="47" t="s">
        <v>501</v>
      </c>
      <c r="AL160" s="69"/>
      <c r="AM160" s="69"/>
      <c r="AN160" s="69"/>
      <c r="AO160" s="69"/>
      <c r="AP160" s="69"/>
      <c r="AS160" s="69"/>
      <c r="AT160" s="69"/>
      <c r="AU160" s="69"/>
      <c r="AV160" s="69"/>
      <c r="BD160" s="69"/>
      <c r="BE160" s="69"/>
      <c r="BF160" s="69"/>
      <c r="BG160" s="69"/>
    </row>
    <row r="161" spans="3:60" x14ac:dyDescent="0.25">
      <c r="C161" s="69"/>
      <c r="D161" s="69"/>
      <c r="E161" s="69"/>
      <c r="F161" s="69"/>
      <c r="G161" s="69"/>
      <c r="H161" s="69"/>
      <c r="I161" s="69"/>
      <c r="J161" s="69"/>
      <c r="K161" s="69"/>
      <c r="L161" s="69"/>
      <c r="M161" s="69"/>
      <c r="N161" s="69"/>
      <c r="O161" s="69"/>
      <c r="P161" s="69"/>
      <c r="Q161" s="69"/>
      <c r="R161" s="69"/>
      <c r="S161" s="69"/>
      <c r="T161" s="69"/>
      <c r="U161" s="69"/>
      <c r="V161" s="69"/>
      <c r="W161" s="69"/>
      <c r="X161" s="69"/>
      <c r="Y161" s="69"/>
      <c r="Z161" s="69"/>
      <c r="AA161" s="69"/>
      <c r="AB161" s="69"/>
      <c r="AC161" s="69"/>
      <c r="AD161" s="69"/>
      <c r="AE161" s="69"/>
      <c r="AF161" s="262">
        <v>798145</v>
      </c>
      <c r="AG161" s="264">
        <v>42853</v>
      </c>
      <c r="AH161" s="245">
        <v>43941</v>
      </c>
      <c r="AI161" s="69" t="s">
        <v>303</v>
      </c>
      <c r="AL161" s="69"/>
      <c r="AM161" s="69"/>
      <c r="AN161" s="69"/>
      <c r="AO161" s="69"/>
      <c r="AP161" s="69"/>
      <c r="BD161" s="69"/>
      <c r="BE161" s="69"/>
      <c r="BF161" s="69"/>
      <c r="BG161" s="69"/>
    </row>
    <row r="162" spans="3:60" x14ac:dyDescent="0.25">
      <c r="C162" s="69"/>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262">
        <v>798145</v>
      </c>
      <c r="AG162" s="264">
        <v>42853</v>
      </c>
      <c r="AH162" s="245">
        <v>43941</v>
      </c>
      <c r="AI162" s="69" t="s">
        <v>515</v>
      </c>
      <c r="AL162" s="69"/>
      <c r="AM162" s="69"/>
      <c r="AN162" s="69"/>
      <c r="AO162" s="69"/>
      <c r="AP162" s="69"/>
      <c r="BD162" s="69"/>
      <c r="BE162" s="69"/>
      <c r="BF162" s="69"/>
      <c r="BG162" s="69"/>
    </row>
    <row r="163" spans="3:60" x14ac:dyDescent="0.25">
      <c r="AF163" s="262">
        <v>824229</v>
      </c>
      <c r="AG163" s="264">
        <v>45536</v>
      </c>
      <c r="AH163" s="208">
        <v>43942</v>
      </c>
      <c r="AI163" t="s">
        <v>292</v>
      </c>
      <c r="AJ163" s="69"/>
      <c r="AK163" s="69"/>
      <c r="AL163" s="69"/>
      <c r="AM163" s="69"/>
      <c r="AN163" s="69"/>
      <c r="AO163" s="69"/>
      <c r="AP163" s="69"/>
      <c r="BD163" s="69"/>
      <c r="BE163" s="69"/>
      <c r="BF163" s="69"/>
      <c r="BG163" s="69"/>
    </row>
    <row r="164" spans="3:60" x14ac:dyDescent="0.25">
      <c r="AF164" s="262">
        <v>854385</v>
      </c>
      <c r="AG164" s="264">
        <v>47894</v>
      </c>
      <c r="AH164" s="208">
        <v>43943</v>
      </c>
      <c r="AI164" t="s">
        <v>289</v>
      </c>
      <c r="BD164" s="69"/>
      <c r="BE164" s="69"/>
      <c r="BF164" s="69"/>
      <c r="BG164" s="69"/>
    </row>
    <row r="165" spans="3:60" x14ac:dyDescent="0.25">
      <c r="AF165" s="262">
        <v>854385</v>
      </c>
      <c r="AG165" s="264">
        <v>47894</v>
      </c>
      <c r="AH165" s="245">
        <v>43943</v>
      </c>
      <c r="AI165" s="69" t="s">
        <v>301</v>
      </c>
      <c r="AR165" s="69"/>
      <c r="AS165" s="69"/>
      <c r="AT165" s="69"/>
      <c r="AU165" s="69"/>
      <c r="AV165" s="69"/>
      <c r="AW165" s="69"/>
      <c r="AX165" s="69"/>
      <c r="AY165" s="69"/>
      <c r="AZ165" s="69"/>
      <c r="BA165" s="69"/>
      <c r="BB165" s="69"/>
      <c r="BD165" s="69"/>
      <c r="BE165" s="69"/>
      <c r="BF165" s="69"/>
      <c r="BG165" s="69"/>
    </row>
    <row r="166" spans="3:60" x14ac:dyDescent="0.25">
      <c r="AF166" s="262">
        <v>854385</v>
      </c>
      <c r="AG166" s="264">
        <v>47894</v>
      </c>
      <c r="AH166" s="245">
        <v>43943</v>
      </c>
      <c r="AI166" t="s">
        <v>287</v>
      </c>
      <c r="AW166" s="69"/>
      <c r="AX166" s="69"/>
      <c r="AY166" s="69"/>
      <c r="AZ166" s="69"/>
      <c r="BA166" s="69"/>
      <c r="BB166" s="69"/>
      <c r="BD166" s="69"/>
      <c r="BE166" s="69"/>
      <c r="BF166" s="69"/>
      <c r="BG166" s="69"/>
    </row>
    <row r="167" spans="3:60" x14ac:dyDescent="0.25">
      <c r="C167" s="69"/>
      <c r="D167" s="69"/>
      <c r="E167" s="69"/>
      <c r="F167" s="69"/>
      <c r="G167" s="69"/>
      <c r="H167" s="69"/>
      <c r="I167" s="69"/>
      <c r="J167" s="69"/>
      <c r="K167" s="69"/>
      <c r="L167" s="69"/>
      <c r="M167" s="69"/>
      <c r="N167" s="69"/>
      <c r="O167" s="69"/>
      <c r="P167" s="69"/>
      <c r="Q167" s="69"/>
      <c r="R167" s="69"/>
      <c r="S167" s="69"/>
      <c r="T167" s="69"/>
      <c r="U167" s="69"/>
      <c r="V167" s="69"/>
      <c r="W167" s="69"/>
      <c r="X167" s="69"/>
      <c r="Y167" s="69"/>
      <c r="Z167" s="69"/>
      <c r="AA167" s="69"/>
      <c r="AB167" s="69"/>
      <c r="AC167" s="69"/>
      <c r="AD167" s="69"/>
      <c r="AE167" s="69"/>
      <c r="AF167" s="69"/>
      <c r="AG167" s="262">
        <v>886274</v>
      </c>
      <c r="AH167" s="263">
        <v>50234</v>
      </c>
      <c r="AI167" s="245">
        <v>43944</v>
      </c>
      <c r="AJ167" t="s">
        <v>290</v>
      </c>
      <c r="AW167" s="69"/>
      <c r="AX167" s="69"/>
      <c r="AY167" s="69"/>
      <c r="AZ167" s="69"/>
      <c r="BA167" s="69"/>
      <c r="BB167" s="69"/>
      <c r="BD167" s="69"/>
      <c r="BE167" s="69"/>
      <c r="BF167" s="69"/>
      <c r="BG167" s="69"/>
    </row>
    <row r="168" spans="3:60" x14ac:dyDescent="0.25">
      <c r="C168" s="69"/>
      <c r="D168" s="69"/>
      <c r="E168" s="69"/>
      <c r="F168" s="69"/>
      <c r="G168" s="69"/>
      <c r="H168" s="69"/>
      <c r="I168" s="69"/>
      <c r="J168" s="69"/>
      <c r="K168" s="69"/>
      <c r="L168" s="69"/>
      <c r="M168" s="69"/>
      <c r="N168" s="69"/>
      <c r="O168" s="69"/>
      <c r="P168" s="69"/>
      <c r="Q168" s="69"/>
      <c r="R168" s="69"/>
      <c r="S168" s="69"/>
      <c r="T168" s="69"/>
      <c r="U168" s="69"/>
      <c r="V168" s="69"/>
      <c r="W168" s="69"/>
      <c r="X168" s="69"/>
      <c r="Y168" s="69"/>
      <c r="Z168" s="69"/>
      <c r="AA168" s="69"/>
      <c r="AB168" s="69"/>
      <c r="AC168" s="69"/>
      <c r="AD168" s="69"/>
      <c r="AE168" s="69"/>
      <c r="AF168" s="69"/>
      <c r="AG168" s="262">
        <v>886274</v>
      </c>
      <c r="AH168" s="264">
        <v>50234</v>
      </c>
      <c r="AI168" s="245">
        <v>43944</v>
      </c>
      <c r="AJ168" t="s">
        <v>291</v>
      </c>
      <c r="AM168" s="69"/>
      <c r="AN168" s="69"/>
      <c r="AO168" s="69"/>
      <c r="AP168" s="69"/>
      <c r="AW168" s="69"/>
      <c r="AX168" s="69"/>
      <c r="AY168" s="69"/>
      <c r="AZ168" s="69"/>
      <c r="BA168" s="69"/>
      <c r="BB168" s="69"/>
      <c r="BD168" s="69"/>
      <c r="BE168" s="69"/>
      <c r="BF168" s="69"/>
      <c r="BG168" s="69"/>
    </row>
    <row r="169" spans="3:60" x14ac:dyDescent="0.25">
      <c r="AG169" s="262">
        <v>886274</v>
      </c>
      <c r="AH169" s="264">
        <v>50234</v>
      </c>
      <c r="AI169" s="208">
        <v>43944</v>
      </c>
      <c r="AJ169" t="s">
        <v>318</v>
      </c>
      <c r="AM169" s="69"/>
      <c r="AN169" s="69"/>
      <c r="AO169" s="69"/>
      <c r="AP169" s="69"/>
      <c r="AW169" s="69"/>
      <c r="AX169" s="69"/>
      <c r="AY169" s="69"/>
      <c r="AZ169" s="69"/>
      <c r="BA169" s="69"/>
      <c r="BB169" s="69"/>
      <c r="BD169" s="69"/>
      <c r="BE169" s="69"/>
      <c r="BF169" s="69"/>
      <c r="BG169" s="69"/>
    </row>
    <row r="170" spans="3:60" x14ac:dyDescent="0.25">
      <c r="AG170" s="262">
        <v>925232</v>
      </c>
      <c r="AH170" s="264">
        <v>52191</v>
      </c>
      <c r="AI170" s="245">
        <v>43945</v>
      </c>
      <c r="AJ170" t="s">
        <v>304</v>
      </c>
      <c r="BD170" s="69"/>
      <c r="BE170" s="69"/>
      <c r="BF170" s="69"/>
      <c r="BG170" s="69"/>
    </row>
    <row r="171" spans="3:60" x14ac:dyDescent="0.25">
      <c r="AG171" s="262">
        <v>925232</v>
      </c>
      <c r="AH171" s="264">
        <v>52191</v>
      </c>
      <c r="AI171" s="245">
        <v>43945</v>
      </c>
      <c r="AJ171" t="s">
        <v>502</v>
      </c>
      <c r="BD171" s="69"/>
      <c r="BE171" s="69"/>
      <c r="BF171" s="69"/>
      <c r="BG171" s="69"/>
    </row>
    <row r="172" spans="3:60" x14ac:dyDescent="0.25">
      <c r="AG172" s="262">
        <v>925232</v>
      </c>
      <c r="AH172" s="264">
        <v>52191</v>
      </c>
      <c r="AI172" s="208">
        <v>43945</v>
      </c>
      <c r="AJ172" s="69" t="s">
        <v>309</v>
      </c>
      <c r="AR172" s="69"/>
      <c r="AS172" s="69"/>
      <c r="AT172" s="69"/>
      <c r="AU172" s="69"/>
      <c r="AV172" s="69"/>
    </row>
    <row r="173" spans="3:60" x14ac:dyDescent="0.25">
      <c r="AG173" s="262">
        <v>925232</v>
      </c>
      <c r="AH173" s="264">
        <v>52191</v>
      </c>
      <c r="AI173" s="208">
        <v>43945</v>
      </c>
      <c r="AJ173" s="69" t="s">
        <v>394</v>
      </c>
      <c r="AR173" s="69"/>
      <c r="AS173" s="69"/>
      <c r="AT173" s="69"/>
      <c r="AU173" s="69"/>
      <c r="AV173" s="69"/>
    </row>
    <row r="174" spans="3:60" x14ac:dyDescent="0.25">
      <c r="AG174" s="262">
        <v>925232</v>
      </c>
      <c r="AH174" s="264">
        <v>52191</v>
      </c>
      <c r="AI174" s="208">
        <v>43945</v>
      </c>
      <c r="AJ174" s="69" t="s">
        <v>413</v>
      </c>
      <c r="AW174" s="69"/>
      <c r="AX174" s="69"/>
      <c r="AY174" s="69"/>
      <c r="AZ174" s="69"/>
      <c r="BA174" s="69"/>
      <c r="BB174" s="69"/>
    </row>
    <row r="175" spans="3:60" x14ac:dyDescent="0.25">
      <c r="AG175" s="262">
        <v>960651</v>
      </c>
      <c r="AH175" s="264">
        <v>54191</v>
      </c>
      <c r="AI175" s="162">
        <v>43946</v>
      </c>
      <c r="AJ175" s="69" t="s">
        <v>306</v>
      </c>
      <c r="AQ175" s="69"/>
    </row>
    <row r="176" spans="3:60" x14ac:dyDescent="0.25">
      <c r="AG176" s="262">
        <v>960651</v>
      </c>
      <c r="AH176" s="264">
        <v>54191</v>
      </c>
      <c r="AI176" s="246">
        <v>43946</v>
      </c>
      <c r="AJ176" s="69" t="s">
        <v>312</v>
      </c>
      <c r="AQ176" s="69"/>
      <c r="BH176" s="69"/>
    </row>
    <row r="177" spans="3:65" x14ac:dyDescent="0.25">
      <c r="AG177" s="262">
        <v>960651</v>
      </c>
      <c r="AH177" s="264">
        <v>54191</v>
      </c>
      <c r="AI177" s="246">
        <v>43946</v>
      </c>
      <c r="AJ177" s="69" t="s">
        <v>311</v>
      </c>
      <c r="AQ177" s="69"/>
      <c r="BC177" s="69"/>
      <c r="BH177" s="69"/>
    </row>
    <row r="178" spans="3:65" x14ac:dyDescent="0.25">
      <c r="AH178" s="261">
        <v>1010356</v>
      </c>
      <c r="AI178" s="264">
        <v>56795</v>
      </c>
      <c r="AJ178" s="246">
        <v>43948</v>
      </c>
      <c r="AK178" t="s">
        <v>310</v>
      </c>
      <c r="AQ178" s="69"/>
      <c r="BH178" s="69"/>
      <c r="BI178" s="69"/>
      <c r="BJ178" s="69"/>
      <c r="BK178" s="69"/>
      <c r="BL178" s="69"/>
      <c r="BM178" s="69"/>
    </row>
    <row r="179" spans="3:65" x14ac:dyDescent="0.25">
      <c r="AH179" s="262">
        <v>1010356</v>
      </c>
      <c r="AI179" s="264">
        <v>56795</v>
      </c>
      <c r="AJ179" s="245">
        <v>43948</v>
      </c>
      <c r="AK179" s="69" t="s">
        <v>300</v>
      </c>
      <c r="BH179" s="69"/>
    </row>
    <row r="180" spans="3:65" x14ac:dyDescent="0.25">
      <c r="AG180" s="69"/>
      <c r="AH180" s="262">
        <v>1035765</v>
      </c>
      <c r="AI180" s="264">
        <v>59265</v>
      </c>
      <c r="AJ180" s="186">
        <v>43949</v>
      </c>
      <c r="AK180" t="s">
        <v>528</v>
      </c>
      <c r="AM180" s="69"/>
      <c r="AN180" s="69"/>
      <c r="AO180" s="69"/>
      <c r="AP180" s="69"/>
      <c r="BH180" s="69"/>
    </row>
    <row r="181" spans="3:65" x14ac:dyDescent="0.25">
      <c r="AH181" s="262">
        <v>1035765</v>
      </c>
      <c r="AI181" s="264">
        <v>59265</v>
      </c>
      <c r="AJ181" s="245">
        <v>43949</v>
      </c>
      <c r="AK181" t="s">
        <v>307</v>
      </c>
      <c r="AL181" s="69"/>
      <c r="AM181" s="69"/>
      <c r="AW181" s="69"/>
      <c r="AX181" s="69"/>
      <c r="AY181" s="69"/>
      <c r="AZ181" s="69"/>
      <c r="BA181" s="69"/>
      <c r="BB181" s="69"/>
      <c r="BH181" s="69"/>
    </row>
    <row r="182" spans="3:65" x14ac:dyDescent="0.25">
      <c r="AH182" s="262">
        <v>1035765</v>
      </c>
      <c r="AI182" s="264">
        <v>59265</v>
      </c>
      <c r="AJ182" s="208">
        <v>43949</v>
      </c>
      <c r="AK182" t="s">
        <v>317</v>
      </c>
      <c r="AW182" s="69"/>
      <c r="AX182" s="69"/>
      <c r="AY182" s="69"/>
      <c r="AZ182" s="69"/>
      <c r="BA182" s="69"/>
      <c r="BB182" s="69"/>
      <c r="BH182" s="69"/>
    </row>
    <row r="183" spans="3:65" x14ac:dyDescent="0.25">
      <c r="AH183" s="262">
        <v>1064194</v>
      </c>
      <c r="AI183" s="264">
        <v>61655</v>
      </c>
      <c r="AJ183" s="186">
        <v>43950</v>
      </c>
      <c r="AK183" t="s">
        <v>529</v>
      </c>
      <c r="BH183" s="69"/>
    </row>
    <row r="184" spans="3:65" x14ac:dyDescent="0.25">
      <c r="AH184" s="262">
        <v>1064194</v>
      </c>
      <c r="AI184" s="264">
        <v>61655</v>
      </c>
      <c r="AJ184" s="245">
        <v>43950</v>
      </c>
      <c r="AK184" t="s">
        <v>514</v>
      </c>
      <c r="BH184" s="69"/>
    </row>
    <row r="185" spans="3:65" x14ac:dyDescent="0.25">
      <c r="C185" s="69"/>
      <c r="D185" s="69"/>
      <c r="E185" s="69"/>
      <c r="F185" s="69"/>
      <c r="G185" s="69"/>
      <c r="H185" s="69"/>
      <c r="I185" s="69"/>
      <c r="J185" s="69"/>
      <c r="K185" s="69"/>
      <c r="L185" s="69"/>
      <c r="M185" s="69"/>
      <c r="N185" s="69"/>
      <c r="O185" s="69"/>
      <c r="P185" s="69"/>
      <c r="Q185" s="69"/>
      <c r="R185" s="69"/>
      <c r="S185" s="69"/>
      <c r="T185" s="69"/>
      <c r="U185" s="69"/>
      <c r="V185" s="69"/>
      <c r="W185" s="69"/>
      <c r="X185" s="69"/>
      <c r="Y185" s="69"/>
      <c r="Z185" s="69"/>
      <c r="AA185" s="69"/>
      <c r="AB185" s="69"/>
      <c r="AC185" s="69"/>
      <c r="AD185" s="69"/>
      <c r="AE185" s="69"/>
      <c r="AF185" s="69"/>
      <c r="AG185" s="69"/>
      <c r="AH185" s="262">
        <v>1095023</v>
      </c>
      <c r="AI185" s="264">
        <v>63856</v>
      </c>
      <c r="AJ185" s="245">
        <v>43951</v>
      </c>
      <c r="AK185" t="s">
        <v>313</v>
      </c>
      <c r="AN185" s="69"/>
      <c r="AO185" s="69"/>
      <c r="AP185" s="69"/>
      <c r="BH185" s="69"/>
    </row>
    <row r="186" spans="3:65" s="69" customFormat="1" x14ac:dyDescent="0.25">
      <c r="AH186" s="262">
        <v>1095023</v>
      </c>
      <c r="AI186" s="264">
        <v>63856</v>
      </c>
      <c r="AJ186" s="245">
        <v>43951</v>
      </c>
      <c r="AK186" t="s">
        <v>314</v>
      </c>
      <c r="AR186"/>
      <c r="AS186"/>
      <c r="AT186"/>
      <c r="AU186"/>
      <c r="AV186"/>
      <c r="AW186"/>
      <c r="AX186"/>
      <c r="AY186"/>
      <c r="AZ186"/>
      <c r="BA186"/>
      <c r="BB186"/>
      <c r="BC186"/>
      <c r="BD186"/>
      <c r="BE186"/>
      <c r="BF186"/>
      <c r="BG186"/>
      <c r="BI186"/>
      <c r="BJ186"/>
      <c r="BK186"/>
      <c r="BL186"/>
      <c r="BM186"/>
    </row>
    <row r="187" spans="3:65" x14ac:dyDescent="0.25">
      <c r="AH187" s="262">
        <v>1095023</v>
      </c>
      <c r="AI187" s="264">
        <v>63856</v>
      </c>
      <c r="AJ187" s="208">
        <v>43951</v>
      </c>
      <c r="AK187" t="s">
        <v>316</v>
      </c>
      <c r="AL187" s="69"/>
      <c r="AM187" s="69"/>
      <c r="AQ187" s="69"/>
      <c r="BH187" s="69"/>
    </row>
    <row r="188" spans="3:65" x14ac:dyDescent="0.25">
      <c r="AH188" s="262">
        <v>1095023</v>
      </c>
      <c r="AI188" s="264">
        <v>63856</v>
      </c>
      <c r="AJ188" s="162">
        <v>43951</v>
      </c>
      <c r="AK188" s="69" t="s">
        <v>315</v>
      </c>
      <c r="BC188" s="69"/>
      <c r="BD188" s="69"/>
      <c r="BE188" s="69"/>
      <c r="BF188" s="69"/>
      <c r="BG188" s="69"/>
    </row>
    <row r="189" spans="3:65" x14ac:dyDescent="0.25">
      <c r="AH189" s="262">
        <v>1095023</v>
      </c>
      <c r="AI189" s="264">
        <v>63856</v>
      </c>
      <c r="AJ189" s="245">
        <v>43951</v>
      </c>
      <c r="AK189" s="69" t="s">
        <v>344</v>
      </c>
      <c r="BC189" s="69"/>
    </row>
    <row r="190" spans="3:65" x14ac:dyDescent="0.25">
      <c r="AH190" s="262">
        <v>1095023</v>
      </c>
      <c r="AI190" s="264">
        <v>63856</v>
      </c>
      <c r="AJ190" s="208">
        <v>43951</v>
      </c>
      <c r="AK190" s="69" t="s">
        <v>336</v>
      </c>
      <c r="AL190" s="69"/>
      <c r="AM190" s="69"/>
      <c r="BC190" s="69"/>
    </row>
    <row r="191" spans="3:65" x14ac:dyDescent="0.25">
      <c r="AH191" s="262">
        <v>1131030</v>
      </c>
      <c r="AI191" s="264">
        <v>65753</v>
      </c>
      <c r="AJ191" s="208">
        <v>43952</v>
      </c>
      <c r="AK191" t="s">
        <v>320</v>
      </c>
      <c r="AR191" s="69"/>
      <c r="AS191" s="69"/>
      <c r="AT191" s="69"/>
      <c r="AU191" s="69"/>
      <c r="AV191" s="69"/>
      <c r="BC191" s="69"/>
    </row>
    <row r="192" spans="3:65" x14ac:dyDescent="0.25">
      <c r="AH192" s="262">
        <v>1131030</v>
      </c>
      <c r="AI192" s="264">
        <v>65753</v>
      </c>
      <c r="AJ192" s="245">
        <v>43952</v>
      </c>
      <c r="AK192" t="s">
        <v>512</v>
      </c>
      <c r="AR192" s="69"/>
      <c r="AS192" s="69"/>
      <c r="AT192" s="69"/>
      <c r="AU192" s="69"/>
      <c r="AV192" s="69"/>
      <c r="BC192" s="69"/>
    </row>
    <row r="193" spans="3:61" x14ac:dyDescent="0.25">
      <c r="AH193" s="262">
        <v>1188122</v>
      </c>
      <c r="AI193" s="264">
        <v>68597</v>
      </c>
      <c r="AJ193" s="208">
        <v>43954</v>
      </c>
      <c r="AK193" t="s">
        <v>513</v>
      </c>
      <c r="AL193" s="69"/>
      <c r="AM193" s="69"/>
      <c r="AR193" s="69"/>
      <c r="AS193" s="69"/>
      <c r="AT193" s="69"/>
      <c r="AU193" s="69"/>
      <c r="AV193" s="69"/>
    </row>
    <row r="194" spans="3:61" x14ac:dyDescent="0.25">
      <c r="AH194" s="262">
        <v>1212835</v>
      </c>
      <c r="AI194" s="264">
        <v>69921</v>
      </c>
      <c r="AJ194" s="245">
        <v>43955</v>
      </c>
      <c r="AK194" t="s">
        <v>511</v>
      </c>
      <c r="AL194" s="69"/>
      <c r="AM194" s="69"/>
      <c r="AR194" s="69"/>
      <c r="AS194" s="69"/>
      <c r="AT194" s="69"/>
      <c r="AU194" s="69"/>
      <c r="AV194" s="69"/>
    </row>
    <row r="195" spans="3:61" x14ac:dyDescent="0.25">
      <c r="AH195" s="262">
        <v>1237633</v>
      </c>
      <c r="AI195" s="264">
        <v>72271</v>
      </c>
      <c r="AJ195" s="208">
        <v>43956</v>
      </c>
      <c r="AK195" t="s">
        <v>330</v>
      </c>
      <c r="AL195" s="69"/>
      <c r="AM195" s="69"/>
      <c r="AS195" s="208"/>
      <c r="AT195" s="208"/>
      <c r="AU195" s="208"/>
      <c r="AV195" s="208"/>
    </row>
    <row r="196" spans="3:61" x14ac:dyDescent="0.25">
      <c r="AH196" s="262">
        <v>1237633</v>
      </c>
      <c r="AI196" s="264">
        <v>72271</v>
      </c>
      <c r="AJ196" s="208">
        <v>43956</v>
      </c>
      <c r="AK196" t="s">
        <v>367</v>
      </c>
      <c r="AL196" s="69"/>
      <c r="AM196" s="69"/>
    </row>
    <row r="197" spans="3:61" x14ac:dyDescent="0.25">
      <c r="AH197" s="262">
        <v>1237633</v>
      </c>
      <c r="AI197" s="264">
        <v>72271</v>
      </c>
      <c r="AJ197" s="208">
        <v>43956</v>
      </c>
      <c r="AK197" t="s">
        <v>329</v>
      </c>
    </row>
    <row r="198" spans="3:61" x14ac:dyDescent="0.25">
      <c r="AH198" s="262">
        <v>1237633</v>
      </c>
      <c r="AI198" s="264">
        <v>72271</v>
      </c>
      <c r="AJ198" s="245">
        <v>43956</v>
      </c>
      <c r="AK198" t="s">
        <v>328</v>
      </c>
      <c r="BI198" s="69"/>
    </row>
    <row r="199" spans="3:61" x14ac:dyDescent="0.25">
      <c r="AI199" s="262">
        <v>1292623</v>
      </c>
      <c r="AJ199" s="264">
        <v>76928</v>
      </c>
      <c r="AK199" s="245">
        <v>43958</v>
      </c>
      <c r="AL199" t="s">
        <v>337</v>
      </c>
      <c r="BI199" s="69"/>
    </row>
    <row r="200" spans="3:61" x14ac:dyDescent="0.25">
      <c r="AI200" s="262">
        <v>1321785</v>
      </c>
      <c r="AJ200" s="264">
        <v>78615</v>
      </c>
      <c r="AK200" s="208">
        <v>43959</v>
      </c>
      <c r="AL200" t="s">
        <v>358</v>
      </c>
      <c r="AW200" s="69"/>
      <c r="AX200" s="69"/>
      <c r="AY200" s="69"/>
      <c r="AZ200" s="69"/>
      <c r="BA200" s="69"/>
      <c r="BB200" s="69"/>
      <c r="BI200" s="69"/>
    </row>
    <row r="201" spans="3:61" x14ac:dyDescent="0.25">
      <c r="C201" s="69"/>
      <c r="D201" s="69"/>
      <c r="E201" s="69"/>
      <c r="F201" s="69"/>
      <c r="G201" s="69"/>
      <c r="H201" s="69"/>
      <c r="I201" s="69"/>
      <c r="J201" s="69"/>
      <c r="K201" s="69"/>
      <c r="L201" s="69"/>
      <c r="M201" s="69"/>
      <c r="N201" s="69"/>
      <c r="O201" s="69"/>
      <c r="P201" s="69"/>
      <c r="Q201" s="69"/>
      <c r="R201" s="69"/>
      <c r="S201" s="69"/>
      <c r="T201" s="69"/>
      <c r="U201" s="69"/>
      <c r="V201" s="69"/>
      <c r="W201" s="69"/>
      <c r="X201" s="69"/>
      <c r="Y201" s="69"/>
      <c r="Z201" s="69"/>
      <c r="AA201" s="69"/>
      <c r="AB201" s="69"/>
      <c r="AC201" s="69"/>
      <c r="AD201" s="69"/>
      <c r="AE201" s="69"/>
      <c r="AF201" s="69"/>
      <c r="AG201" s="69"/>
      <c r="AH201" s="69"/>
      <c r="AI201" s="262">
        <v>1321785</v>
      </c>
      <c r="AJ201" s="264">
        <v>78615</v>
      </c>
      <c r="AK201" s="245">
        <v>43959</v>
      </c>
      <c r="AL201" s="69" t="s">
        <v>334</v>
      </c>
      <c r="AM201" s="69"/>
      <c r="AN201" s="69"/>
      <c r="AO201" s="69"/>
      <c r="AP201" s="69"/>
      <c r="AQ201" s="69"/>
      <c r="AW201" s="69"/>
      <c r="AX201" s="69"/>
      <c r="AY201" s="69"/>
      <c r="AZ201" s="69"/>
      <c r="BA201" s="69"/>
      <c r="BB201" s="69"/>
      <c r="BC201" s="69"/>
      <c r="BI201" s="69"/>
    </row>
    <row r="202" spans="3:61" x14ac:dyDescent="0.25">
      <c r="C202" s="69"/>
      <c r="D202" s="69"/>
      <c r="E202" s="69"/>
      <c r="F202" s="69"/>
      <c r="G202" s="69"/>
      <c r="H202" s="69"/>
      <c r="I202" s="69"/>
      <c r="J202" s="69"/>
      <c r="K202" s="69"/>
      <c r="L202" s="69"/>
      <c r="M202" s="69"/>
      <c r="N202" s="69"/>
      <c r="O202" s="69"/>
      <c r="P202" s="69"/>
      <c r="Q202" s="69"/>
      <c r="R202" s="69"/>
      <c r="S202" s="69"/>
      <c r="T202" s="69"/>
      <c r="U202" s="69"/>
      <c r="V202" s="69"/>
      <c r="W202" s="69"/>
      <c r="X202" s="69"/>
      <c r="Y202" s="69"/>
      <c r="Z202" s="69"/>
      <c r="AA202" s="69"/>
      <c r="AB202" s="69"/>
      <c r="AC202" s="69"/>
      <c r="AD202" s="69"/>
      <c r="AE202" s="69"/>
      <c r="AF202" s="69"/>
      <c r="AG202" s="69"/>
      <c r="AH202" s="69"/>
      <c r="AI202" s="262">
        <v>1321785</v>
      </c>
      <c r="AJ202" s="264">
        <v>78615</v>
      </c>
      <c r="AK202" s="162">
        <v>43959</v>
      </c>
      <c r="AL202" s="69" t="s">
        <v>331</v>
      </c>
      <c r="AO202" s="69"/>
      <c r="AP202" s="69"/>
      <c r="AQ202" s="69"/>
      <c r="AR202" s="69"/>
      <c r="AS202" s="69"/>
      <c r="AT202" s="69"/>
      <c r="AU202" s="69"/>
      <c r="AV202" s="69"/>
      <c r="AW202" s="69"/>
      <c r="AX202" s="69"/>
      <c r="AY202" s="69"/>
      <c r="AZ202" s="69"/>
      <c r="BA202" s="69"/>
      <c r="BB202" s="69"/>
      <c r="BI202" s="69"/>
    </row>
    <row r="203" spans="3:61" x14ac:dyDescent="0.25">
      <c r="AI203" s="262">
        <v>1321785</v>
      </c>
      <c r="AJ203" s="264">
        <v>78615</v>
      </c>
      <c r="AK203" s="208">
        <v>43959</v>
      </c>
      <c r="AL203" s="69" t="s">
        <v>335</v>
      </c>
      <c r="AR203" s="69"/>
      <c r="AS203" s="69"/>
      <c r="AT203" s="69"/>
      <c r="AU203" s="69"/>
      <c r="AV203" s="69"/>
      <c r="AW203" s="69"/>
      <c r="AX203" s="69"/>
      <c r="AY203" s="69"/>
      <c r="AZ203" s="69"/>
      <c r="BA203" s="69"/>
      <c r="BB203" s="69"/>
      <c r="BI203" s="69"/>
    </row>
    <row r="204" spans="3:61" x14ac:dyDescent="0.25">
      <c r="D204" s="69"/>
      <c r="E204" s="69"/>
      <c r="F204" s="69"/>
      <c r="G204" s="69"/>
      <c r="H204" s="69"/>
      <c r="I204" s="69"/>
      <c r="J204" s="69"/>
      <c r="K204" s="69"/>
      <c r="L204" s="69"/>
      <c r="M204" s="69"/>
      <c r="N204" s="69"/>
      <c r="O204" s="69"/>
      <c r="P204" s="69"/>
      <c r="Q204" s="69"/>
      <c r="R204" s="69"/>
      <c r="S204" s="69"/>
      <c r="T204" s="162"/>
      <c r="U204" s="69"/>
      <c r="V204" s="69"/>
      <c r="W204" s="69"/>
      <c r="AI204" s="262">
        <v>1321785</v>
      </c>
      <c r="AJ204" s="264">
        <v>78615</v>
      </c>
      <c r="AK204" s="208">
        <v>43959</v>
      </c>
      <c r="AL204" s="69" t="s">
        <v>341</v>
      </c>
      <c r="AW204" s="208"/>
      <c r="BH204" s="69"/>
      <c r="BI204" s="69"/>
    </row>
    <row r="205" spans="3:61" x14ac:dyDescent="0.25">
      <c r="D205" s="69"/>
      <c r="E205" s="69"/>
      <c r="F205" s="69"/>
      <c r="G205" s="69"/>
      <c r="H205" s="69"/>
      <c r="I205" s="69"/>
      <c r="J205" s="69"/>
      <c r="K205" s="69"/>
      <c r="L205" s="69"/>
      <c r="M205" s="69"/>
      <c r="N205" s="69"/>
      <c r="O205" s="69"/>
      <c r="P205" s="69"/>
      <c r="Q205" s="69"/>
      <c r="R205" s="69"/>
      <c r="S205" s="69"/>
      <c r="T205" s="162"/>
      <c r="U205" s="69"/>
      <c r="V205" s="69"/>
      <c r="W205" s="69"/>
      <c r="AI205" s="262">
        <v>1347309</v>
      </c>
      <c r="AJ205" s="264">
        <v>80037</v>
      </c>
      <c r="AK205" s="208">
        <v>43960</v>
      </c>
      <c r="AL205" s="69" t="s">
        <v>357</v>
      </c>
      <c r="BI205" s="69"/>
    </row>
    <row r="206" spans="3:61" x14ac:dyDescent="0.25">
      <c r="D206" s="69"/>
      <c r="E206" s="69"/>
      <c r="F206" s="69"/>
      <c r="G206" s="69"/>
      <c r="H206" s="69"/>
      <c r="I206" s="69"/>
      <c r="J206" s="69"/>
      <c r="K206" s="69"/>
      <c r="L206" s="69"/>
      <c r="M206" s="69"/>
      <c r="N206" s="69"/>
      <c r="O206" s="69"/>
      <c r="P206" s="69"/>
      <c r="Q206" s="69"/>
      <c r="R206" s="69"/>
      <c r="S206" s="69"/>
      <c r="T206" s="162"/>
      <c r="U206" s="69"/>
      <c r="V206" s="69"/>
      <c r="W206" s="69"/>
      <c r="AI206" s="262">
        <v>1347309</v>
      </c>
      <c r="AJ206" s="264">
        <v>80037</v>
      </c>
      <c r="AK206" s="208">
        <v>43960</v>
      </c>
      <c r="AL206" s="69" t="s">
        <v>332</v>
      </c>
      <c r="BC206" s="69"/>
      <c r="BI206" s="69"/>
    </row>
    <row r="207" spans="3:61" x14ac:dyDescent="0.25">
      <c r="C207" s="69"/>
      <c r="D207" s="69"/>
      <c r="E207" s="69"/>
      <c r="F207" s="69"/>
      <c r="G207" s="69"/>
      <c r="H207" s="69"/>
      <c r="I207" s="69"/>
      <c r="J207" s="69"/>
      <c r="K207" s="69"/>
      <c r="L207" s="69"/>
      <c r="M207" s="69"/>
      <c r="N207" s="69"/>
      <c r="O207" s="69"/>
      <c r="P207" s="69"/>
      <c r="Q207" s="69"/>
      <c r="R207" s="69"/>
      <c r="S207" s="69"/>
      <c r="T207" s="162"/>
      <c r="U207" s="69"/>
      <c r="V207" s="69"/>
      <c r="W207" s="69"/>
      <c r="X207" s="69"/>
      <c r="Y207" s="69"/>
      <c r="AD207" s="69"/>
      <c r="AE207" s="69"/>
      <c r="AF207" s="69"/>
      <c r="AG207" s="69"/>
      <c r="AH207" s="69"/>
      <c r="AI207" s="262">
        <v>1347309</v>
      </c>
      <c r="AJ207" s="264">
        <v>80037</v>
      </c>
      <c r="AK207" s="245">
        <v>43960</v>
      </c>
      <c r="AL207" s="69" t="s">
        <v>340</v>
      </c>
      <c r="AO207" s="69"/>
      <c r="AP207" s="69"/>
      <c r="AQ207" s="69"/>
      <c r="BI207" s="69"/>
    </row>
    <row r="208" spans="3:61" x14ac:dyDescent="0.25">
      <c r="AI208" s="262">
        <v>1347309</v>
      </c>
      <c r="AJ208" s="264">
        <v>80037</v>
      </c>
      <c r="AK208" s="208">
        <v>43960</v>
      </c>
      <c r="AL208" s="69" t="s">
        <v>333</v>
      </c>
      <c r="BI208" s="69"/>
    </row>
    <row r="209" spans="3:65" x14ac:dyDescent="0.25">
      <c r="AI209" s="262">
        <v>1367638</v>
      </c>
      <c r="AJ209" s="264">
        <v>80787</v>
      </c>
      <c r="AK209" s="208">
        <v>43961</v>
      </c>
      <c r="AL209" s="69" t="s">
        <v>338</v>
      </c>
      <c r="BD209" s="69"/>
      <c r="BE209" s="69"/>
      <c r="BF209" s="69"/>
      <c r="BG209" s="69"/>
      <c r="BI209" s="69"/>
    </row>
    <row r="210" spans="3:65" x14ac:dyDescent="0.25">
      <c r="AI210" s="262">
        <v>1367638</v>
      </c>
      <c r="AJ210" s="264">
        <v>80787</v>
      </c>
      <c r="AK210" s="245">
        <v>43961</v>
      </c>
      <c r="AL210" s="69" t="s">
        <v>339</v>
      </c>
      <c r="BI210" s="69"/>
    </row>
    <row r="211" spans="3:65" x14ac:dyDescent="0.25">
      <c r="AI211" s="262">
        <v>1385834</v>
      </c>
      <c r="AJ211" s="264">
        <v>81795</v>
      </c>
      <c r="AK211" s="208">
        <v>43962</v>
      </c>
      <c r="AL211" s="69" t="s">
        <v>342</v>
      </c>
      <c r="AW211" s="69"/>
      <c r="AX211" s="69"/>
      <c r="AY211" s="69"/>
      <c r="AZ211" s="69"/>
      <c r="BA211" s="69"/>
      <c r="BB211" s="69"/>
      <c r="BI211" s="69"/>
      <c r="BJ211" s="69"/>
      <c r="BK211" s="69"/>
      <c r="BL211" s="69"/>
      <c r="BM211" s="69"/>
    </row>
    <row r="212" spans="3:65" s="69" customFormat="1" x14ac:dyDescent="0.25">
      <c r="C212"/>
      <c r="D212"/>
      <c r="E212"/>
      <c r="F212"/>
      <c r="G212"/>
      <c r="H212"/>
      <c r="I212"/>
      <c r="J212"/>
      <c r="K212"/>
      <c r="L212"/>
      <c r="M212"/>
      <c r="N212"/>
      <c r="O212"/>
      <c r="P212"/>
      <c r="Q212"/>
      <c r="R212"/>
      <c r="S212"/>
      <c r="T212"/>
      <c r="U212"/>
      <c r="V212"/>
      <c r="W212"/>
      <c r="X212"/>
      <c r="Y212"/>
      <c r="Z212"/>
      <c r="AA212"/>
      <c r="AB212"/>
      <c r="AC212"/>
      <c r="AD212"/>
      <c r="AE212"/>
      <c r="AF212"/>
      <c r="AG212"/>
      <c r="AH212"/>
      <c r="AI212" s="262">
        <v>1385834</v>
      </c>
      <c r="AJ212" s="264">
        <v>81795</v>
      </c>
      <c r="AK212" s="245">
        <v>43962</v>
      </c>
      <c r="AL212" s="69" t="s">
        <v>343</v>
      </c>
      <c r="AM212"/>
      <c r="AN212"/>
      <c r="AO212"/>
      <c r="AP212"/>
      <c r="AQ212"/>
      <c r="AR212"/>
      <c r="AS212"/>
      <c r="AT212"/>
      <c r="AU212"/>
      <c r="AV212"/>
      <c r="BC212"/>
      <c r="BD212"/>
      <c r="BE212"/>
      <c r="BF212"/>
      <c r="BG212"/>
      <c r="BH212"/>
    </row>
    <row r="213" spans="3:65" x14ac:dyDescent="0.25">
      <c r="AI213" s="262">
        <v>1385834</v>
      </c>
      <c r="AJ213" s="264">
        <v>81795</v>
      </c>
      <c r="AK213" s="245">
        <v>43962</v>
      </c>
      <c r="AL213" s="69" t="s">
        <v>545</v>
      </c>
      <c r="BJ213" s="69"/>
      <c r="BK213" s="69"/>
      <c r="BL213" s="69"/>
      <c r="BM213" s="69"/>
    </row>
    <row r="214" spans="3:65" x14ac:dyDescent="0.25">
      <c r="AI214" s="262">
        <v>1385834</v>
      </c>
      <c r="AJ214" s="264">
        <v>81795</v>
      </c>
      <c r="AK214" s="162">
        <v>43962</v>
      </c>
      <c r="AL214" s="69" t="s">
        <v>348</v>
      </c>
      <c r="BC214" s="69"/>
      <c r="BJ214" s="69"/>
      <c r="BK214" s="69"/>
      <c r="BL214" s="69"/>
      <c r="BM214" s="69"/>
    </row>
    <row r="215" spans="3:65" x14ac:dyDescent="0.25">
      <c r="C215" s="69"/>
      <c r="D215" s="69"/>
      <c r="E215" s="69"/>
      <c r="F215" s="69"/>
      <c r="G215" s="69"/>
      <c r="H215" s="69"/>
      <c r="I215" s="69"/>
      <c r="J215" s="69"/>
      <c r="K215" s="69"/>
      <c r="L215" s="69"/>
      <c r="M215" s="69"/>
      <c r="N215" s="69"/>
      <c r="O215" s="69"/>
      <c r="P215" s="69"/>
      <c r="Q215" s="69"/>
      <c r="R215" s="69"/>
      <c r="S215" s="69"/>
      <c r="T215" s="69"/>
      <c r="U215" s="69"/>
      <c r="V215" s="69"/>
      <c r="W215" s="69"/>
      <c r="X215" s="69"/>
      <c r="Y215" s="69"/>
      <c r="Z215" s="69"/>
      <c r="AA215" s="69"/>
      <c r="AB215" s="69"/>
      <c r="AC215" s="69"/>
      <c r="AD215" s="69"/>
      <c r="AE215" s="69"/>
      <c r="AF215" s="69"/>
      <c r="AG215" s="69"/>
      <c r="AH215" s="69"/>
      <c r="AI215" s="262">
        <v>1385834</v>
      </c>
      <c r="AJ215" s="264">
        <v>81795</v>
      </c>
      <c r="AK215" s="162">
        <v>43962</v>
      </c>
      <c r="AL215" s="69" t="s">
        <v>346</v>
      </c>
      <c r="AM215" s="69"/>
      <c r="AN215" s="69"/>
      <c r="AO215" s="69"/>
      <c r="AP215" s="69"/>
      <c r="AQ215" s="69"/>
      <c r="BJ215" s="69"/>
      <c r="BK215" s="69"/>
      <c r="BL215" s="69"/>
      <c r="BM215" s="69"/>
    </row>
    <row r="216" spans="3:65" x14ac:dyDescent="0.25">
      <c r="C216" s="69"/>
      <c r="D216" s="69"/>
      <c r="E216" s="69"/>
      <c r="F216" s="69"/>
      <c r="G216" s="69"/>
      <c r="H216" s="69"/>
      <c r="I216" s="69"/>
      <c r="J216" s="69"/>
      <c r="K216" s="69"/>
      <c r="L216" s="69"/>
      <c r="M216" s="69"/>
      <c r="N216" s="69"/>
      <c r="O216" s="69"/>
      <c r="P216" s="69"/>
      <c r="Q216" s="69"/>
      <c r="R216" s="69"/>
      <c r="S216" s="69"/>
      <c r="T216" s="69"/>
      <c r="U216" s="69"/>
      <c r="V216" s="69"/>
      <c r="W216" s="69"/>
      <c r="X216" s="69"/>
      <c r="Y216" s="69"/>
      <c r="Z216" s="69"/>
      <c r="AA216" s="69"/>
      <c r="AB216" s="69"/>
      <c r="AC216" s="69"/>
      <c r="AD216" s="69"/>
      <c r="AE216" s="69"/>
      <c r="AF216" s="69"/>
      <c r="AG216" s="69"/>
      <c r="AH216" s="69"/>
      <c r="AI216" s="262">
        <v>1385834</v>
      </c>
      <c r="AJ216" s="264">
        <v>81795</v>
      </c>
      <c r="AK216" s="245">
        <v>43962</v>
      </c>
      <c r="AL216" s="69" t="s">
        <v>347</v>
      </c>
      <c r="AM216" s="69"/>
      <c r="AN216" s="69"/>
      <c r="AO216" s="69"/>
      <c r="AP216" s="69"/>
      <c r="AQ216" s="69"/>
      <c r="BJ216" s="69"/>
      <c r="BK216" s="69"/>
      <c r="BL216" s="69"/>
      <c r="BM216" s="69"/>
    </row>
    <row r="217" spans="3:65" x14ac:dyDescent="0.25">
      <c r="AI217" s="262">
        <v>1408636</v>
      </c>
      <c r="AJ217" s="264">
        <v>83425</v>
      </c>
      <c r="AK217" s="245">
        <v>43963</v>
      </c>
      <c r="AL217" t="s">
        <v>345</v>
      </c>
      <c r="AR217" s="69"/>
      <c r="AS217" s="69"/>
      <c r="AT217" s="69"/>
      <c r="AU217" s="69"/>
      <c r="AV217" s="69"/>
      <c r="BJ217" s="69"/>
      <c r="BK217" s="69"/>
      <c r="BL217" s="69"/>
      <c r="BM217" s="69"/>
    </row>
    <row r="218" spans="3:65" x14ac:dyDescent="0.25">
      <c r="AI218" s="262">
        <v>1430347</v>
      </c>
      <c r="AJ218" s="264">
        <v>85197</v>
      </c>
      <c r="AK218" s="245">
        <v>43964</v>
      </c>
      <c r="AL218" t="s">
        <v>349</v>
      </c>
      <c r="AR218" s="69"/>
      <c r="AS218" s="69"/>
      <c r="AT218" s="69"/>
      <c r="AU218" s="69"/>
      <c r="AV218" s="69"/>
      <c r="BJ218" s="69"/>
      <c r="BK218" s="69"/>
      <c r="BL218" s="69"/>
      <c r="BM218" s="69"/>
    </row>
    <row r="219" spans="3:65" x14ac:dyDescent="0.25">
      <c r="AI219" s="262">
        <v>1430347</v>
      </c>
      <c r="AJ219" s="264">
        <v>85197</v>
      </c>
      <c r="AK219" s="208">
        <v>43964</v>
      </c>
      <c r="AL219" t="s">
        <v>361</v>
      </c>
      <c r="AM219" s="208">
        <f>AK219+14</f>
        <v>43978</v>
      </c>
      <c r="BJ219" s="69"/>
      <c r="BK219" s="69"/>
      <c r="BL219" s="69"/>
      <c r="BM219" s="69"/>
    </row>
    <row r="220" spans="3:65" x14ac:dyDescent="0.25">
      <c r="C220" s="69"/>
      <c r="D220" s="69"/>
      <c r="E220" s="69"/>
      <c r="F220" s="69"/>
      <c r="G220" s="69"/>
      <c r="H220" s="69"/>
      <c r="I220" s="69"/>
      <c r="J220" s="69"/>
      <c r="K220" s="69"/>
      <c r="L220" s="69"/>
      <c r="M220" s="69"/>
      <c r="N220" s="69"/>
      <c r="O220" s="69"/>
      <c r="P220" s="69"/>
      <c r="Q220" s="69"/>
      <c r="R220" s="69"/>
      <c r="S220" s="69"/>
      <c r="T220" s="69"/>
      <c r="U220" s="69"/>
      <c r="V220" s="69"/>
      <c r="W220" s="69"/>
      <c r="X220" s="69"/>
      <c r="Y220" s="69"/>
      <c r="Z220" s="69"/>
      <c r="AA220" s="69"/>
      <c r="AB220" s="69"/>
      <c r="AC220" s="69"/>
      <c r="AD220" s="69"/>
      <c r="AE220" s="69"/>
      <c r="AF220" s="69"/>
      <c r="AG220" s="69"/>
      <c r="AH220" s="69"/>
      <c r="AI220" s="262">
        <v>1484285</v>
      </c>
      <c r="AJ220" s="264">
        <v>88507</v>
      </c>
      <c r="AK220" s="208">
        <v>43966</v>
      </c>
      <c r="AL220" t="s">
        <v>362</v>
      </c>
      <c r="AM220" s="69"/>
      <c r="AN220" s="69"/>
      <c r="AO220" s="69"/>
      <c r="AP220" s="69"/>
      <c r="AQ220" s="69"/>
      <c r="BD220" s="69"/>
      <c r="BE220" s="69"/>
      <c r="BF220" s="69"/>
      <c r="BG220" s="69"/>
      <c r="BJ220" s="69"/>
      <c r="BK220" s="69"/>
      <c r="BL220" s="69"/>
      <c r="BM220" s="69"/>
    </row>
    <row r="221" spans="3:65" x14ac:dyDescent="0.25">
      <c r="C221" s="69"/>
      <c r="D221" s="69"/>
      <c r="E221" s="69"/>
      <c r="F221" s="69"/>
      <c r="G221" s="69"/>
      <c r="H221" s="69"/>
      <c r="I221" s="69"/>
      <c r="J221" s="69"/>
      <c r="K221" s="69"/>
      <c r="L221" s="69"/>
      <c r="M221" s="69"/>
      <c r="N221" s="69"/>
      <c r="O221" s="69"/>
      <c r="P221" s="69"/>
      <c r="Q221" s="69"/>
      <c r="R221" s="69"/>
      <c r="S221" s="69"/>
      <c r="T221" s="69"/>
      <c r="U221" s="69"/>
      <c r="V221" s="69"/>
      <c r="W221" s="69"/>
      <c r="X221" s="69"/>
      <c r="Y221" s="69"/>
      <c r="Z221" s="69"/>
      <c r="AA221" s="69"/>
      <c r="AB221" s="69"/>
      <c r="AC221" s="69"/>
      <c r="AD221" s="69"/>
      <c r="AE221" s="69"/>
      <c r="AF221" s="69"/>
      <c r="AG221" s="69"/>
      <c r="AH221" s="69"/>
      <c r="AI221" s="262">
        <v>1484285</v>
      </c>
      <c r="AJ221" s="264">
        <v>88507</v>
      </c>
      <c r="AK221" s="162">
        <v>43966</v>
      </c>
      <c r="AL221" s="69" t="s">
        <v>363</v>
      </c>
      <c r="AN221" s="69"/>
      <c r="AO221" s="69"/>
      <c r="AP221" s="69"/>
      <c r="AQ221" s="69"/>
      <c r="AR221" s="69"/>
      <c r="AS221" s="69"/>
      <c r="AT221" s="69"/>
      <c r="AU221" s="69"/>
      <c r="BD221" s="69"/>
      <c r="BE221" s="69"/>
      <c r="BF221" s="69"/>
      <c r="BG221" s="69"/>
      <c r="BJ221" s="69"/>
      <c r="BK221" s="69"/>
      <c r="BL221" s="69"/>
      <c r="BM221" s="69"/>
    </row>
    <row r="222" spans="3:65" x14ac:dyDescent="0.25">
      <c r="C222" s="69"/>
      <c r="D222" s="69"/>
      <c r="E222" s="69"/>
      <c r="F222" s="69"/>
      <c r="G222" s="69"/>
      <c r="H222" s="69"/>
      <c r="I222" s="69"/>
      <c r="J222" s="69"/>
      <c r="K222" s="69"/>
      <c r="L222" s="69"/>
      <c r="M222" s="69"/>
      <c r="N222" s="69"/>
      <c r="O222" s="69"/>
      <c r="P222" s="69"/>
      <c r="Q222" s="69"/>
      <c r="R222" s="69"/>
      <c r="S222" s="69"/>
      <c r="T222" s="69"/>
      <c r="U222" s="69"/>
      <c r="V222" s="69"/>
      <c r="W222" s="69"/>
      <c r="X222" s="69"/>
      <c r="Y222" s="69"/>
      <c r="Z222" s="69"/>
      <c r="AA222" s="69"/>
      <c r="AB222" s="69"/>
      <c r="AC222" s="69"/>
      <c r="AD222" s="69"/>
      <c r="AE222" s="69"/>
      <c r="AF222" s="69"/>
      <c r="AG222" s="69"/>
      <c r="AH222" s="69"/>
      <c r="AI222" s="262">
        <v>1484285</v>
      </c>
      <c r="AJ222" s="264">
        <v>88507</v>
      </c>
      <c r="AK222" s="245">
        <v>43966</v>
      </c>
      <c r="AL222" s="69" t="s">
        <v>364</v>
      </c>
      <c r="BD222" s="69"/>
      <c r="BE222" s="69"/>
      <c r="BF222" s="69"/>
      <c r="BG222" s="69"/>
      <c r="BJ222" s="69"/>
      <c r="BK222" s="69"/>
      <c r="BL222" s="69"/>
      <c r="BM222" s="69"/>
    </row>
    <row r="223" spans="3:65" x14ac:dyDescent="0.25">
      <c r="C223" s="69"/>
      <c r="D223" s="69"/>
      <c r="E223" s="69"/>
      <c r="F223" s="69"/>
      <c r="G223" s="69"/>
      <c r="H223" s="69"/>
      <c r="I223" s="69"/>
      <c r="J223" s="69"/>
      <c r="K223" s="69"/>
      <c r="L223" s="69"/>
      <c r="M223" s="69"/>
      <c r="N223" s="69"/>
      <c r="O223" s="69"/>
      <c r="P223" s="69"/>
      <c r="Q223" s="69"/>
      <c r="R223" s="69"/>
      <c r="S223" s="69"/>
      <c r="T223" s="69"/>
      <c r="U223" s="69"/>
      <c r="V223" s="69"/>
      <c r="W223" s="69"/>
      <c r="X223" s="69"/>
      <c r="Y223" s="69"/>
      <c r="Z223" s="69"/>
      <c r="AA223" s="69"/>
      <c r="AB223" s="69"/>
      <c r="AC223" s="69"/>
      <c r="AD223" s="69"/>
      <c r="AE223" s="69"/>
      <c r="AF223" s="69"/>
      <c r="AG223" s="69"/>
      <c r="AH223" s="69"/>
      <c r="AI223" s="262">
        <v>1507773</v>
      </c>
      <c r="AJ223" s="264">
        <v>90113</v>
      </c>
      <c r="AK223" s="245">
        <v>43967</v>
      </c>
      <c r="AL223" s="69" t="s">
        <v>365</v>
      </c>
      <c r="AV223" s="69"/>
      <c r="BD223" s="69"/>
      <c r="BE223" s="69"/>
      <c r="BF223" s="69"/>
      <c r="BG223" s="69"/>
      <c r="BJ223" s="69"/>
      <c r="BK223" s="69"/>
      <c r="BL223" s="69"/>
      <c r="BM223" s="69"/>
    </row>
    <row r="224" spans="3:65" x14ac:dyDescent="0.25">
      <c r="C224" s="69"/>
      <c r="D224" s="69"/>
      <c r="E224" s="69"/>
      <c r="F224" s="69"/>
      <c r="G224" s="69"/>
      <c r="H224" s="69"/>
      <c r="I224" s="69"/>
      <c r="J224" s="69"/>
      <c r="K224" s="69"/>
      <c r="L224" s="69"/>
      <c r="M224" s="69"/>
      <c r="N224" s="69"/>
      <c r="O224" s="69"/>
      <c r="P224" s="69"/>
      <c r="Q224" s="69"/>
      <c r="R224" s="69"/>
      <c r="S224" s="69"/>
      <c r="T224" s="69"/>
      <c r="U224" s="69"/>
      <c r="V224" s="69"/>
      <c r="W224" s="69"/>
      <c r="X224" s="69"/>
      <c r="Y224" s="69"/>
      <c r="Z224" s="69"/>
      <c r="AA224" s="69"/>
      <c r="AB224" s="69"/>
      <c r="AC224" s="69"/>
      <c r="AD224" s="69"/>
      <c r="AE224" s="69"/>
      <c r="AF224" s="69"/>
      <c r="AG224" s="69"/>
      <c r="AH224" s="69"/>
      <c r="AI224" s="262">
        <v>1507773</v>
      </c>
      <c r="AJ224" s="264">
        <v>90113</v>
      </c>
      <c r="AK224" s="162">
        <v>43967</v>
      </c>
      <c r="AL224" s="69" t="s">
        <v>382</v>
      </c>
      <c r="BD224" s="69"/>
      <c r="BE224" s="69"/>
      <c r="BF224" s="69"/>
      <c r="BG224" s="69"/>
      <c r="BJ224" s="69"/>
      <c r="BK224" s="69"/>
      <c r="BL224" s="69"/>
      <c r="BM224" s="69"/>
    </row>
    <row r="225" spans="3:65" x14ac:dyDescent="0.25">
      <c r="C225" s="69"/>
      <c r="D225" s="69"/>
      <c r="E225" s="69"/>
      <c r="F225" s="69"/>
      <c r="G225" s="69"/>
      <c r="H225" s="69"/>
      <c r="I225" s="69"/>
      <c r="J225" s="69"/>
      <c r="K225" s="69"/>
      <c r="L225" s="69"/>
      <c r="M225" s="69"/>
      <c r="N225" s="69"/>
      <c r="O225" s="69"/>
      <c r="P225" s="69"/>
      <c r="Q225" s="69"/>
      <c r="R225" s="69"/>
      <c r="S225" s="69"/>
      <c r="T225" s="69"/>
      <c r="U225" s="69"/>
      <c r="V225" s="69"/>
      <c r="W225" s="69"/>
      <c r="X225" s="69"/>
      <c r="Y225" s="69"/>
      <c r="Z225" s="69"/>
      <c r="AA225" s="69"/>
      <c r="AB225" s="69"/>
      <c r="AC225" s="69"/>
      <c r="AD225" s="69"/>
      <c r="AE225" s="69"/>
      <c r="AF225" s="69"/>
      <c r="AG225" s="69"/>
      <c r="AH225" s="69"/>
      <c r="AI225" s="262">
        <v>1527664</v>
      </c>
      <c r="AJ225" s="264">
        <v>90978</v>
      </c>
      <c r="AK225" s="208">
        <v>43968</v>
      </c>
      <c r="AL225" t="s">
        <v>372</v>
      </c>
      <c r="BH225" s="69"/>
      <c r="BI225" s="69"/>
      <c r="BJ225" s="69"/>
      <c r="BK225" s="69"/>
      <c r="BL225" s="69"/>
      <c r="BM225" s="69"/>
    </row>
    <row r="226" spans="3:65" x14ac:dyDescent="0.25">
      <c r="C226" s="69"/>
      <c r="D226" s="69"/>
      <c r="E226" s="69"/>
      <c r="F226" s="69"/>
      <c r="G226" s="69"/>
      <c r="H226" s="69"/>
      <c r="I226" s="69"/>
      <c r="J226" s="69"/>
      <c r="K226" s="69"/>
      <c r="L226" s="69"/>
      <c r="M226" s="69"/>
      <c r="N226" s="69"/>
      <c r="O226" s="69"/>
      <c r="P226" s="69"/>
      <c r="Q226" s="69"/>
      <c r="R226" s="69"/>
      <c r="S226" s="69"/>
      <c r="T226" s="69"/>
      <c r="U226" s="69"/>
      <c r="V226" s="69"/>
      <c r="W226" s="69"/>
      <c r="X226" s="69"/>
      <c r="Y226" s="69"/>
      <c r="Z226" s="69"/>
      <c r="AA226" s="69"/>
      <c r="AB226" s="69"/>
      <c r="AC226" s="69"/>
      <c r="AD226" s="69"/>
      <c r="AE226" s="69"/>
      <c r="AF226" s="69"/>
      <c r="AG226" s="69"/>
      <c r="AH226" s="69"/>
      <c r="AI226" s="262">
        <v>1527664</v>
      </c>
      <c r="AJ226" s="264">
        <v>90978</v>
      </c>
      <c r="AK226" s="245">
        <v>43968</v>
      </c>
      <c r="AL226" t="s">
        <v>366</v>
      </c>
      <c r="AW226" s="69"/>
      <c r="AX226" s="69"/>
      <c r="AY226" s="69"/>
      <c r="AZ226" s="69"/>
      <c r="BA226" s="69"/>
      <c r="BB226" s="69"/>
      <c r="BJ226" s="69"/>
      <c r="BK226" s="69"/>
      <c r="BL226" s="69"/>
      <c r="BM226" s="69"/>
    </row>
    <row r="227" spans="3:65" x14ac:dyDescent="0.25">
      <c r="C227" s="69"/>
      <c r="D227" s="69"/>
      <c r="E227" s="69"/>
      <c r="F227" s="69"/>
      <c r="G227" s="69"/>
      <c r="H227" s="69"/>
      <c r="I227" s="69"/>
      <c r="J227" s="69"/>
      <c r="K227" s="69"/>
      <c r="L227" s="69"/>
      <c r="M227" s="69"/>
      <c r="N227" s="69"/>
      <c r="O227" s="69"/>
      <c r="P227" s="69"/>
      <c r="Q227" s="69"/>
      <c r="R227" s="69"/>
      <c r="S227" s="69"/>
      <c r="T227" s="69"/>
      <c r="U227" s="69"/>
      <c r="V227" s="69"/>
      <c r="W227" s="69"/>
      <c r="X227" s="69"/>
      <c r="Y227" s="69"/>
      <c r="Z227" s="69"/>
      <c r="AA227" s="69"/>
      <c r="AB227" s="69"/>
      <c r="AC227" s="69"/>
      <c r="AD227" s="69"/>
      <c r="AE227" s="69"/>
      <c r="AF227" s="69"/>
      <c r="AG227" s="69"/>
      <c r="AH227" s="69"/>
      <c r="AI227" s="69"/>
      <c r="AJ227" s="262">
        <v>1570583</v>
      </c>
      <c r="AK227" s="264">
        <v>93533</v>
      </c>
      <c r="AL227" s="245">
        <v>43970</v>
      </c>
      <c r="AM227" t="s">
        <v>370</v>
      </c>
      <c r="AN227" s="69"/>
      <c r="AO227" s="69"/>
      <c r="AP227" s="69"/>
      <c r="AQ227" s="69"/>
      <c r="AR227" s="69"/>
      <c r="AS227" s="69"/>
      <c r="AT227" s="69"/>
      <c r="AU227" s="69"/>
      <c r="AW227" s="69"/>
      <c r="AX227" s="69"/>
      <c r="AY227" s="69"/>
      <c r="AZ227" s="69"/>
      <c r="BA227" s="69"/>
      <c r="BB227" s="69"/>
      <c r="BJ227" s="69"/>
      <c r="BK227" s="69"/>
      <c r="BL227" s="69"/>
      <c r="BM227" s="69"/>
    </row>
    <row r="228" spans="3:65" x14ac:dyDescent="0.25">
      <c r="C228" s="69"/>
      <c r="D228" s="69"/>
      <c r="E228" s="69"/>
      <c r="F228" s="69"/>
      <c r="G228" s="69"/>
      <c r="H228" s="69"/>
      <c r="I228" s="69"/>
      <c r="J228" s="69"/>
      <c r="K228" s="69"/>
      <c r="L228" s="69"/>
      <c r="M228" s="69"/>
      <c r="N228" s="69"/>
      <c r="O228" s="69"/>
      <c r="P228" s="69"/>
      <c r="Q228" s="69"/>
      <c r="R228" s="69"/>
      <c r="S228" s="69"/>
      <c r="T228" s="69"/>
      <c r="U228" s="69"/>
      <c r="V228" s="69"/>
      <c r="W228" s="69"/>
      <c r="X228" s="69"/>
      <c r="Y228" s="69"/>
      <c r="Z228" s="69"/>
      <c r="AA228" s="69"/>
      <c r="AB228" s="69"/>
      <c r="AC228" s="69"/>
      <c r="AD228" s="69"/>
      <c r="AE228" s="69"/>
      <c r="AF228" s="69"/>
      <c r="AG228" s="69"/>
      <c r="AH228" s="69"/>
      <c r="AJ228" s="262">
        <v>1570583</v>
      </c>
      <c r="AK228" s="264">
        <v>93533</v>
      </c>
      <c r="AL228" s="208">
        <v>43970</v>
      </c>
      <c r="AM228" t="s">
        <v>373</v>
      </c>
      <c r="BJ228" s="69"/>
      <c r="BK228" s="69"/>
      <c r="BL228" s="69"/>
      <c r="BM228" s="69"/>
    </row>
    <row r="229" spans="3:65" x14ac:dyDescent="0.25">
      <c r="C229" s="69"/>
      <c r="D229" s="69"/>
      <c r="E229" s="69"/>
      <c r="F229" s="69"/>
      <c r="G229" s="69"/>
      <c r="H229" s="69"/>
      <c r="I229" s="69"/>
      <c r="J229" s="69"/>
      <c r="K229" s="69"/>
      <c r="L229" s="69"/>
      <c r="M229" s="69"/>
      <c r="N229" s="69"/>
      <c r="O229" s="69"/>
      <c r="P229" s="69"/>
      <c r="Q229" s="69"/>
      <c r="R229" s="69"/>
      <c r="S229" s="69"/>
      <c r="T229" s="69"/>
      <c r="U229" s="69"/>
      <c r="V229" s="69"/>
      <c r="W229" s="69"/>
      <c r="X229" s="69"/>
      <c r="Y229" s="69"/>
      <c r="Z229" s="69"/>
      <c r="AA229" s="69"/>
      <c r="AB229" s="69"/>
      <c r="AC229" s="69"/>
      <c r="AD229" s="69"/>
      <c r="AE229" s="69"/>
      <c r="AF229" s="69"/>
      <c r="AG229" s="69"/>
      <c r="AH229" s="69"/>
      <c r="AJ229" s="262">
        <v>1570583</v>
      </c>
      <c r="AK229" s="264">
        <v>93533</v>
      </c>
      <c r="AL229" s="245">
        <v>43970</v>
      </c>
      <c r="AM229" t="s">
        <v>368</v>
      </c>
      <c r="BJ229" s="69"/>
      <c r="BK229" s="69"/>
      <c r="BL229" s="69"/>
      <c r="BM229" s="69"/>
    </row>
    <row r="230" spans="3:65" x14ac:dyDescent="0.25">
      <c r="C230" s="69"/>
      <c r="D230" s="69"/>
      <c r="E230" s="69"/>
      <c r="F230" s="69"/>
      <c r="G230" s="69"/>
      <c r="H230" s="69"/>
      <c r="I230" s="69"/>
      <c r="J230" s="69"/>
      <c r="K230" s="69"/>
      <c r="L230" s="69"/>
      <c r="M230" s="69"/>
      <c r="N230" s="69"/>
      <c r="O230" s="69"/>
      <c r="P230" s="69"/>
      <c r="Q230" s="69"/>
      <c r="R230" s="69"/>
      <c r="S230" s="69"/>
      <c r="T230" s="69"/>
      <c r="U230" s="69"/>
      <c r="V230" s="69"/>
      <c r="W230" s="69"/>
      <c r="X230" s="69"/>
      <c r="Y230" s="69"/>
      <c r="Z230" s="69"/>
      <c r="AA230" s="69"/>
      <c r="AB230" s="69"/>
      <c r="AC230" s="69"/>
      <c r="AD230" s="69"/>
      <c r="AE230" s="69"/>
      <c r="AF230" s="69"/>
      <c r="AG230" s="69"/>
      <c r="AH230" s="69"/>
      <c r="AJ230" s="262">
        <v>1570583</v>
      </c>
      <c r="AK230" s="264">
        <v>93533</v>
      </c>
      <c r="AL230" s="245">
        <v>43970</v>
      </c>
      <c r="AM230" t="s">
        <v>371</v>
      </c>
      <c r="BC230" s="69"/>
      <c r="BJ230" s="69"/>
      <c r="BK230" s="69"/>
      <c r="BL230" s="69"/>
      <c r="BM230" s="69"/>
    </row>
    <row r="231" spans="3:65" x14ac:dyDescent="0.25">
      <c r="C231" s="69"/>
      <c r="D231" s="69"/>
      <c r="E231" s="69"/>
      <c r="F231" s="69"/>
      <c r="G231" s="69"/>
      <c r="H231" s="69"/>
      <c r="I231" s="69"/>
      <c r="J231" s="69"/>
      <c r="K231" s="69"/>
      <c r="L231" s="69"/>
      <c r="M231" s="69"/>
      <c r="N231" s="69"/>
      <c r="O231" s="69"/>
      <c r="P231" s="69"/>
      <c r="Q231" s="69"/>
      <c r="R231" s="69"/>
      <c r="S231" s="69"/>
      <c r="T231" s="69"/>
      <c r="U231" s="69"/>
      <c r="V231" s="69"/>
      <c r="W231" s="69"/>
      <c r="X231" s="69"/>
      <c r="Y231" s="69"/>
      <c r="Z231" s="69"/>
      <c r="AA231" s="69"/>
      <c r="AB231" s="69"/>
      <c r="AC231" s="69"/>
      <c r="AD231" s="69"/>
      <c r="AE231" s="69"/>
      <c r="AF231" s="69"/>
      <c r="AG231" s="69"/>
      <c r="AH231" s="69"/>
      <c r="AJ231" s="262">
        <v>1570583</v>
      </c>
      <c r="AK231" s="264">
        <v>93533</v>
      </c>
      <c r="AL231" s="208">
        <v>43970</v>
      </c>
      <c r="AM231" t="s">
        <v>374</v>
      </c>
      <c r="AV231" s="69"/>
      <c r="BC231" s="69"/>
      <c r="BI231" s="69"/>
    </row>
    <row r="232" spans="3:65" x14ac:dyDescent="0.25">
      <c r="C232" s="69"/>
      <c r="D232" s="69"/>
      <c r="E232" s="69"/>
      <c r="F232" s="69"/>
      <c r="G232" s="69"/>
      <c r="H232" s="69"/>
      <c r="I232" s="69"/>
      <c r="J232" s="69"/>
      <c r="K232" s="69"/>
      <c r="L232" s="69"/>
      <c r="M232" s="69"/>
      <c r="N232" s="69"/>
      <c r="O232" s="69"/>
      <c r="P232" s="69"/>
      <c r="Q232" s="69"/>
      <c r="R232" s="69"/>
      <c r="S232" s="69"/>
      <c r="T232" s="69"/>
      <c r="U232" s="69"/>
      <c r="V232" s="69"/>
      <c r="W232" s="69"/>
      <c r="X232" s="69"/>
      <c r="Y232" s="69"/>
      <c r="Z232" s="69"/>
      <c r="AA232" s="69"/>
      <c r="AB232" s="69"/>
      <c r="AC232" s="69"/>
      <c r="AD232" s="69"/>
      <c r="AE232" s="69"/>
      <c r="AF232" s="69"/>
      <c r="AG232" s="69"/>
      <c r="AH232" s="69"/>
      <c r="AJ232" s="262">
        <v>1570583</v>
      </c>
      <c r="AK232" s="264">
        <v>93533</v>
      </c>
      <c r="AL232" s="208">
        <v>43970</v>
      </c>
      <c r="AM232" t="s">
        <v>369</v>
      </c>
      <c r="AV232" s="69"/>
      <c r="AW232" s="69"/>
      <c r="AX232" s="69"/>
      <c r="AY232" s="69"/>
      <c r="AZ232" s="69"/>
      <c r="BA232" s="69"/>
      <c r="BB232" s="69"/>
      <c r="BC232" s="69"/>
      <c r="BI232" s="69"/>
    </row>
    <row r="233" spans="3:65" x14ac:dyDescent="0.25">
      <c r="C233" s="69"/>
      <c r="D233" s="69"/>
      <c r="E233" s="69"/>
      <c r="F233" s="69"/>
      <c r="G233" s="69"/>
      <c r="H233" s="69"/>
      <c r="I233" s="69"/>
      <c r="J233" s="69"/>
      <c r="K233" s="69"/>
      <c r="L233" s="69"/>
      <c r="M233" s="69"/>
      <c r="N233" s="69"/>
      <c r="O233" s="69"/>
      <c r="P233" s="69"/>
      <c r="Q233" s="69"/>
      <c r="R233" s="69"/>
      <c r="S233" s="69"/>
      <c r="T233" s="69"/>
      <c r="U233" s="69"/>
      <c r="V233" s="69"/>
      <c r="W233" s="69"/>
      <c r="X233" s="69"/>
      <c r="Y233" s="69"/>
      <c r="Z233" s="69"/>
      <c r="AA233" s="69"/>
      <c r="AB233" s="69"/>
      <c r="AC233" s="69"/>
      <c r="AD233" s="69"/>
      <c r="AE233" s="69"/>
      <c r="AF233" s="69"/>
      <c r="AG233" s="69"/>
      <c r="AH233" s="69"/>
      <c r="AJ233" s="262">
        <v>1570583</v>
      </c>
      <c r="AK233" s="264">
        <v>93533</v>
      </c>
      <c r="AL233" s="208">
        <v>43970</v>
      </c>
      <c r="AM233" t="s">
        <v>386</v>
      </c>
      <c r="BC233" s="69"/>
      <c r="BD233" s="69"/>
      <c r="BE233" s="69"/>
      <c r="BF233" s="69"/>
      <c r="BG233" s="69"/>
      <c r="BI233" s="69"/>
    </row>
    <row r="234" spans="3:65" x14ac:dyDescent="0.25">
      <c r="AJ234" s="262">
        <v>1570583</v>
      </c>
      <c r="AK234" s="264">
        <v>93533</v>
      </c>
      <c r="AL234" s="208">
        <v>43970</v>
      </c>
      <c r="AM234" t="s">
        <v>390</v>
      </c>
    </row>
    <row r="235" spans="3:65" x14ac:dyDescent="0.25">
      <c r="AJ235" s="262">
        <v>1591991</v>
      </c>
      <c r="AK235" s="264">
        <v>94994</v>
      </c>
      <c r="AL235" s="208">
        <v>43971</v>
      </c>
      <c r="AM235" t="s">
        <v>375</v>
      </c>
    </row>
    <row r="236" spans="3:65" x14ac:dyDescent="0.25">
      <c r="AJ236" s="262">
        <v>1591991</v>
      </c>
      <c r="AK236" s="264">
        <v>94994</v>
      </c>
      <c r="AL236" s="208">
        <v>43971</v>
      </c>
      <c r="AM236" t="s">
        <v>395</v>
      </c>
      <c r="AV236" s="69"/>
      <c r="BH236" s="69"/>
    </row>
    <row r="237" spans="3:65" x14ac:dyDescent="0.25">
      <c r="C237" s="69"/>
      <c r="D237" s="69"/>
      <c r="E237" s="69"/>
      <c r="F237" s="69"/>
      <c r="G237" s="69"/>
      <c r="H237" s="69"/>
      <c r="I237" s="69"/>
      <c r="J237" s="69"/>
      <c r="K237" s="69"/>
      <c r="L237" s="69"/>
      <c r="M237" s="69"/>
      <c r="N237" s="69"/>
      <c r="O237" s="69"/>
      <c r="P237" s="69"/>
      <c r="Q237" s="69"/>
      <c r="R237" s="69"/>
      <c r="S237" s="69"/>
      <c r="T237" s="69"/>
      <c r="U237" s="69"/>
      <c r="V237" s="69"/>
      <c r="W237" s="69"/>
      <c r="X237" s="69"/>
      <c r="Y237" s="69"/>
      <c r="Z237" s="69"/>
      <c r="AA237" s="69"/>
      <c r="AB237" s="69"/>
      <c r="AC237" s="69"/>
      <c r="AD237" s="69"/>
      <c r="AE237" s="69"/>
      <c r="AF237" s="69"/>
      <c r="AG237" s="69"/>
      <c r="AH237" s="69"/>
      <c r="AJ237" s="262">
        <v>1591991</v>
      </c>
      <c r="AK237" s="264">
        <v>94994</v>
      </c>
      <c r="AL237" s="208">
        <v>43971</v>
      </c>
      <c r="AM237" t="s">
        <v>421</v>
      </c>
      <c r="AV237" s="69"/>
      <c r="BH237" s="69"/>
    </row>
    <row r="238" spans="3:65" x14ac:dyDescent="0.25">
      <c r="AJ238" s="262">
        <v>1620902</v>
      </c>
      <c r="AK238" s="264">
        <v>96354</v>
      </c>
      <c r="AL238" s="208">
        <v>43972</v>
      </c>
      <c r="AM238" t="s">
        <v>376</v>
      </c>
      <c r="BD238" s="69"/>
      <c r="BE238" s="69"/>
      <c r="BF238" s="69"/>
      <c r="BG238" s="69"/>
      <c r="BH238" s="69"/>
    </row>
    <row r="239" spans="3:65" x14ac:dyDescent="0.25">
      <c r="AJ239" s="262">
        <v>1620902</v>
      </c>
      <c r="AK239" s="264">
        <v>96354</v>
      </c>
      <c r="AL239" s="245">
        <v>43972</v>
      </c>
      <c r="AM239" t="s">
        <v>389</v>
      </c>
      <c r="BC239" s="69"/>
      <c r="BH239" s="69"/>
    </row>
    <row r="240" spans="3:65" x14ac:dyDescent="0.25">
      <c r="AJ240" s="262">
        <v>1620902</v>
      </c>
      <c r="AK240" s="264">
        <v>96354</v>
      </c>
      <c r="AL240" s="245">
        <v>43972</v>
      </c>
      <c r="AM240" t="s">
        <v>379</v>
      </c>
      <c r="AW240" s="69"/>
      <c r="AX240" s="69"/>
      <c r="AY240" s="69"/>
      <c r="AZ240" s="69"/>
      <c r="BA240" s="69"/>
      <c r="BB240" s="69"/>
      <c r="BC240" s="69"/>
      <c r="BH240" s="69"/>
    </row>
    <row r="241" spans="3:65" x14ac:dyDescent="0.25">
      <c r="AJ241" s="262">
        <v>1620902</v>
      </c>
      <c r="AK241" s="264">
        <v>96354</v>
      </c>
      <c r="AL241" s="208">
        <v>43972</v>
      </c>
      <c r="AM241" t="s">
        <v>378</v>
      </c>
      <c r="AW241" s="69"/>
      <c r="AX241" s="69"/>
      <c r="AY241" s="69"/>
      <c r="AZ241" s="69"/>
      <c r="BA241" s="69"/>
      <c r="BB241" s="69"/>
    </row>
    <row r="242" spans="3:65" x14ac:dyDescent="0.25">
      <c r="AJ242" s="262">
        <v>1620902</v>
      </c>
      <c r="AK242" s="264">
        <v>96354</v>
      </c>
      <c r="AL242" s="245">
        <v>43972</v>
      </c>
      <c r="AM242" t="s">
        <v>377</v>
      </c>
    </row>
    <row r="243" spans="3:65" x14ac:dyDescent="0.25">
      <c r="C243" s="69"/>
      <c r="D243" s="69"/>
      <c r="E243" s="69"/>
      <c r="F243" s="69"/>
      <c r="G243" s="69"/>
      <c r="H243" s="69"/>
      <c r="I243" s="69"/>
      <c r="J243" s="69"/>
      <c r="K243" s="69"/>
      <c r="L243" s="69"/>
      <c r="M243" s="69"/>
      <c r="N243" s="69"/>
      <c r="O243" s="69"/>
      <c r="P243" s="69"/>
      <c r="Q243" s="69"/>
      <c r="R243" s="69"/>
      <c r="S243" s="69"/>
      <c r="T243" s="69"/>
      <c r="U243" s="69"/>
      <c r="V243" s="69"/>
      <c r="W243" s="69"/>
      <c r="X243" s="69"/>
      <c r="Y243" s="69"/>
      <c r="Z243" s="69"/>
      <c r="AA243" s="69"/>
      <c r="AB243" s="69"/>
      <c r="AC243" s="69"/>
      <c r="AD243" s="69"/>
      <c r="AE243" s="69"/>
      <c r="AF243" s="69"/>
      <c r="AG243" s="69"/>
      <c r="AH243" s="69"/>
      <c r="AJ243" s="262">
        <v>1620902</v>
      </c>
      <c r="AK243" s="264">
        <v>96354</v>
      </c>
      <c r="AL243" s="245">
        <v>43972</v>
      </c>
      <c r="AM243" t="s">
        <v>420</v>
      </c>
      <c r="AV243" s="69"/>
    </row>
    <row r="244" spans="3:65" x14ac:dyDescent="0.25">
      <c r="AJ244" s="262">
        <v>1620902</v>
      </c>
      <c r="AK244" s="264">
        <v>96354</v>
      </c>
      <c r="AL244" s="245">
        <v>43972</v>
      </c>
      <c r="AM244" t="s">
        <v>422</v>
      </c>
    </row>
    <row r="245" spans="3:65" x14ac:dyDescent="0.25">
      <c r="AJ245" s="262">
        <v>1645094</v>
      </c>
      <c r="AK245" s="264">
        <v>97647</v>
      </c>
      <c r="AL245" s="162">
        <v>43973</v>
      </c>
      <c r="AM245" t="s">
        <v>387</v>
      </c>
      <c r="AW245" s="69"/>
      <c r="AX245" s="69"/>
      <c r="AY245" s="69"/>
      <c r="AZ245" s="69"/>
      <c r="BA245" s="69"/>
      <c r="BB245" s="69"/>
    </row>
    <row r="246" spans="3:65" x14ac:dyDescent="0.25">
      <c r="AJ246" s="262">
        <v>1645094</v>
      </c>
      <c r="AK246" s="264">
        <v>97647</v>
      </c>
      <c r="AL246" s="162">
        <v>43973</v>
      </c>
      <c r="AM246" t="s">
        <v>393</v>
      </c>
      <c r="AW246" s="69"/>
      <c r="AX246" s="69"/>
      <c r="AY246" s="69"/>
      <c r="AZ246" s="69"/>
      <c r="BA246" s="69"/>
      <c r="BB246" s="69"/>
      <c r="BD246" s="69"/>
      <c r="BE246" s="69"/>
      <c r="BF246" s="69"/>
      <c r="BG246" s="69"/>
    </row>
    <row r="247" spans="3:65" x14ac:dyDescent="0.25">
      <c r="AJ247" s="262">
        <v>1645094</v>
      </c>
      <c r="AK247" s="264">
        <v>97647</v>
      </c>
      <c r="AL247" s="162">
        <v>43973</v>
      </c>
      <c r="AM247" t="s">
        <v>505</v>
      </c>
    </row>
    <row r="248" spans="3:65" x14ac:dyDescent="0.25">
      <c r="AI248" s="69"/>
      <c r="AJ248" s="262">
        <v>1645094</v>
      </c>
      <c r="AK248" s="264">
        <v>97647</v>
      </c>
      <c r="AL248" s="245">
        <v>43973</v>
      </c>
      <c r="AM248" t="s">
        <v>385</v>
      </c>
      <c r="AN248" s="69"/>
      <c r="AO248" s="69"/>
      <c r="AP248" s="69"/>
      <c r="AQ248" s="69"/>
      <c r="AR248" s="69"/>
      <c r="AS248" s="69"/>
      <c r="AT248" s="69"/>
      <c r="AU248" s="69"/>
    </row>
    <row r="249" spans="3:65" x14ac:dyDescent="0.25">
      <c r="AI249" s="69"/>
      <c r="AJ249" s="262">
        <v>1644899</v>
      </c>
      <c r="AK249" s="264">
        <v>98678</v>
      </c>
      <c r="AL249" s="162">
        <v>43974</v>
      </c>
      <c r="AM249" s="69" t="s">
        <v>391</v>
      </c>
      <c r="AN249" s="69"/>
      <c r="AO249" s="69"/>
      <c r="AP249" s="69"/>
      <c r="AQ249" s="69"/>
      <c r="AR249" s="69"/>
      <c r="AS249" s="69"/>
      <c r="AT249" s="69"/>
      <c r="AU249" s="69"/>
      <c r="BH249" s="69"/>
    </row>
    <row r="250" spans="3:65" s="69" customFormat="1" x14ac:dyDescent="0.25">
      <c r="C250"/>
      <c r="D250"/>
      <c r="E250"/>
      <c r="F250"/>
      <c r="G250"/>
      <c r="H250"/>
      <c r="I250"/>
      <c r="J250"/>
      <c r="K250"/>
      <c r="L250"/>
      <c r="M250"/>
      <c r="N250"/>
      <c r="O250"/>
      <c r="P250"/>
      <c r="Q250"/>
      <c r="R250"/>
      <c r="S250"/>
      <c r="T250"/>
      <c r="U250"/>
      <c r="V250"/>
      <c r="W250"/>
      <c r="X250"/>
      <c r="Y250"/>
      <c r="Z250"/>
      <c r="AA250"/>
      <c r="AB250"/>
      <c r="AC250"/>
      <c r="AD250"/>
      <c r="AE250"/>
      <c r="AF250"/>
      <c r="AG250"/>
      <c r="AH250"/>
      <c r="AJ250" s="262">
        <v>1644899</v>
      </c>
      <c r="AK250" s="264">
        <v>98678</v>
      </c>
      <c r="AL250" s="162">
        <v>43974</v>
      </c>
      <c r="AM250" s="69" t="s">
        <v>414</v>
      </c>
      <c r="AV250"/>
      <c r="AW250"/>
      <c r="AX250"/>
      <c r="AY250"/>
      <c r="AZ250"/>
      <c r="BA250"/>
      <c r="BB250"/>
      <c r="BC250"/>
      <c r="BD250"/>
      <c r="BE250"/>
      <c r="BF250"/>
      <c r="BG250"/>
      <c r="BH250"/>
      <c r="BI250"/>
    </row>
    <row r="251" spans="3:65" s="69" customFormat="1" x14ac:dyDescent="0.25">
      <c r="C251"/>
      <c r="D251"/>
      <c r="E251"/>
      <c r="F251"/>
      <c r="G251"/>
      <c r="H251"/>
      <c r="I251"/>
      <c r="J251"/>
      <c r="K251"/>
      <c r="L251"/>
      <c r="M251"/>
      <c r="N251"/>
      <c r="O251"/>
      <c r="P251"/>
      <c r="Q251"/>
      <c r="R251"/>
      <c r="S251"/>
      <c r="T251"/>
      <c r="U251"/>
      <c r="V251"/>
      <c r="W251"/>
      <c r="X251"/>
      <c r="Y251"/>
      <c r="Z251"/>
      <c r="AA251"/>
      <c r="AB251"/>
      <c r="AC251"/>
      <c r="AD251"/>
      <c r="AE251"/>
      <c r="AF251"/>
      <c r="AG251"/>
      <c r="AH251"/>
      <c r="AI251"/>
      <c r="AJ251" s="262">
        <v>1686436</v>
      </c>
      <c r="AK251" s="264">
        <v>99293</v>
      </c>
      <c r="AL251" s="162">
        <v>43975</v>
      </c>
      <c r="AM251" s="69" t="s">
        <v>418</v>
      </c>
      <c r="AN251"/>
      <c r="AO251"/>
      <c r="AP251"/>
      <c r="AQ251"/>
      <c r="AR251"/>
      <c r="AS251"/>
      <c r="AT251"/>
      <c r="AU251"/>
      <c r="AV251"/>
      <c r="AW251"/>
      <c r="AX251"/>
      <c r="AY251"/>
      <c r="AZ251"/>
      <c r="BA251"/>
      <c r="BB251"/>
      <c r="BC251"/>
      <c r="BD251"/>
      <c r="BE251"/>
      <c r="BF251"/>
      <c r="BG251"/>
      <c r="BH251"/>
      <c r="BI251"/>
      <c r="BJ251"/>
      <c r="BK251"/>
      <c r="BL251"/>
      <c r="BM251"/>
    </row>
    <row r="252" spans="3:65" s="69" customFormat="1" x14ac:dyDescent="0.25">
      <c r="C252"/>
      <c r="D252"/>
      <c r="E252"/>
      <c r="F252"/>
      <c r="G252"/>
      <c r="H252"/>
      <c r="I252"/>
      <c r="J252"/>
      <c r="K252"/>
      <c r="L252"/>
      <c r="M252"/>
      <c r="N252"/>
      <c r="O252"/>
      <c r="P252"/>
      <c r="Q252"/>
      <c r="R252"/>
      <c r="S252"/>
      <c r="T252"/>
      <c r="U252"/>
      <c r="V252"/>
      <c r="W252"/>
      <c r="X252"/>
      <c r="Y252"/>
      <c r="Z252"/>
      <c r="AA252"/>
      <c r="AB252"/>
      <c r="AC252"/>
      <c r="AD252"/>
      <c r="AE252"/>
      <c r="AF252"/>
      <c r="AG252"/>
      <c r="AH252"/>
      <c r="AI252"/>
      <c r="AJ252" s="262">
        <v>1686436</v>
      </c>
      <c r="AK252" s="264">
        <v>99293</v>
      </c>
      <c r="AL252" s="162">
        <v>43975</v>
      </c>
      <c r="AM252" s="69" t="s">
        <v>392</v>
      </c>
      <c r="AN252"/>
      <c r="AO252"/>
      <c r="AP252"/>
      <c r="AQ252"/>
      <c r="AR252"/>
      <c r="AS252"/>
      <c r="AT252"/>
      <c r="AU252"/>
      <c r="AV252"/>
      <c r="BD252"/>
      <c r="BE252"/>
      <c r="BF252"/>
      <c r="BG252"/>
      <c r="BH252"/>
      <c r="BI252"/>
      <c r="BJ252"/>
      <c r="BK252"/>
      <c r="BL252"/>
      <c r="BM252"/>
    </row>
    <row r="253" spans="3:65" s="69" customFormat="1" x14ac:dyDescent="0.25">
      <c r="C253"/>
      <c r="D253"/>
      <c r="E253"/>
      <c r="F253"/>
      <c r="G253"/>
      <c r="H253"/>
      <c r="I253"/>
      <c r="J253"/>
      <c r="K253"/>
      <c r="L253"/>
      <c r="M253"/>
      <c r="N253"/>
      <c r="O253"/>
      <c r="P253"/>
      <c r="Q253"/>
      <c r="R253"/>
      <c r="S253"/>
      <c r="T253"/>
      <c r="U253"/>
      <c r="V253"/>
      <c r="W253"/>
      <c r="X253"/>
      <c r="Y253"/>
      <c r="Z253"/>
      <c r="AA253"/>
      <c r="AB253"/>
      <c r="AC253"/>
      <c r="AD253"/>
      <c r="AE253"/>
      <c r="AF253"/>
      <c r="AG253"/>
      <c r="AH253"/>
      <c r="AI253"/>
      <c r="AJ253" s="262">
        <v>1706226</v>
      </c>
      <c r="AK253" s="264">
        <v>99798</v>
      </c>
      <c r="AL253" s="208">
        <v>43976</v>
      </c>
      <c r="AM253" s="69" t="s">
        <v>410</v>
      </c>
      <c r="AN253"/>
      <c r="AO253"/>
      <c r="AP253"/>
      <c r="AQ253"/>
      <c r="AR253"/>
      <c r="AS253"/>
      <c r="AT253"/>
      <c r="AU253"/>
      <c r="AV253"/>
      <c r="AW253"/>
      <c r="AX253"/>
      <c r="AY253"/>
      <c r="AZ253"/>
      <c r="BA253"/>
      <c r="BB253"/>
      <c r="BD253"/>
      <c r="BE253"/>
      <c r="BF253"/>
      <c r="BG253"/>
      <c r="BH253"/>
      <c r="BI253"/>
      <c r="BJ253"/>
      <c r="BK253"/>
      <c r="BL253"/>
      <c r="BM253"/>
    </row>
    <row r="254" spans="3:65" s="69" customFormat="1" x14ac:dyDescent="0.25">
      <c r="C254"/>
      <c r="D254"/>
      <c r="E254"/>
      <c r="F254"/>
      <c r="G254"/>
      <c r="H254"/>
      <c r="I254"/>
      <c r="J254"/>
      <c r="K254"/>
      <c r="L254"/>
      <c r="M254"/>
      <c r="N254"/>
      <c r="O254"/>
      <c r="P254"/>
      <c r="Q254"/>
      <c r="R254"/>
      <c r="S254"/>
      <c r="T254"/>
      <c r="U254"/>
      <c r="V254"/>
      <c r="W254"/>
      <c r="X254"/>
      <c r="Y254"/>
      <c r="Z254"/>
      <c r="AA254"/>
      <c r="AB254"/>
      <c r="AC254"/>
      <c r="AD254"/>
      <c r="AE254"/>
      <c r="AF254"/>
      <c r="AG254"/>
      <c r="AH254"/>
      <c r="AI254"/>
      <c r="AJ254" s="262">
        <v>1706226</v>
      </c>
      <c r="AK254" s="264">
        <v>99798</v>
      </c>
      <c r="AL254" s="245">
        <v>43976</v>
      </c>
      <c r="AM254" s="69" t="s">
        <v>412</v>
      </c>
      <c r="AN254"/>
      <c r="AO254"/>
      <c r="AP254"/>
      <c r="AQ254"/>
      <c r="AR254"/>
      <c r="AS254"/>
      <c r="AT254"/>
      <c r="AU254"/>
      <c r="AV254"/>
      <c r="AW254"/>
      <c r="AX254"/>
      <c r="AY254"/>
      <c r="AZ254"/>
      <c r="BA254"/>
      <c r="BB254"/>
      <c r="BC254"/>
      <c r="BD254"/>
      <c r="BE254"/>
      <c r="BF254"/>
      <c r="BG254"/>
      <c r="BI254"/>
      <c r="BJ254"/>
      <c r="BK254"/>
      <c r="BL254"/>
      <c r="BM254"/>
    </row>
    <row r="255" spans="3:65" s="69" customFormat="1" x14ac:dyDescent="0.25">
      <c r="C255"/>
      <c r="D255"/>
      <c r="E255"/>
      <c r="F255"/>
      <c r="G255"/>
      <c r="H255"/>
      <c r="I255"/>
      <c r="J255"/>
      <c r="K255"/>
      <c r="L255"/>
      <c r="M255"/>
      <c r="N255"/>
      <c r="O255"/>
      <c r="P255"/>
      <c r="Q255"/>
      <c r="R255"/>
      <c r="S255"/>
      <c r="T255"/>
      <c r="U255"/>
      <c r="V255"/>
      <c r="W255"/>
      <c r="X255"/>
      <c r="Y255"/>
      <c r="Z255"/>
      <c r="AA255"/>
      <c r="AB255"/>
      <c r="AC255"/>
      <c r="AD255"/>
      <c r="AE255"/>
      <c r="AF255"/>
      <c r="AG255"/>
      <c r="AH255"/>
      <c r="AI255"/>
      <c r="AJ255" s="262">
        <v>1706226</v>
      </c>
      <c r="AK255" s="264">
        <v>99798</v>
      </c>
      <c r="AL255" s="245">
        <v>43976</v>
      </c>
      <c r="AM255" s="69" t="s">
        <v>409</v>
      </c>
      <c r="AO255"/>
      <c r="AP255"/>
      <c r="AQ255"/>
      <c r="AR255"/>
      <c r="AS255"/>
      <c r="AT255"/>
      <c r="AU255"/>
      <c r="AV255"/>
      <c r="AW255"/>
      <c r="AX255"/>
      <c r="AY255"/>
      <c r="AZ255"/>
      <c r="BA255"/>
      <c r="BB255"/>
      <c r="BC255"/>
      <c r="BD255"/>
      <c r="BE255"/>
      <c r="BF255"/>
      <c r="BG255"/>
      <c r="BH255"/>
      <c r="BI255"/>
      <c r="BJ255"/>
      <c r="BK255"/>
      <c r="BL255"/>
      <c r="BM255"/>
    </row>
    <row r="256" spans="3:65" s="69" customFormat="1" x14ac:dyDescent="0.25">
      <c r="C256"/>
      <c r="D256"/>
      <c r="E256"/>
      <c r="F256"/>
      <c r="G256"/>
      <c r="H256"/>
      <c r="I256"/>
      <c r="J256"/>
      <c r="K256"/>
      <c r="L256"/>
      <c r="M256"/>
      <c r="N256"/>
      <c r="O256"/>
      <c r="P256"/>
      <c r="Q256"/>
      <c r="R256"/>
      <c r="S256"/>
      <c r="T256"/>
      <c r="U256"/>
      <c r="V256"/>
      <c r="W256"/>
      <c r="X256"/>
      <c r="Y256"/>
      <c r="Z256"/>
      <c r="AA256"/>
      <c r="AB256"/>
      <c r="AC256"/>
      <c r="AD256"/>
      <c r="AE256"/>
      <c r="AF256"/>
      <c r="AG256"/>
      <c r="AH256"/>
      <c r="AI256"/>
      <c r="AJ256" s="262">
        <v>1706226</v>
      </c>
      <c r="AK256" s="264">
        <v>99798</v>
      </c>
      <c r="AL256" s="245">
        <v>43976</v>
      </c>
      <c r="AM256" s="69" t="s">
        <v>411</v>
      </c>
      <c r="AN256"/>
      <c r="AO256"/>
      <c r="AP256"/>
      <c r="AQ256"/>
      <c r="AR256"/>
      <c r="AS256"/>
      <c r="AT256"/>
      <c r="AU256"/>
      <c r="AV256"/>
      <c r="AW256"/>
      <c r="AX256"/>
      <c r="AY256"/>
      <c r="AZ256"/>
      <c r="BA256"/>
      <c r="BB256"/>
      <c r="BC256"/>
      <c r="BD256"/>
      <c r="BE256"/>
      <c r="BF256"/>
      <c r="BG256"/>
      <c r="BH256"/>
      <c r="BI256"/>
      <c r="BJ256"/>
      <c r="BK256"/>
      <c r="BL256"/>
      <c r="BM256"/>
    </row>
    <row r="257" spans="3:65" s="69" customFormat="1" x14ac:dyDescent="0.25">
      <c r="C257"/>
      <c r="D257"/>
      <c r="E257"/>
      <c r="F257"/>
      <c r="G257"/>
      <c r="H257"/>
      <c r="I257"/>
      <c r="J257"/>
      <c r="K257"/>
      <c r="L257"/>
      <c r="M257"/>
      <c r="N257"/>
      <c r="O257"/>
      <c r="P257"/>
      <c r="Q257"/>
      <c r="R257"/>
      <c r="S257"/>
      <c r="T257"/>
      <c r="U257"/>
      <c r="V257"/>
      <c r="W257"/>
      <c r="X257"/>
      <c r="Y257"/>
      <c r="Z257"/>
      <c r="AA257"/>
      <c r="AB257"/>
      <c r="AC257"/>
      <c r="AD257"/>
      <c r="AE257"/>
      <c r="AF257"/>
      <c r="AG257"/>
      <c r="AH257"/>
      <c r="AI257"/>
      <c r="AJ257" s="262">
        <v>1706226</v>
      </c>
      <c r="AK257" s="264">
        <v>99798</v>
      </c>
      <c r="AL257" s="245">
        <v>43976</v>
      </c>
      <c r="AM257" s="69" t="s">
        <v>416</v>
      </c>
      <c r="AN257"/>
      <c r="AO257"/>
      <c r="AP257"/>
      <c r="AQ257"/>
      <c r="AR257"/>
      <c r="AS257"/>
      <c r="AT257"/>
      <c r="AU257"/>
      <c r="AV257"/>
      <c r="AW257"/>
      <c r="AX257"/>
      <c r="AY257"/>
      <c r="AZ257"/>
      <c r="BA257"/>
      <c r="BB257"/>
      <c r="BC257"/>
      <c r="BD257"/>
      <c r="BE257"/>
      <c r="BF257"/>
      <c r="BG257"/>
      <c r="BH257"/>
      <c r="BI257"/>
      <c r="BJ257"/>
      <c r="BK257"/>
      <c r="BL257"/>
      <c r="BM257"/>
    </row>
    <row r="258" spans="3:65" s="69" customFormat="1" x14ac:dyDescent="0.25">
      <c r="C258"/>
      <c r="D258"/>
      <c r="E258"/>
      <c r="F258"/>
      <c r="G258"/>
      <c r="H258"/>
      <c r="I258"/>
      <c r="J258"/>
      <c r="K258"/>
      <c r="L258"/>
      <c r="M258"/>
      <c r="N258"/>
      <c r="O258"/>
      <c r="P258"/>
      <c r="Q258"/>
      <c r="R258"/>
      <c r="S258"/>
      <c r="T258"/>
      <c r="U258"/>
      <c r="V258"/>
      <c r="W258"/>
      <c r="X258"/>
      <c r="Y258"/>
      <c r="Z258"/>
      <c r="AA258"/>
      <c r="AB258"/>
      <c r="AC258"/>
      <c r="AD258"/>
      <c r="AE258"/>
      <c r="AF258"/>
      <c r="AG258"/>
      <c r="AH258"/>
      <c r="AI258"/>
      <c r="AJ258" s="262">
        <v>1706226</v>
      </c>
      <c r="AK258" s="264">
        <v>99798</v>
      </c>
      <c r="AL258" s="208">
        <v>43976</v>
      </c>
      <c r="AM258" s="69" t="s">
        <v>417</v>
      </c>
      <c r="AN258"/>
      <c r="AO258"/>
      <c r="AP258"/>
      <c r="AQ258"/>
      <c r="AR258"/>
      <c r="AS258"/>
      <c r="AT258"/>
      <c r="AU258"/>
      <c r="AV258"/>
      <c r="AW258"/>
      <c r="AX258"/>
      <c r="AY258"/>
      <c r="AZ258"/>
      <c r="BA258"/>
      <c r="BB258"/>
      <c r="BC258"/>
      <c r="BD258"/>
      <c r="BE258"/>
      <c r="BF258"/>
      <c r="BG258"/>
      <c r="BH258"/>
      <c r="BI258"/>
      <c r="BJ258"/>
      <c r="BK258"/>
      <c r="BL258"/>
      <c r="BM258"/>
    </row>
    <row r="259" spans="3:65" s="69" customFormat="1" x14ac:dyDescent="0.25">
      <c r="C259"/>
      <c r="D259"/>
      <c r="E259"/>
      <c r="F259"/>
      <c r="G259"/>
      <c r="H259"/>
      <c r="I259"/>
      <c r="J259"/>
      <c r="K259"/>
      <c r="L259"/>
      <c r="M259"/>
      <c r="N259"/>
      <c r="O259"/>
      <c r="P259"/>
      <c r="Q259"/>
      <c r="R259"/>
      <c r="S259"/>
      <c r="T259"/>
      <c r="U259"/>
      <c r="V259"/>
      <c r="W259"/>
      <c r="X259"/>
      <c r="Y259"/>
      <c r="Z259"/>
      <c r="AA259"/>
      <c r="AB259"/>
      <c r="AC259"/>
      <c r="AD259"/>
      <c r="AE259"/>
      <c r="AF259"/>
      <c r="AG259"/>
      <c r="AH259"/>
      <c r="AI259"/>
      <c r="AJ259" s="262">
        <v>1706226</v>
      </c>
      <c r="AK259" s="264">
        <v>99798</v>
      </c>
      <c r="AL259" s="246">
        <v>43976</v>
      </c>
      <c r="AM259" s="69" t="s">
        <v>419</v>
      </c>
      <c r="AN259" s="236"/>
      <c r="AO259"/>
      <c r="AP259"/>
      <c r="AQ259"/>
      <c r="AR259"/>
      <c r="AS259"/>
      <c r="AT259"/>
      <c r="AU259"/>
      <c r="AV259"/>
      <c r="AW259"/>
      <c r="AX259"/>
      <c r="AY259"/>
      <c r="AZ259"/>
      <c r="BA259"/>
      <c r="BB259"/>
      <c r="BD259"/>
      <c r="BE259"/>
      <c r="BF259"/>
      <c r="BG259"/>
      <c r="BH259"/>
      <c r="BJ259"/>
      <c r="BK259"/>
      <c r="BL259"/>
      <c r="BM259"/>
    </row>
    <row r="260" spans="3:65" s="69" customFormat="1" x14ac:dyDescent="0.25">
      <c r="C260"/>
      <c r="D260"/>
      <c r="E260"/>
      <c r="F260"/>
      <c r="G260"/>
      <c r="H260"/>
      <c r="I260"/>
      <c r="J260"/>
      <c r="K260"/>
      <c r="L260"/>
      <c r="M260"/>
      <c r="N260"/>
      <c r="O260"/>
      <c r="P260"/>
      <c r="Q260"/>
      <c r="R260"/>
      <c r="S260"/>
      <c r="T260"/>
      <c r="U260"/>
      <c r="V260"/>
      <c r="W260"/>
      <c r="X260"/>
      <c r="Y260"/>
      <c r="Z260"/>
      <c r="AA260"/>
      <c r="AB260"/>
      <c r="AC260"/>
      <c r="AD260"/>
      <c r="AE260"/>
      <c r="AF260"/>
      <c r="AG260"/>
      <c r="AH260"/>
      <c r="AI260"/>
      <c r="AJ260" s="262">
        <v>1725275</v>
      </c>
      <c r="AK260" s="263">
        <v>100572</v>
      </c>
      <c r="AL260" s="186">
        <v>43977</v>
      </c>
      <c r="AM260" s="69" t="s">
        <v>562</v>
      </c>
      <c r="AN260"/>
      <c r="AO260"/>
      <c r="AP260"/>
      <c r="AQ260"/>
      <c r="AR260"/>
      <c r="AS260"/>
      <c r="AT260"/>
      <c r="AU260"/>
      <c r="AV260"/>
      <c r="AW260"/>
      <c r="AX260"/>
      <c r="AY260"/>
      <c r="AZ260"/>
      <c r="BA260"/>
      <c r="BB260"/>
      <c r="BC260"/>
      <c r="BD260"/>
      <c r="BE260"/>
      <c r="BF260"/>
      <c r="BG260"/>
      <c r="BH260"/>
      <c r="BJ260"/>
      <c r="BK260"/>
      <c r="BL260"/>
      <c r="BM260"/>
    </row>
    <row r="261" spans="3:65" s="69" customFormat="1" x14ac:dyDescent="0.25">
      <c r="C261"/>
      <c r="D261"/>
      <c r="E261"/>
      <c r="F261"/>
      <c r="G261"/>
      <c r="H261"/>
      <c r="I261"/>
      <c r="J261"/>
      <c r="K261"/>
      <c r="L261"/>
      <c r="M261"/>
      <c r="N261"/>
      <c r="O261"/>
      <c r="P261"/>
      <c r="Q261"/>
      <c r="R261"/>
      <c r="S261"/>
      <c r="T261"/>
      <c r="U261"/>
      <c r="V261"/>
      <c r="W261"/>
      <c r="X261"/>
      <c r="Y261"/>
      <c r="Z261"/>
      <c r="AA261"/>
      <c r="AB261"/>
      <c r="AC261"/>
      <c r="AD261"/>
      <c r="AE261"/>
      <c r="AF261"/>
      <c r="AG261"/>
      <c r="AH261"/>
      <c r="AI261"/>
      <c r="AJ261" s="262">
        <v>1725275</v>
      </c>
      <c r="AK261" s="264">
        <v>100572</v>
      </c>
      <c r="AL261" s="245">
        <v>43977</v>
      </c>
      <c r="AM261" s="47" t="s">
        <v>503</v>
      </c>
      <c r="AN261"/>
      <c r="AO261"/>
      <c r="AP261"/>
      <c r="AQ261"/>
      <c r="AR261"/>
      <c r="AS261"/>
      <c r="AT261"/>
      <c r="AU261"/>
      <c r="AV261"/>
      <c r="AW261"/>
      <c r="AX261"/>
      <c r="AY261"/>
      <c r="AZ261"/>
      <c r="BA261"/>
      <c r="BB261"/>
      <c r="BC261"/>
      <c r="BD261"/>
      <c r="BE261"/>
      <c r="BF261"/>
      <c r="BG261"/>
      <c r="BH261"/>
      <c r="BI261"/>
      <c r="BJ261"/>
      <c r="BK261"/>
      <c r="BL261"/>
      <c r="BM261"/>
    </row>
    <row r="262" spans="3:65" s="69" customFormat="1" x14ac:dyDescent="0.25">
      <c r="C262"/>
      <c r="D262"/>
      <c r="E262"/>
      <c r="F262"/>
      <c r="G262"/>
      <c r="H262"/>
      <c r="I262"/>
      <c r="J262"/>
      <c r="K262"/>
      <c r="L262"/>
      <c r="M262"/>
      <c r="N262"/>
      <c r="O262"/>
      <c r="P262"/>
      <c r="Q262"/>
      <c r="R262"/>
      <c r="S262"/>
      <c r="T262"/>
      <c r="U262"/>
      <c r="V262"/>
      <c r="W262"/>
      <c r="X262"/>
      <c r="Y262"/>
      <c r="Z262"/>
      <c r="AA262"/>
      <c r="AB262"/>
      <c r="AC262"/>
      <c r="AD262"/>
      <c r="AE262"/>
      <c r="AF262"/>
      <c r="AG262"/>
      <c r="AH262"/>
      <c r="AI262"/>
      <c r="AJ262" s="262">
        <v>1725275</v>
      </c>
      <c r="AK262" s="264">
        <v>100572</v>
      </c>
      <c r="AL262" s="245">
        <v>43977</v>
      </c>
      <c r="AM262" s="47" t="s">
        <v>423</v>
      </c>
      <c r="AN262"/>
      <c r="AO262"/>
      <c r="AP262"/>
      <c r="AQ262"/>
      <c r="AR262"/>
      <c r="AS262"/>
      <c r="AT262"/>
      <c r="AU262"/>
      <c r="AV262"/>
      <c r="AW262"/>
      <c r="AX262"/>
      <c r="AY262"/>
      <c r="AZ262"/>
      <c r="BA262"/>
      <c r="BB262"/>
      <c r="BC262"/>
      <c r="BI262"/>
      <c r="BJ262"/>
      <c r="BK262"/>
      <c r="BL262"/>
      <c r="BM262"/>
    </row>
    <row r="263" spans="3:65" s="69" customFormat="1" x14ac:dyDescent="0.25">
      <c r="C263"/>
      <c r="D263"/>
      <c r="E263"/>
      <c r="F263"/>
      <c r="G263"/>
      <c r="H263"/>
      <c r="I263"/>
      <c r="J263"/>
      <c r="K263"/>
      <c r="L263"/>
      <c r="M263"/>
      <c r="N263"/>
      <c r="O263"/>
      <c r="P263"/>
      <c r="Q263"/>
      <c r="R263"/>
      <c r="S263"/>
      <c r="T263"/>
      <c r="U263"/>
      <c r="V263"/>
      <c r="W263"/>
      <c r="X263"/>
      <c r="Y263"/>
      <c r="Z263"/>
      <c r="AA263"/>
      <c r="AB263"/>
      <c r="AC263"/>
      <c r="AD263"/>
      <c r="AE263"/>
      <c r="AF263"/>
      <c r="AG263"/>
      <c r="AH263"/>
      <c r="AI263"/>
      <c r="AJ263" s="262">
        <v>1745803</v>
      </c>
      <c r="AK263" s="270">
        <v>102107</v>
      </c>
      <c r="AL263" s="245">
        <v>43978</v>
      </c>
      <c r="AM263" s="47" t="s">
        <v>415</v>
      </c>
      <c r="AN263"/>
      <c r="AO263"/>
      <c r="AP263"/>
      <c r="AQ263"/>
      <c r="AR263"/>
      <c r="AS263"/>
      <c r="AT263"/>
      <c r="AU263"/>
      <c r="AV263"/>
      <c r="AW263"/>
      <c r="AX263"/>
      <c r="AY263"/>
      <c r="AZ263"/>
      <c r="BA263"/>
      <c r="BB263"/>
      <c r="BC263"/>
      <c r="BH263"/>
      <c r="BJ263"/>
      <c r="BK263"/>
      <c r="BL263"/>
      <c r="BM263"/>
    </row>
    <row r="264" spans="3:65" s="69" customFormat="1" x14ac:dyDescent="0.25">
      <c r="AI264"/>
      <c r="AJ264" s="262">
        <v>1745803</v>
      </c>
      <c r="AK264" s="270">
        <v>102107</v>
      </c>
      <c r="AL264" s="245">
        <v>43978</v>
      </c>
      <c r="AM264" s="47" t="s">
        <v>504</v>
      </c>
      <c r="AN264"/>
      <c r="AO264"/>
      <c r="AP264"/>
      <c r="AQ264"/>
      <c r="AR264"/>
      <c r="AS264"/>
      <c r="AT264"/>
      <c r="AU264"/>
      <c r="AW264"/>
      <c r="AX264"/>
      <c r="AY264"/>
      <c r="AZ264"/>
      <c r="BA264"/>
      <c r="BB264"/>
      <c r="BC264"/>
      <c r="BH264"/>
      <c r="BJ264"/>
      <c r="BK264"/>
      <c r="BL264"/>
      <c r="BM264"/>
    </row>
    <row r="265" spans="3:65" s="69" customFormat="1" x14ac:dyDescent="0.25">
      <c r="AI265"/>
      <c r="AJ265" s="271">
        <v>1768461</v>
      </c>
      <c r="AK265" s="270">
        <v>103330</v>
      </c>
      <c r="AL265" s="245">
        <v>43979</v>
      </c>
      <c r="AM265" s="47" t="s">
        <v>424</v>
      </c>
      <c r="AN265"/>
      <c r="AO265"/>
      <c r="AP265"/>
      <c r="AQ265"/>
      <c r="AR265"/>
      <c r="AS265"/>
      <c r="AT265"/>
      <c r="AU265"/>
      <c r="AW265"/>
      <c r="AX265"/>
      <c r="AY265"/>
      <c r="AZ265"/>
      <c r="BA265"/>
      <c r="BB265"/>
      <c r="BC265"/>
      <c r="BH265"/>
      <c r="BJ265"/>
      <c r="BK265"/>
      <c r="BL265"/>
      <c r="BM265"/>
    </row>
    <row r="266" spans="3:65" x14ac:dyDescent="0.25">
      <c r="C266" s="69"/>
      <c r="D266" s="69"/>
      <c r="E266" s="69"/>
      <c r="F266" s="69"/>
      <c r="G266" s="69"/>
      <c r="H266" s="69"/>
      <c r="I266" s="69"/>
      <c r="J266" s="69"/>
      <c r="K266" s="69"/>
      <c r="L266" s="69"/>
      <c r="M266" s="69"/>
      <c r="N266" s="69"/>
      <c r="O266" s="69"/>
      <c r="P266" s="69"/>
      <c r="Q266" s="69"/>
      <c r="R266" s="69"/>
      <c r="S266" s="69"/>
      <c r="T266" s="69"/>
      <c r="U266" s="69"/>
      <c r="V266" s="69"/>
      <c r="W266" s="69"/>
      <c r="X266" s="69"/>
      <c r="Y266" s="69"/>
      <c r="Z266" s="69"/>
      <c r="AA266" s="69"/>
      <c r="AB266" s="69"/>
      <c r="AC266" s="69"/>
      <c r="AD266" s="69"/>
      <c r="AE266" s="69"/>
      <c r="AF266" s="69"/>
      <c r="AG266" s="69"/>
      <c r="AH266" s="69"/>
      <c r="AJ266" s="271">
        <v>1768461</v>
      </c>
      <c r="AK266" s="270">
        <v>103330</v>
      </c>
      <c r="AL266" s="245">
        <v>43979</v>
      </c>
      <c r="AM266" s="47" t="s">
        <v>573</v>
      </c>
      <c r="AV266" s="69"/>
      <c r="BI266" s="69"/>
    </row>
    <row r="267" spans="3:65" x14ac:dyDescent="0.25">
      <c r="AI267" s="69"/>
      <c r="AJ267" s="69"/>
      <c r="AK267" s="271">
        <v>1793530</v>
      </c>
      <c r="AL267" s="270">
        <v>104542</v>
      </c>
      <c r="AM267" s="245">
        <v>43980</v>
      </c>
      <c r="AN267" s="47" t="s">
        <v>531</v>
      </c>
      <c r="AO267" s="69"/>
      <c r="AP267" s="69"/>
      <c r="AQ267" s="69"/>
      <c r="AR267" s="69"/>
      <c r="AS267" s="69"/>
      <c r="AT267" s="69"/>
      <c r="AU267" s="69"/>
      <c r="BI267" s="69"/>
    </row>
    <row r="268" spans="3:65" x14ac:dyDescent="0.25">
      <c r="AI268" s="69"/>
      <c r="AJ268" s="69"/>
      <c r="AK268" s="271">
        <v>1793530</v>
      </c>
      <c r="AL268" s="270">
        <v>104542</v>
      </c>
      <c r="AM268" s="162">
        <v>43980</v>
      </c>
      <c r="AN268" s="69" t="s">
        <v>510</v>
      </c>
      <c r="AO268" s="69"/>
      <c r="AP268" s="69"/>
      <c r="AQ268" s="69"/>
      <c r="AR268" s="69"/>
      <c r="AS268" s="69"/>
      <c r="AT268" s="69"/>
      <c r="AU268" s="69"/>
    </row>
    <row r="269" spans="3:65" x14ac:dyDescent="0.25">
      <c r="AI269" s="69"/>
      <c r="AJ269" s="69"/>
      <c r="AK269" s="271">
        <v>1793530</v>
      </c>
      <c r="AL269" s="270">
        <v>104542</v>
      </c>
      <c r="AM269" s="245">
        <v>43980</v>
      </c>
      <c r="AN269" s="69" t="s">
        <v>530</v>
      </c>
      <c r="AO269" s="69"/>
      <c r="AP269" s="69"/>
      <c r="AQ269" s="69"/>
      <c r="AR269" s="69"/>
      <c r="AS269" s="69"/>
      <c r="AT269" s="69"/>
      <c r="AU269" s="69"/>
    </row>
    <row r="270" spans="3:65" x14ac:dyDescent="0.25">
      <c r="AK270" s="271">
        <v>1837170</v>
      </c>
      <c r="AL270" s="270">
        <v>106195</v>
      </c>
      <c r="AM270" s="245">
        <v>43982</v>
      </c>
      <c r="AN270" s="69" t="s">
        <v>535</v>
      </c>
    </row>
    <row r="271" spans="3:65" s="69" customFormat="1" x14ac:dyDescent="0.25">
      <c r="C271"/>
      <c r="D271"/>
      <c r="E271"/>
      <c r="F271"/>
      <c r="G271"/>
      <c r="H271"/>
      <c r="I271"/>
      <c r="J271"/>
      <c r="K271"/>
      <c r="L271"/>
      <c r="M271"/>
      <c r="N271"/>
      <c r="O271"/>
      <c r="P271"/>
      <c r="Q271"/>
      <c r="R271"/>
      <c r="S271"/>
      <c r="T271"/>
      <c r="U271"/>
      <c r="V271"/>
      <c r="W271"/>
      <c r="X271"/>
      <c r="Y271"/>
      <c r="Z271"/>
      <c r="AA271"/>
      <c r="AB271"/>
      <c r="AC271"/>
      <c r="AD271"/>
      <c r="AE271"/>
      <c r="AF271"/>
      <c r="AG271"/>
      <c r="AH271"/>
      <c r="AI271"/>
      <c r="AJ271"/>
      <c r="AK271" s="271">
        <v>1859323</v>
      </c>
      <c r="AL271" s="270">
        <v>106925</v>
      </c>
      <c r="AM271" s="208">
        <v>43983</v>
      </c>
      <c r="AN271" s="69" t="s">
        <v>534</v>
      </c>
      <c r="AO271"/>
      <c r="AP271"/>
      <c r="AQ271"/>
      <c r="AR271"/>
      <c r="AS271"/>
      <c r="AT271"/>
      <c r="AU271"/>
      <c r="AV271"/>
      <c r="AW271"/>
      <c r="AX271"/>
      <c r="AY271"/>
      <c r="AZ271"/>
      <c r="BA271"/>
      <c r="BB271"/>
      <c r="BC271"/>
      <c r="BH271"/>
      <c r="BI271"/>
    </row>
    <row r="272" spans="3:65" x14ac:dyDescent="0.25">
      <c r="AK272" s="271">
        <v>1859323</v>
      </c>
      <c r="AL272" s="270">
        <v>106925</v>
      </c>
      <c r="AM272" s="208">
        <v>43983</v>
      </c>
      <c r="AN272" s="69" t="s">
        <v>537</v>
      </c>
      <c r="BD272" s="69"/>
      <c r="BE272" s="69"/>
      <c r="BF272" s="69"/>
      <c r="BG272" s="69"/>
      <c r="BI272" s="69"/>
    </row>
    <row r="273" spans="3:65" x14ac:dyDescent="0.25">
      <c r="AK273" s="271">
        <v>1881205</v>
      </c>
      <c r="AL273" s="270">
        <v>108059</v>
      </c>
      <c r="AM273" s="246">
        <v>43984</v>
      </c>
      <c r="AN273" s="69" t="s">
        <v>538</v>
      </c>
      <c r="AW273" s="69"/>
      <c r="AX273" s="69"/>
      <c r="AY273" s="69"/>
      <c r="AZ273" s="69"/>
      <c r="BA273" s="69"/>
      <c r="BB273" s="69"/>
      <c r="BC273" s="69"/>
    </row>
    <row r="274" spans="3:65" x14ac:dyDescent="0.25">
      <c r="AK274" s="271">
        <v>1919975</v>
      </c>
      <c r="AL274" s="270">
        <v>111760</v>
      </c>
      <c r="AM274" s="162">
        <v>43985</v>
      </c>
      <c r="AN274" s="69" t="s">
        <v>637</v>
      </c>
      <c r="AW274" s="69"/>
      <c r="AX274" s="69"/>
      <c r="AY274" s="69"/>
      <c r="AZ274" s="69"/>
      <c r="BA274" s="69"/>
      <c r="BB274" s="69"/>
      <c r="BC274" s="69"/>
      <c r="BJ274" s="69"/>
      <c r="BK274" s="69"/>
      <c r="BL274" s="69"/>
      <c r="BM274" s="69"/>
    </row>
    <row r="275" spans="3:65" x14ac:dyDescent="0.25">
      <c r="AK275" s="271">
        <v>1940315</v>
      </c>
      <c r="AL275" s="270">
        <v>112810</v>
      </c>
      <c r="AM275" s="162">
        <v>43986</v>
      </c>
      <c r="AN275" s="69" t="s">
        <v>557</v>
      </c>
      <c r="AO275" s="69"/>
      <c r="AP275" s="69"/>
      <c r="AQ275" s="69"/>
      <c r="AW275" s="69"/>
      <c r="AX275" s="69"/>
      <c r="AY275" s="69"/>
      <c r="AZ275" s="69"/>
      <c r="BA275" s="69"/>
      <c r="BB275" s="69"/>
      <c r="BC275" s="69"/>
      <c r="BJ275" s="69"/>
      <c r="BK275" s="69"/>
      <c r="BL275" s="69"/>
      <c r="BM275" s="69"/>
    </row>
    <row r="276" spans="3:65" x14ac:dyDescent="0.25">
      <c r="AK276" s="271">
        <v>1965708</v>
      </c>
      <c r="AL276" s="270">
        <v>113798</v>
      </c>
      <c r="AM276" s="245">
        <v>43987</v>
      </c>
      <c r="AN276" s="69" t="s">
        <v>567</v>
      </c>
    </row>
    <row r="277" spans="3:65" x14ac:dyDescent="0.25">
      <c r="AK277" s="271">
        <v>1965708</v>
      </c>
      <c r="AL277" s="270">
        <v>113798</v>
      </c>
      <c r="AM277" s="245">
        <v>43987</v>
      </c>
      <c r="AN277" t="s">
        <v>563</v>
      </c>
    </row>
    <row r="278" spans="3:65" x14ac:dyDescent="0.25">
      <c r="AI278" s="69"/>
      <c r="AJ278" s="69"/>
      <c r="AK278" s="271">
        <v>1965708</v>
      </c>
      <c r="AL278" s="270">
        <v>113798</v>
      </c>
      <c r="AM278" s="208">
        <v>43987</v>
      </c>
      <c r="AN278" s="69" t="s">
        <v>561</v>
      </c>
      <c r="AR278" s="69"/>
      <c r="AS278" s="69"/>
      <c r="AT278" s="69"/>
      <c r="AU278" s="69"/>
      <c r="BH278" s="69"/>
      <c r="BI278" s="69"/>
      <c r="BJ278" s="69"/>
      <c r="BK278" s="69"/>
      <c r="BL278" s="69"/>
      <c r="BM278" s="69"/>
    </row>
    <row r="279" spans="3:65" x14ac:dyDescent="0.25">
      <c r="AI279" s="69"/>
      <c r="AJ279" s="69"/>
      <c r="AK279" s="261">
        <v>2007449</v>
      </c>
      <c r="AL279" s="270">
        <v>114899</v>
      </c>
      <c r="AM279" s="208">
        <v>43989</v>
      </c>
      <c r="AN279" s="69" t="s">
        <v>558</v>
      </c>
      <c r="AR279" s="69"/>
      <c r="AS279" s="69"/>
      <c r="AT279" s="69"/>
      <c r="AU279" s="69"/>
      <c r="BH279" s="69"/>
      <c r="BI279" s="69"/>
    </row>
    <row r="280" spans="3:65" x14ac:dyDescent="0.25">
      <c r="AI280" s="69"/>
      <c r="AJ280" s="69"/>
      <c r="AK280" s="271">
        <v>2026493</v>
      </c>
      <c r="AL280" s="270">
        <v>115497</v>
      </c>
      <c r="AM280" s="246">
        <v>43990</v>
      </c>
      <c r="AN280" s="69" t="s">
        <v>560</v>
      </c>
      <c r="AR280" s="69"/>
      <c r="AS280" s="69"/>
      <c r="AT280" s="69"/>
      <c r="AU280" s="69"/>
      <c r="BH280" s="69"/>
      <c r="BJ280" s="69"/>
      <c r="BK280" s="69"/>
      <c r="BL280" s="69"/>
      <c r="BM280" s="69"/>
    </row>
    <row r="281" spans="3:65" x14ac:dyDescent="0.25">
      <c r="AL281" s="271">
        <v>2045549</v>
      </c>
      <c r="AM281" s="270">
        <v>116602</v>
      </c>
      <c r="AN281" s="246">
        <v>43991</v>
      </c>
      <c r="AO281" t="s">
        <v>559</v>
      </c>
      <c r="BH281" s="69"/>
      <c r="BJ281" s="69"/>
      <c r="BK281" s="69"/>
      <c r="BL281" s="69"/>
      <c r="BM281" s="69"/>
    </row>
    <row r="282" spans="3:65" x14ac:dyDescent="0.25">
      <c r="AL282" s="271">
        <v>2066558</v>
      </c>
      <c r="AM282" s="270">
        <v>117600</v>
      </c>
      <c r="AN282" s="162">
        <v>43992</v>
      </c>
      <c r="AO282" t="s">
        <v>577</v>
      </c>
    </row>
    <row r="283" spans="3:65" x14ac:dyDescent="0.25">
      <c r="C283" s="69"/>
      <c r="D283" s="69"/>
      <c r="E283" s="69"/>
      <c r="F283" s="69"/>
      <c r="G283" s="69"/>
      <c r="H283" s="69"/>
      <c r="I283" s="69"/>
      <c r="J283" s="69"/>
      <c r="K283" s="69"/>
      <c r="L283" s="69"/>
      <c r="M283" s="69"/>
      <c r="N283" s="69"/>
      <c r="O283" s="69"/>
      <c r="P283" s="69"/>
      <c r="Q283" s="69"/>
      <c r="R283" s="69"/>
      <c r="S283" s="69"/>
      <c r="T283" s="69"/>
      <c r="U283" s="69"/>
      <c r="V283" s="69"/>
      <c r="W283" s="69"/>
      <c r="X283" s="69"/>
      <c r="Y283" s="69"/>
      <c r="Z283" s="69"/>
      <c r="AA283" s="69"/>
      <c r="AB283" s="69"/>
      <c r="AC283" s="69"/>
      <c r="AD283" s="69"/>
      <c r="AE283" s="69"/>
      <c r="AF283" s="69"/>
      <c r="AG283" s="69"/>
      <c r="AH283" s="69"/>
      <c r="AL283" s="271">
        <v>2089701</v>
      </c>
      <c r="AM283" s="270">
        <v>118518</v>
      </c>
      <c r="AN283" s="186">
        <v>43993</v>
      </c>
      <c r="AO283" t="s">
        <v>569</v>
      </c>
      <c r="AV283" s="69"/>
    </row>
    <row r="284" spans="3:65" s="69" customFormat="1" x14ac:dyDescent="0.25">
      <c r="AI284"/>
      <c r="AJ284"/>
      <c r="AK284"/>
      <c r="AL284" s="271">
        <v>2089701</v>
      </c>
      <c r="AM284" s="270">
        <v>118518</v>
      </c>
      <c r="AN284" s="245">
        <v>43993</v>
      </c>
      <c r="AO284" t="s">
        <v>565</v>
      </c>
      <c r="AP284"/>
      <c r="AQ284"/>
      <c r="AR284"/>
      <c r="AS284"/>
      <c r="AT284"/>
      <c r="AU284"/>
      <c r="AW284"/>
      <c r="AX284"/>
      <c r="AY284"/>
      <c r="AZ284"/>
      <c r="BA284"/>
      <c r="BB284"/>
      <c r="BC284"/>
      <c r="BH284"/>
      <c r="BI284"/>
      <c r="BJ284"/>
      <c r="BK284"/>
      <c r="BL284"/>
      <c r="BM284"/>
    </row>
    <row r="285" spans="3:65" s="69" customFormat="1" x14ac:dyDescent="0.25">
      <c r="AI285"/>
      <c r="AJ285"/>
      <c r="AK285"/>
      <c r="AL285" s="271">
        <v>2116922</v>
      </c>
      <c r="AM285" s="270">
        <v>119318</v>
      </c>
      <c r="AN285" s="186">
        <v>43994</v>
      </c>
      <c r="AO285" t="s">
        <v>570</v>
      </c>
      <c r="AP285"/>
      <c r="AQ285"/>
      <c r="AR285"/>
      <c r="AS285"/>
      <c r="AT285"/>
      <c r="AU285"/>
      <c r="AW285"/>
      <c r="AX285"/>
      <c r="AY285"/>
      <c r="AZ285"/>
      <c r="BA285"/>
      <c r="BB285"/>
      <c r="BC285"/>
      <c r="BH285"/>
      <c r="BI285"/>
      <c r="BJ285"/>
      <c r="BK285"/>
      <c r="BL285"/>
      <c r="BM285"/>
    </row>
    <row r="286" spans="3:65" s="69" customFormat="1" x14ac:dyDescent="0.25">
      <c r="C286"/>
      <c r="D286"/>
      <c r="E286"/>
      <c r="F286"/>
      <c r="G286"/>
      <c r="H286"/>
      <c r="I286"/>
      <c r="J286"/>
      <c r="K286"/>
      <c r="L286"/>
      <c r="M286"/>
      <c r="N286"/>
      <c r="O286"/>
      <c r="P286"/>
      <c r="Q286"/>
      <c r="R286"/>
      <c r="S286"/>
      <c r="T286"/>
      <c r="U286"/>
      <c r="V286"/>
      <c r="W286"/>
      <c r="X286"/>
      <c r="Y286"/>
      <c r="Z286"/>
      <c r="AA286"/>
      <c r="AB286"/>
      <c r="AC286"/>
      <c r="AD286"/>
      <c r="AE286"/>
      <c r="AF286"/>
      <c r="AG286"/>
      <c r="AH286"/>
      <c r="AI286"/>
      <c r="AJ286"/>
      <c r="AK286"/>
      <c r="AL286" s="271">
        <v>2116922</v>
      </c>
      <c r="AM286" s="270">
        <v>119318</v>
      </c>
      <c r="AN286" s="208">
        <v>43994</v>
      </c>
      <c r="AO286" t="s">
        <v>564</v>
      </c>
      <c r="AP286"/>
      <c r="AQ286"/>
      <c r="AR286"/>
      <c r="AS286"/>
      <c r="AT286"/>
      <c r="AU286"/>
      <c r="AV286"/>
      <c r="AW286"/>
      <c r="AX286"/>
      <c r="AY286"/>
      <c r="AZ286"/>
      <c r="BA286"/>
      <c r="BB286"/>
      <c r="BC286"/>
      <c r="BD286"/>
      <c r="BE286"/>
      <c r="BF286"/>
      <c r="BG286"/>
      <c r="BH286"/>
      <c r="BI286"/>
      <c r="BJ286"/>
      <c r="BK286"/>
      <c r="BL286"/>
      <c r="BM286"/>
    </row>
    <row r="287" spans="3:65" x14ac:dyDescent="0.25">
      <c r="AL287" s="271">
        <v>2142224</v>
      </c>
      <c r="AM287" s="270">
        <v>120034</v>
      </c>
      <c r="AN287" s="245">
        <v>43995</v>
      </c>
      <c r="AO287" t="s">
        <v>566</v>
      </c>
      <c r="BH287" s="69"/>
      <c r="BJ287" s="69"/>
      <c r="BK287" s="69"/>
      <c r="BL287" s="69"/>
      <c r="BM287" s="69"/>
    </row>
    <row r="288" spans="3:65" x14ac:dyDescent="0.25">
      <c r="AL288" s="271">
        <v>2182950</v>
      </c>
      <c r="AM288" s="270">
        <v>120802</v>
      </c>
      <c r="AN288" s="162">
        <v>43997</v>
      </c>
      <c r="AO288" s="69" t="s">
        <v>572</v>
      </c>
      <c r="AP288" s="69"/>
      <c r="AQ288" s="69"/>
      <c r="BH288" s="69"/>
    </row>
    <row r="289" spans="3:65" x14ac:dyDescent="0.25">
      <c r="AL289" s="271">
        <v>2182950</v>
      </c>
      <c r="AM289" s="270">
        <v>120802</v>
      </c>
      <c r="AN289" s="245">
        <v>43997</v>
      </c>
      <c r="AO289" s="47" t="s">
        <v>574</v>
      </c>
      <c r="AP289" s="69"/>
      <c r="AQ289" s="69"/>
    </row>
    <row r="290" spans="3:65" x14ac:dyDescent="0.25">
      <c r="AL290" s="271">
        <v>2208400</v>
      </c>
      <c r="AM290" s="270">
        <v>121661</v>
      </c>
      <c r="AN290" s="162">
        <v>43998</v>
      </c>
      <c r="AO290" s="69" t="s">
        <v>568</v>
      </c>
    </row>
    <row r="291" spans="3:65" x14ac:dyDescent="0.25">
      <c r="AL291" s="271">
        <v>2208400</v>
      </c>
      <c r="AM291" s="270">
        <v>121661</v>
      </c>
      <c r="AN291" s="208">
        <v>43998</v>
      </c>
      <c r="AO291" s="47" t="s">
        <v>571</v>
      </c>
      <c r="BD291" s="69"/>
      <c r="BE291" s="69"/>
      <c r="BF291" s="69"/>
      <c r="BG291" s="69"/>
      <c r="BI291" s="69"/>
    </row>
    <row r="292" spans="3:65" x14ac:dyDescent="0.25">
      <c r="AL292" s="271">
        <v>2208400</v>
      </c>
      <c r="AM292" s="270">
        <v>121661</v>
      </c>
      <c r="AN292" s="245">
        <v>43998</v>
      </c>
      <c r="AO292" s="47" t="s">
        <v>575</v>
      </c>
      <c r="BI292" s="69"/>
    </row>
    <row r="293" spans="3:65" x14ac:dyDescent="0.25">
      <c r="AL293" s="271">
        <v>2263651</v>
      </c>
      <c r="AM293" s="270">
        <v>123238</v>
      </c>
      <c r="AN293" s="245">
        <v>44000</v>
      </c>
      <c r="AO293" s="47" t="s">
        <v>576</v>
      </c>
      <c r="BI293" s="69"/>
    </row>
    <row r="294" spans="3:65" x14ac:dyDescent="0.25">
      <c r="C294" s="69"/>
      <c r="D294" s="69"/>
      <c r="E294" s="69"/>
      <c r="F294" s="69"/>
      <c r="G294" s="69"/>
      <c r="H294" s="69"/>
      <c r="I294" s="69"/>
      <c r="J294" s="69"/>
      <c r="K294" s="69"/>
      <c r="L294" s="69"/>
      <c r="M294" s="69"/>
      <c r="N294" s="69"/>
      <c r="O294" s="69"/>
      <c r="P294" s="69"/>
      <c r="Q294" s="69"/>
      <c r="R294" s="69"/>
      <c r="S294" s="69"/>
      <c r="T294" s="69"/>
      <c r="U294" s="69"/>
      <c r="V294" s="69"/>
      <c r="W294" s="69"/>
      <c r="X294" s="69"/>
      <c r="Y294" s="69"/>
      <c r="Z294" s="69"/>
      <c r="AA294" s="69"/>
      <c r="AB294" s="69"/>
      <c r="AC294" s="69"/>
      <c r="AD294" s="69"/>
      <c r="AE294" s="69"/>
      <c r="AF294" s="69"/>
      <c r="AG294" s="69"/>
      <c r="AH294" s="69"/>
      <c r="AI294" s="69"/>
      <c r="AJ294" s="69"/>
      <c r="AK294" s="69"/>
      <c r="AL294" s="271">
        <v>2356657</v>
      </c>
      <c r="AM294" s="270">
        <v>124820</v>
      </c>
      <c r="AN294" s="245">
        <v>44003</v>
      </c>
      <c r="AO294" s="47" t="s">
        <v>578</v>
      </c>
      <c r="AR294" s="69"/>
      <c r="AS294" s="69"/>
      <c r="AT294" s="69"/>
      <c r="AU294" s="69"/>
      <c r="AV294" s="69"/>
      <c r="AW294" s="69"/>
      <c r="AX294" s="69"/>
      <c r="AY294" s="69"/>
      <c r="AZ294" s="69"/>
      <c r="BA294" s="69"/>
      <c r="BB294" s="69"/>
      <c r="BC294" s="69"/>
    </row>
    <row r="295" spans="3:65" x14ac:dyDescent="0.25">
      <c r="C295" s="69"/>
      <c r="D295" s="69"/>
      <c r="E295" s="69"/>
      <c r="F295" s="69"/>
      <c r="G295" s="69"/>
      <c r="H295" s="69"/>
      <c r="I295" s="69"/>
      <c r="J295" s="69"/>
      <c r="K295" s="69"/>
      <c r="L295" s="69"/>
      <c r="M295" s="69"/>
      <c r="N295" s="69"/>
      <c r="O295" s="69"/>
      <c r="P295" s="69"/>
      <c r="Q295" s="69"/>
      <c r="R295" s="69"/>
      <c r="S295" s="69"/>
      <c r="T295" s="69"/>
      <c r="U295" s="69"/>
      <c r="V295" s="69"/>
      <c r="W295" s="69"/>
      <c r="X295" s="69"/>
      <c r="Y295" s="69"/>
      <c r="Z295" s="69"/>
      <c r="AA295" s="69"/>
      <c r="AB295" s="69"/>
      <c r="AC295" s="69"/>
      <c r="AD295" s="69"/>
      <c r="AE295" s="69"/>
      <c r="AF295" s="69"/>
      <c r="AG295" s="69"/>
      <c r="AH295" s="69"/>
      <c r="AI295" s="69"/>
      <c r="AJ295" s="69"/>
      <c r="AK295" s="69"/>
      <c r="AL295" s="69"/>
      <c r="AM295" s="271">
        <v>2465403</v>
      </c>
      <c r="AN295" s="270">
        <v>126879</v>
      </c>
      <c r="AO295" s="245">
        <v>44006</v>
      </c>
      <c r="AP295" s="69" t="s">
        <v>631</v>
      </c>
      <c r="AQ295" s="69"/>
      <c r="AR295" s="69"/>
      <c r="AS295" s="69"/>
      <c r="AT295" s="69"/>
      <c r="AU295" s="69"/>
      <c r="AV295" s="69"/>
      <c r="AW295" s="69"/>
      <c r="AX295" s="69"/>
      <c r="AY295" s="69"/>
      <c r="AZ295" s="69"/>
      <c r="BA295" s="69"/>
      <c r="BB295" s="69"/>
      <c r="BC295" s="69"/>
    </row>
    <row r="296" spans="3:65" x14ac:dyDescent="0.25">
      <c r="C296" s="69"/>
      <c r="D296" s="69"/>
      <c r="E296" s="69"/>
      <c r="F296" s="69"/>
      <c r="G296" s="69"/>
      <c r="H296" s="69"/>
      <c r="I296" s="69"/>
      <c r="J296" s="69"/>
      <c r="K296" s="69"/>
      <c r="L296" s="69"/>
      <c r="M296" s="69"/>
      <c r="N296" s="69"/>
      <c r="O296" s="69"/>
      <c r="P296" s="69"/>
      <c r="Q296" s="69"/>
      <c r="R296" s="69"/>
      <c r="S296" s="69"/>
      <c r="T296" s="69"/>
      <c r="U296" s="69"/>
      <c r="V296" s="69"/>
      <c r="W296" s="69"/>
      <c r="X296" s="69"/>
      <c r="Y296" s="69"/>
      <c r="Z296" s="69"/>
      <c r="AA296" s="69"/>
      <c r="AB296" s="69"/>
      <c r="AC296" s="69"/>
      <c r="AD296" s="69"/>
      <c r="AE296" s="69"/>
      <c r="AF296" s="69"/>
      <c r="AG296" s="69"/>
      <c r="AH296" s="69"/>
      <c r="AI296" s="69"/>
      <c r="AJ296" s="69"/>
      <c r="AK296" s="69"/>
      <c r="AL296" s="69"/>
      <c r="AM296" s="271">
        <v>2505615</v>
      </c>
      <c r="AN296" s="270">
        <v>127532</v>
      </c>
      <c r="AO296" s="162">
        <v>44007</v>
      </c>
      <c r="AP296" s="69" t="s">
        <v>634</v>
      </c>
      <c r="AQ296" s="69"/>
      <c r="AR296" s="69"/>
      <c r="AS296" s="69"/>
      <c r="AT296" s="69"/>
      <c r="AU296" s="69"/>
      <c r="AV296" s="69"/>
      <c r="AW296" s="69"/>
      <c r="AX296" s="69"/>
      <c r="AY296" s="69"/>
      <c r="AZ296" s="69"/>
      <c r="BA296" s="69"/>
      <c r="BB296" s="69"/>
      <c r="BC296" s="69"/>
    </row>
    <row r="297" spans="3:65" x14ac:dyDescent="0.25">
      <c r="AM297" s="271">
        <v>2505615</v>
      </c>
      <c r="AN297" s="270">
        <v>127532</v>
      </c>
      <c r="AO297" s="162">
        <v>44007</v>
      </c>
      <c r="AP297" s="69" t="s">
        <v>633</v>
      </c>
    </row>
    <row r="298" spans="3:65" x14ac:dyDescent="0.25">
      <c r="AM298" s="271">
        <v>2552956</v>
      </c>
      <c r="AN298" s="270">
        <v>128195</v>
      </c>
      <c r="AO298" s="208">
        <v>44008</v>
      </c>
      <c r="AP298" t="s">
        <v>629</v>
      </c>
    </row>
    <row r="299" spans="3:65" x14ac:dyDescent="0.25">
      <c r="AM299" s="271">
        <v>2552956</v>
      </c>
      <c r="AN299" s="270">
        <v>128195</v>
      </c>
      <c r="AO299" s="208">
        <v>44008</v>
      </c>
      <c r="AP299" t="s">
        <v>632</v>
      </c>
    </row>
    <row r="300" spans="3:65" s="69" customFormat="1" x14ac:dyDescent="0.25">
      <c r="C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c r="AL300"/>
      <c r="AM300" s="271">
        <v>2596537</v>
      </c>
      <c r="AN300" s="270">
        <v>128707</v>
      </c>
      <c r="AO300" s="208">
        <v>44009</v>
      </c>
      <c r="AP300" t="s">
        <v>628</v>
      </c>
      <c r="AQ300"/>
      <c r="AR300"/>
      <c r="AS300"/>
      <c r="AT300"/>
      <c r="AU300"/>
      <c r="AV300"/>
      <c r="AW300"/>
      <c r="AX300"/>
      <c r="AY300"/>
      <c r="AZ300"/>
      <c r="BA300"/>
      <c r="BB300"/>
      <c r="BC300"/>
      <c r="BD300"/>
      <c r="BE300"/>
      <c r="BF300"/>
      <c r="BG300"/>
    </row>
    <row r="301" spans="3:65" x14ac:dyDescent="0.25">
      <c r="AM301" s="271">
        <v>2637077</v>
      </c>
      <c r="AN301" s="270">
        <v>128992</v>
      </c>
      <c r="AO301" s="208">
        <v>44010</v>
      </c>
      <c r="AP301" t="s">
        <v>630</v>
      </c>
      <c r="BH301" s="69"/>
      <c r="BI301" s="69"/>
      <c r="BJ301" s="69"/>
      <c r="BK301" s="69"/>
      <c r="BL301" s="69"/>
      <c r="BM301" s="69"/>
    </row>
    <row r="302" spans="3:65" x14ac:dyDescent="0.25">
      <c r="AM302" s="271">
        <v>2637077</v>
      </c>
      <c r="AN302" s="270">
        <v>128992</v>
      </c>
      <c r="AO302" s="208">
        <v>44010</v>
      </c>
      <c r="AP302" t="s">
        <v>635</v>
      </c>
    </row>
    <row r="303" spans="3:65" s="69" customFormat="1" x14ac:dyDescent="0.25">
      <c r="C303"/>
      <c r="D303"/>
      <c r="E303"/>
      <c r="F303"/>
      <c r="G303"/>
      <c r="H303"/>
      <c r="I303"/>
      <c r="J303"/>
      <c r="K303"/>
      <c r="L303"/>
      <c r="M303"/>
      <c r="N303"/>
      <c r="O303"/>
      <c r="P303"/>
      <c r="Q303"/>
      <c r="R303"/>
      <c r="S303"/>
      <c r="T303"/>
      <c r="U303"/>
      <c r="V303"/>
      <c r="W303"/>
      <c r="X303"/>
      <c r="Y303"/>
      <c r="Z303"/>
      <c r="AA303"/>
      <c r="AB303"/>
      <c r="AC303"/>
      <c r="AD303"/>
      <c r="AE303"/>
      <c r="AF303"/>
      <c r="AG303"/>
      <c r="AH303"/>
      <c r="AI303"/>
      <c r="AJ303"/>
      <c r="AK303"/>
      <c r="AL303"/>
      <c r="AM303" s="271">
        <v>2637077</v>
      </c>
      <c r="AN303" s="270">
        <v>128992</v>
      </c>
      <c r="AO303" s="208">
        <v>44010</v>
      </c>
      <c r="AP303" t="s">
        <v>636</v>
      </c>
      <c r="AQ303"/>
      <c r="AR303"/>
      <c r="AS303"/>
      <c r="AT303"/>
      <c r="AU303"/>
      <c r="AV303"/>
      <c r="AW303"/>
      <c r="AX303"/>
      <c r="AY303"/>
      <c r="AZ303"/>
      <c r="BA303"/>
      <c r="BB303"/>
      <c r="BC303"/>
      <c r="BD303"/>
      <c r="BE303"/>
      <c r="BF303"/>
      <c r="BG303"/>
      <c r="BH303"/>
      <c r="BI303"/>
      <c r="BJ303"/>
      <c r="BK303"/>
      <c r="BL303"/>
      <c r="BM303"/>
    </row>
    <row r="304" spans="3:65" s="69" customFormat="1" x14ac:dyDescent="0.25">
      <c r="C304"/>
      <c r="D304"/>
      <c r="E304"/>
      <c r="F304"/>
      <c r="G304"/>
      <c r="H304"/>
      <c r="I304"/>
      <c r="J304"/>
      <c r="K304"/>
      <c r="L304"/>
      <c r="M304"/>
      <c r="N304"/>
      <c r="O304"/>
      <c r="P304"/>
      <c r="Q304"/>
      <c r="R304"/>
      <c r="S304"/>
      <c r="T304"/>
      <c r="U304"/>
      <c r="V304"/>
      <c r="W304"/>
      <c r="X304"/>
      <c r="Y304"/>
      <c r="Z304"/>
      <c r="AA304"/>
      <c r="AB304"/>
      <c r="AC304"/>
      <c r="AD304"/>
      <c r="AE304"/>
      <c r="AF304"/>
      <c r="AG304"/>
      <c r="AH304"/>
      <c r="AM304" s="271">
        <v>2681811</v>
      </c>
      <c r="AN304" s="270">
        <v>129358</v>
      </c>
      <c r="AO304" s="162">
        <v>44011</v>
      </c>
      <c r="AP304" s="69" t="s">
        <v>638</v>
      </c>
      <c r="AV304"/>
      <c r="AW304"/>
      <c r="AX304"/>
      <c r="AY304"/>
      <c r="AZ304"/>
      <c r="BA304"/>
      <c r="BB304"/>
      <c r="BC304"/>
      <c r="BD304"/>
      <c r="BE304"/>
      <c r="BF304"/>
      <c r="BG304"/>
      <c r="BH304"/>
      <c r="BI304"/>
      <c r="BJ304"/>
      <c r="BK304"/>
      <c r="BL304"/>
      <c r="BM304"/>
    </row>
    <row r="305" spans="3:65" x14ac:dyDescent="0.25">
      <c r="AI305" s="69"/>
      <c r="AJ305" s="69"/>
      <c r="AK305" s="69"/>
      <c r="AL305" s="69"/>
      <c r="AM305" s="271">
        <v>2727853</v>
      </c>
      <c r="AN305" s="270">
        <v>130122</v>
      </c>
      <c r="AO305" s="162">
        <v>44012</v>
      </c>
      <c r="AP305" s="69" t="s">
        <v>639</v>
      </c>
      <c r="AQ305" s="69"/>
      <c r="AR305" s="69"/>
      <c r="AS305" s="69"/>
      <c r="AT305" s="69"/>
      <c r="AU305" s="69"/>
      <c r="BD305" s="69"/>
      <c r="BE305" s="69"/>
      <c r="BF305" s="69"/>
      <c r="BG305" s="69"/>
    </row>
    <row r="306" spans="3:65" x14ac:dyDescent="0.25">
      <c r="AM306" s="271">
        <v>2727853</v>
      </c>
      <c r="AN306" s="270">
        <v>130122</v>
      </c>
      <c r="AO306" s="162">
        <v>44012</v>
      </c>
      <c r="AP306" s="69" t="s">
        <v>641</v>
      </c>
      <c r="BD306" s="69"/>
      <c r="BE306" s="69"/>
      <c r="BF306" s="69"/>
      <c r="BG306" s="69"/>
    </row>
    <row r="307" spans="3:65" s="69" customFormat="1" x14ac:dyDescent="0.25">
      <c r="C307"/>
      <c r="D307"/>
      <c r="E307"/>
      <c r="F307"/>
      <c r="G307"/>
      <c r="H307"/>
      <c r="I307"/>
      <c r="J307"/>
      <c r="K307"/>
      <c r="L307"/>
      <c r="M307"/>
      <c r="N307"/>
      <c r="O307"/>
      <c r="P307"/>
      <c r="Q307"/>
      <c r="R307"/>
      <c r="S307"/>
      <c r="T307"/>
      <c r="U307"/>
      <c r="V307"/>
      <c r="W307"/>
      <c r="X307"/>
      <c r="Y307"/>
      <c r="Z307"/>
      <c r="AA307"/>
      <c r="AB307"/>
      <c r="AC307"/>
      <c r="AD307"/>
      <c r="AE307"/>
      <c r="AF307"/>
      <c r="AG307"/>
      <c r="AH307"/>
      <c r="AI307"/>
      <c r="AJ307"/>
      <c r="AK307"/>
      <c r="AL307"/>
      <c r="AM307" s="271">
        <v>2727853</v>
      </c>
      <c r="AN307" s="270">
        <v>130122</v>
      </c>
      <c r="AO307" s="246">
        <v>44012</v>
      </c>
      <c r="AP307" s="69" t="s">
        <v>642</v>
      </c>
      <c r="AQ307"/>
      <c r="AR307"/>
      <c r="AS307"/>
      <c r="AT307"/>
      <c r="AU307"/>
      <c r="AV307"/>
      <c r="AW307"/>
      <c r="AX307"/>
      <c r="AY307"/>
      <c r="AZ307"/>
      <c r="BA307"/>
      <c r="BB307"/>
      <c r="BC307"/>
    </row>
    <row r="308" spans="3:65" x14ac:dyDescent="0.25">
      <c r="AM308" s="271">
        <v>2727853</v>
      </c>
      <c r="AN308" s="270">
        <v>130122</v>
      </c>
      <c r="AO308" s="208">
        <v>44012</v>
      </c>
      <c r="AP308" s="69" t="s">
        <v>643</v>
      </c>
    </row>
    <row r="309" spans="3:65" s="69" customFormat="1" x14ac:dyDescent="0.25">
      <c r="C309"/>
      <c r="D309"/>
      <c r="E309"/>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s="271">
        <v>2779953</v>
      </c>
      <c r="AN309" s="270">
        <v>130798</v>
      </c>
      <c r="AO309" s="208">
        <v>44013</v>
      </c>
      <c r="AP309" s="69" t="s">
        <v>640</v>
      </c>
      <c r="AQ309"/>
      <c r="AR309"/>
      <c r="AS309"/>
      <c r="AT309"/>
      <c r="AU309"/>
      <c r="AV309"/>
      <c r="AW309"/>
      <c r="AX309"/>
      <c r="AY309"/>
      <c r="AZ309"/>
      <c r="BA309"/>
      <c r="BB309"/>
      <c r="BC309"/>
      <c r="BD309"/>
      <c r="BE309"/>
      <c r="BF309"/>
      <c r="BG309"/>
      <c r="BH309"/>
      <c r="BI309"/>
      <c r="BJ309"/>
      <c r="BK309"/>
      <c r="BL309"/>
      <c r="BM309"/>
    </row>
    <row r="310" spans="3:65" s="69" customFormat="1" x14ac:dyDescent="0.25">
      <c r="AM310" s="271">
        <v>2779953</v>
      </c>
      <c r="AN310" s="270">
        <v>130798</v>
      </c>
      <c r="AO310" s="208">
        <v>44013</v>
      </c>
      <c r="AP310" s="69" t="s">
        <v>645</v>
      </c>
      <c r="BD310"/>
      <c r="BE310"/>
      <c r="BF310"/>
      <c r="BG310"/>
      <c r="BH310"/>
      <c r="BI310"/>
      <c r="BJ310"/>
      <c r="BK310"/>
      <c r="BL310"/>
      <c r="BM310"/>
    </row>
    <row r="311" spans="3:65" s="69" customFormat="1" x14ac:dyDescent="0.25">
      <c r="AM311" s="271">
        <v>2779953</v>
      </c>
      <c r="AN311" s="270">
        <v>130798</v>
      </c>
      <c r="AO311" s="245">
        <v>44013</v>
      </c>
      <c r="AP311" s="69" t="s">
        <v>648</v>
      </c>
      <c r="BD311"/>
      <c r="BE311"/>
      <c r="BF311"/>
      <c r="BG311"/>
      <c r="BH311"/>
      <c r="BI311"/>
      <c r="BJ311"/>
      <c r="BK311"/>
      <c r="BL311"/>
      <c r="BM311"/>
    </row>
    <row r="312" spans="3:65" x14ac:dyDescent="0.25">
      <c r="C312" s="69"/>
      <c r="D312" s="69"/>
      <c r="E312" s="69"/>
      <c r="F312" s="69"/>
      <c r="G312" s="69"/>
      <c r="H312" s="69"/>
      <c r="I312" s="69"/>
      <c r="J312" s="69"/>
      <c r="K312" s="69"/>
      <c r="L312" s="69"/>
      <c r="M312" s="69"/>
      <c r="N312" s="69"/>
      <c r="O312" s="69"/>
      <c r="P312" s="69"/>
      <c r="Q312" s="69"/>
      <c r="R312" s="69"/>
      <c r="S312" s="69"/>
      <c r="T312" s="69"/>
      <c r="U312" s="69"/>
      <c r="V312" s="69"/>
      <c r="W312" s="69"/>
      <c r="X312" s="69"/>
      <c r="Y312" s="69"/>
      <c r="Z312" s="69"/>
      <c r="AA312" s="69"/>
      <c r="AB312" s="69"/>
      <c r="AC312" s="69"/>
      <c r="AD312" s="69"/>
      <c r="AE312" s="69"/>
      <c r="AF312" s="69"/>
      <c r="AG312" s="69"/>
      <c r="AH312" s="69"/>
      <c r="AI312" s="69"/>
      <c r="AJ312" s="69"/>
      <c r="AK312" s="69"/>
      <c r="AL312" s="69"/>
      <c r="AM312" s="271">
        <v>2779953</v>
      </c>
      <c r="AN312" s="270">
        <v>130798</v>
      </c>
      <c r="AO312" s="245">
        <v>44013</v>
      </c>
      <c r="AP312" s="69" t="s">
        <v>644</v>
      </c>
      <c r="AQ312" s="69"/>
      <c r="AR312" s="69"/>
      <c r="AS312" s="69"/>
      <c r="AT312" s="69"/>
      <c r="AU312" s="69"/>
      <c r="AV312" s="69"/>
      <c r="AW312" s="69"/>
      <c r="AX312" s="69"/>
      <c r="AY312" s="69"/>
      <c r="AZ312" s="69"/>
      <c r="BA312" s="69"/>
      <c r="BB312" s="69"/>
      <c r="BC312" s="69"/>
    </row>
    <row r="313" spans="3:65" x14ac:dyDescent="0.25">
      <c r="AN313" s="271">
        <v>2890588</v>
      </c>
      <c r="AO313" s="270">
        <v>132101</v>
      </c>
      <c r="AP313" s="245">
        <v>44015</v>
      </c>
      <c r="AQ313" s="69" t="s">
        <v>646</v>
      </c>
    </row>
    <row r="314" spans="3:65" x14ac:dyDescent="0.25">
      <c r="AN314" s="271">
        <v>2890588</v>
      </c>
      <c r="AO314" s="270">
        <v>132101</v>
      </c>
      <c r="AP314" s="245">
        <v>44015</v>
      </c>
      <c r="AQ314" s="69" t="s">
        <v>647</v>
      </c>
    </row>
    <row r="315" spans="3:65" x14ac:dyDescent="0.25">
      <c r="AN315" s="271">
        <v>2945127</v>
      </c>
      <c r="AO315" s="270">
        <v>132339</v>
      </c>
      <c r="AP315" s="245">
        <v>44016</v>
      </c>
      <c r="AQ315" t="s">
        <v>649</v>
      </c>
    </row>
    <row r="316" spans="3:65" x14ac:dyDescent="0.25">
      <c r="AN316" s="271">
        <v>3041642</v>
      </c>
      <c r="AO316" s="270">
        <v>132979</v>
      </c>
      <c r="AP316" s="246">
        <v>44018</v>
      </c>
      <c r="AQ316" t="s">
        <v>650</v>
      </c>
    </row>
    <row r="317" spans="3:65" x14ac:dyDescent="0.25">
      <c r="AN317" s="271">
        <v>3041642</v>
      </c>
      <c r="AO317" s="270">
        <v>132979</v>
      </c>
      <c r="AP317" s="208">
        <v>44018</v>
      </c>
      <c r="AQ317" t="s">
        <v>651</v>
      </c>
    </row>
    <row r="318" spans="3:65" x14ac:dyDescent="0.25">
      <c r="AN318" s="271">
        <v>3041642</v>
      </c>
      <c r="AO318" s="270">
        <v>132979</v>
      </c>
      <c r="AP318" s="208">
        <v>44018</v>
      </c>
      <c r="AQ318" t="s">
        <v>658</v>
      </c>
    </row>
    <row r="319" spans="3:65" s="69" customFormat="1" x14ac:dyDescent="0.25">
      <c r="C319"/>
      <c r="D319"/>
      <c r="E319"/>
      <c r="F319"/>
      <c r="G319"/>
      <c r="H319"/>
      <c r="I319"/>
      <c r="J319"/>
      <c r="K319"/>
      <c r="L319"/>
      <c r="M319"/>
      <c r="N319"/>
      <c r="O319"/>
      <c r="P319"/>
      <c r="Q319"/>
      <c r="R319"/>
      <c r="S319"/>
      <c r="T319"/>
      <c r="U319"/>
      <c r="V319"/>
      <c r="W319"/>
      <c r="X319"/>
      <c r="Y319"/>
      <c r="Z319"/>
      <c r="AA319"/>
      <c r="AB319"/>
      <c r="AC319"/>
      <c r="AD319"/>
      <c r="AE319"/>
      <c r="AF319"/>
      <c r="AG319"/>
      <c r="AH319"/>
      <c r="AI319"/>
      <c r="AJ319"/>
      <c r="AK319"/>
      <c r="AL319"/>
      <c r="AM319"/>
      <c r="AN319" s="271">
        <v>3158932</v>
      </c>
      <c r="AO319" s="270">
        <v>134862</v>
      </c>
      <c r="AP319" s="208">
        <v>44020</v>
      </c>
      <c r="AQ319" t="s">
        <v>652</v>
      </c>
      <c r="AR319"/>
      <c r="AS319"/>
      <c r="AT319"/>
      <c r="AU319"/>
      <c r="AV319"/>
      <c r="AW319"/>
      <c r="AX319"/>
      <c r="AY319"/>
      <c r="AZ319"/>
      <c r="BA319"/>
      <c r="BB319"/>
      <c r="BC319"/>
      <c r="BD319"/>
      <c r="BE319"/>
      <c r="BF319"/>
      <c r="BG319"/>
      <c r="BH319"/>
      <c r="BI319"/>
      <c r="BJ319"/>
      <c r="BK319"/>
      <c r="BL319"/>
      <c r="BM319"/>
    </row>
    <row r="320" spans="3:65" s="69" customFormat="1" x14ac:dyDescent="0.25">
      <c r="AN320" s="271">
        <v>3158932</v>
      </c>
      <c r="AO320" s="270">
        <v>134862</v>
      </c>
      <c r="AP320" s="162">
        <v>44020</v>
      </c>
      <c r="AQ320" s="69" t="s">
        <v>655</v>
      </c>
      <c r="BD320"/>
      <c r="BE320"/>
      <c r="BF320"/>
      <c r="BG320"/>
      <c r="BH320"/>
      <c r="BI320"/>
      <c r="BJ320"/>
      <c r="BK320"/>
      <c r="BL320"/>
      <c r="BM320"/>
    </row>
    <row r="321" spans="40:65" x14ac:dyDescent="0.25">
      <c r="AN321" s="271">
        <v>3224892</v>
      </c>
      <c r="AO321" s="270">
        <v>135791</v>
      </c>
      <c r="AP321" s="245">
        <v>44021</v>
      </c>
      <c r="AQ321" t="s">
        <v>657</v>
      </c>
      <c r="BH321" s="69"/>
      <c r="BI321" s="69"/>
      <c r="BJ321" s="69"/>
      <c r="BK321" s="69"/>
      <c r="BL321" s="69"/>
      <c r="BM321" s="69"/>
    </row>
    <row r="322" spans="40:65" x14ac:dyDescent="0.25">
      <c r="AN322" s="271">
        <v>3224892</v>
      </c>
      <c r="AO322" s="270">
        <v>135791</v>
      </c>
      <c r="AP322" s="245">
        <v>44021</v>
      </c>
      <c r="AQ322" t="s">
        <v>656</v>
      </c>
      <c r="BH322" s="69"/>
      <c r="BI322" s="69"/>
      <c r="BJ322" s="69"/>
      <c r="BK322" s="69"/>
      <c r="BL322" s="69"/>
      <c r="BM322" s="69"/>
    </row>
    <row r="323" spans="40:65" x14ac:dyDescent="0.25">
      <c r="AO323" s="271">
        <v>3297170</v>
      </c>
      <c r="AP323" s="270">
        <v>136639</v>
      </c>
      <c r="AQ323" s="208">
        <v>44022</v>
      </c>
      <c r="AR323" t="s">
        <v>669</v>
      </c>
      <c r="BH323" s="69"/>
      <c r="BI323" s="69"/>
      <c r="BJ323" s="69"/>
      <c r="BK323" s="69"/>
      <c r="BL323" s="69"/>
      <c r="BM323" s="69"/>
    </row>
    <row r="324" spans="40:65" x14ac:dyDescent="0.25">
      <c r="AO324" s="271">
        <v>3297170</v>
      </c>
      <c r="AP324" s="270">
        <v>136639</v>
      </c>
      <c r="AQ324" s="246">
        <v>44022</v>
      </c>
      <c r="AR324" s="69" t="s">
        <v>654</v>
      </c>
      <c r="BH324" s="69"/>
      <c r="BI324" s="69"/>
      <c r="BJ324" s="69"/>
      <c r="BK324" s="69"/>
      <c r="BL324" s="69"/>
      <c r="BM324" s="69"/>
    </row>
    <row r="325" spans="40:65" x14ac:dyDescent="0.25">
      <c r="AO325" s="271">
        <v>3297170</v>
      </c>
      <c r="AP325" s="270">
        <v>136639</v>
      </c>
      <c r="AQ325" s="246">
        <v>44022</v>
      </c>
      <c r="AR325" s="69" t="s">
        <v>653</v>
      </c>
    </row>
    <row r="326" spans="40:65" x14ac:dyDescent="0.25">
      <c r="AO326" s="271">
        <v>3417795</v>
      </c>
      <c r="AP326" s="270">
        <v>137752</v>
      </c>
      <c r="AQ326" s="208">
        <v>44024</v>
      </c>
      <c r="AR326" s="69" t="s">
        <v>659</v>
      </c>
      <c r="BD326" s="69"/>
      <c r="BE326" s="69"/>
      <c r="BF326" s="69"/>
      <c r="BG326" s="69"/>
    </row>
    <row r="327" spans="40:65" x14ac:dyDescent="0.25">
      <c r="AO327" s="271">
        <v>3417795</v>
      </c>
      <c r="AP327" s="270">
        <v>137752</v>
      </c>
      <c r="AQ327" s="208">
        <v>44024</v>
      </c>
      <c r="AR327" s="69" t="s">
        <v>665</v>
      </c>
      <c r="BD327" s="69"/>
      <c r="BE327" s="69"/>
      <c r="BF327" s="69"/>
      <c r="BG327" s="69"/>
    </row>
    <row r="328" spans="40:65" x14ac:dyDescent="0.25">
      <c r="AO328" s="271">
        <v>3483584</v>
      </c>
      <c r="AP328" s="270">
        <v>138217</v>
      </c>
      <c r="AQ328" s="245">
        <v>44025</v>
      </c>
      <c r="AR328" s="69" t="s">
        <v>667</v>
      </c>
      <c r="BD328" s="69"/>
      <c r="BE328" s="69"/>
      <c r="BF328" s="69"/>
      <c r="BG328" s="69"/>
    </row>
    <row r="329" spans="40:65" x14ac:dyDescent="0.25">
      <c r="AO329" s="271">
        <v>3483584</v>
      </c>
      <c r="AP329" s="270">
        <v>138217</v>
      </c>
      <c r="AQ329" s="245">
        <v>44025</v>
      </c>
      <c r="AR329" s="69" t="s">
        <v>668</v>
      </c>
    </row>
    <row r="330" spans="40:65" x14ac:dyDescent="0.25">
      <c r="AO330" s="271">
        <v>3483584</v>
      </c>
      <c r="AP330" s="270">
        <v>138217</v>
      </c>
      <c r="AQ330" s="208">
        <v>44025</v>
      </c>
      <c r="AR330" s="69" t="s">
        <v>660</v>
      </c>
    </row>
    <row r="331" spans="40:65" x14ac:dyDescent="0.25">
      <c r="AO331" s="271">
        <v>3483584</v>
      </c>
      <c r="AP331" s="270">
        <v>138217</v>
      </c>
      <c r="AQ331" s="208">
        <v>44025</v>
      </c>
      <c r="AR331" s="69" t="s">
        <v>666</v>
      </c>
    </row>
    <row r="332" spans="40:65" x14ac:dyDescent="0.25">
      <c r="AO332" s="271">
        <v>3549632</v>
      </c>
      <c r="AP332" s="270">
        <v>139153</v>
      </c>
      <c r="AQ332" s="208">
        <v>44026</v>
      </c>
      <c r="AR332" s="69" t="s">
        <v>661</v>
      </c>
    </row>
    <row r="333" spans="40:65" x14ac:dyDescent="0.25">
      <c r="AO333" s="271">
        <v>3549632</v>
      </c>
      <c r="AP333" s="270">
        <v>139153</v>
      </c>
      <c r="AQ333" s="208">
        <v>44026</v>
      </c>
      <c r="AR333" s="69" t="s">
        <v>674</v>
      </c>
    </row>
    <row r="334" spans="40:65" x14ac:dyDescent="0.25">
      <c r="AO334" s="271">
        <v>3549632</v>
      </c>
      <c r="AP334" s="270">
        <v>139153</v>
      </c>
      <c r="AQ334" s="246">
        <v>44026</v>
      </c>
      <c r="AR334" s="69" t="s">
        <v>670</v>
      </c>
    </row>
    <row r="335" spans="40:65" x14ac:dyDescent="0.25">
      <c r="AO335" s="271">
        <v>3549632</v>
      </c>
      <c r="AP335" s="270">
        <v>139153</v>
      </c>
      <c r="AQ335" s="208">
        <v>44026</v>
      </c>
      <c r="AR335" s="69" t="s">
        <v>671</v>
      </c>
    </row>
    <row r="336" spans="40:65" x14ac:dyDescent="0.25">
      <c r="AO336" s="271">
        <v>3621637</v>
      </c>
      <c r="AP336" s="270">
        <v>140155</v>
      </c>
      <c r="AQ336" s="208">
        <v>44027</v>
      </c>
      <c r="AR336" s="69" t="s">
        <v>672</v>
      </c>
    </row>
    <row r="337" spans="1:45" x14ac:dyDescent="0.25">
      <c r="AP337" s="271">
        <v>3695025</v>
      </c>
      <c r="AQ337" s="270">
        <v>141118</v>
      </c>
      <c r="AR337" s="208">
        <v>44028</v>
      </c>
      <c r="AS337" s="69" t="s">
        <v>662</v>
      </c>
    </row>
    <row r="338" spans="1:45" x14ac:dyDescent="0.25">
      <c r="AP338" s="271">
        <v>3770012</v>
      </c>
      <c r="AQ338" s="270">
        <v>142064</v>
      </c>
      <c r="AR338" s="208">
        <v>44029</v>
      </c>
      <c r="AS338" s="69" t="s">
        <v>663</v>
      </c>
    </row>
    <row r="339" spans="1:45" x14ac:dyDescent="0.25">
      <c r="AP339" s="271">
        <v>3770012</v>
      </c>
      <c r="AQ339" s="270">
        <v>142064</v>
      </c>
      <c r="AR339" s="208">
        <v>44029</v>
      </c>
      <c r="AS339" s="69" t="s">
        <v>673</v>
      </c>
    </row>
    <row r="340" spans="1:45" x14ac:dyDescent="0.25">
      <c r="AP340" s="271">
        <v>3833271</v>
      </c>
      <c r="AQ340" s="270">
        <v>142877</v>
      </c>
      <c r="AR340" s="208">
        <v>44030</v>
      </c>
      <c r="AS340" s="69" t="s">
        <v>664</v>
      </c>
    </row>
    <row r="341" spans="1:45" x14ac:dyDescent="0.25">
      <c r="AP341" s="271">
        <v>3833271</v>
      </c>
      <c r="AQ341" s="270">
        <v>142877</v>
      </c>
      <c r="AR341" s="208">
        <v>44030</v>
      </c>
      <c r="AS341" s="69" t="s">
        <v>675</v>
      </c>
    </row>
    <row r="342" spans="1:45" s="69" customFormat="1" x14ac:dyDescent="0.25"/>
    <row r="343" spans="1:45" s="69" customFormat="1" x14ac:dyDescent="0.25"/>
    <row r="344" spans="1:45" s="69" customFormat="1" x14ac:dyDescent="0.25"/>
    <row r="348" spans="1:45" x14ac:dyDescent="0.25">
      <c r="A348" s="4" t="s">
        <v>187</v>
      </c>
      <c r="B348" s="212">
        <v>330565500</v>
      </c>
    </row>
    <row r="349" spans="1:45" x14ac:dyDescent="0.25">
      <c r="A349" s="4"/>
      <c r="B349" s="269"/>
    </row>
    <row r="350" spans="1:45" x14ac:dyDescent="0.25">
      <c r="A350" s="4"/>
      <c r="B350" s="269"/>
    </row>
    <row r="351" spans="1:45" x14ac:dyDescent="0.25">
      <c r="A351" s="57" t="s">
        <v>380</v>
      </c>
      <c r="B351" s="265">
        <v>1.4E-2</v>
      </c>
    </row>
    <row r="352" spans="1:45" s="69" customFormat="1" x14ac:dyDescent="0.25">
      <c r="A352" s="62"/>
      <c r="B352" s="166"/>
      <c r="C352" s="69" t="s">
        <v>298</v>
      </c>
    </row>
    <row r="353" spans="1:69" s="69" customFormat="1" x14ac:dyDescent="0.25">
      <c r="A353" s="62"/>
      <c r="B353" s="166"/>
    </row>
    <row r="354" spans="1:69" x14ac:dyDescent="0.25">
      <c r="A354" s="4" t="s">
        <v>111</v>
      </c>
      <c r="B354" s="154">
        <f>B351/B362</f>
        <v>0.58333333333333337</v>
      </c>
      <c r="C354" t="s">
        <v>381</v>
      </c>
      <c r="D354" s="69"/>
      <c r="E354" s="69"/>
      <c r="G354" s="69"/>
      <c r="H354" s="69"/>
      <c r="I354" s="69"/>
      <c r="J354" s="69"/>
      <c r="K354" s="69"/>
      <c r="L354" s="69"/>
      <c r="M354" s="69"/>
      <c r="N354" s="69"/>
      <c r="O354" s="69"/>
      <c r="P354" s="69"/>
      <c r="Q354" s="69"/>
      <c r="R354" s="69"/>
      <c r="S354" s="69"/>
      <c r="T354" s="69"/>
      <c r="U354" s="162"/>
      <c r="V354" s="69"/>
      <c r="W354" s="162"/>
      <c r="Z354" s="192"/>
      <c r="AA354" s="16"/>
    </row>
    <row r="355" spans="1:69" x14ac:dyDescent="0.25">
      <c r="A355" s="37" t="s">
        <v>113</v>
      </c>
      <c r="B355" s="113">
        <v>7.0000000000000007E-2</v>
      </c>
      <c r="C355" s="231"/>
      <c r="D355" s="69"/>
      <c r="E355" s="69"/>
      <c r="F355" s="69"/>
      <c r="G355" s="69"/>
      <c r="H355" s="69"/>
      <c r="I355" s="69"/>
      <c r="J355" s="69"/>
      <c r="K355" s="69"/>
      <c r="L355" s="69"/>
      <c r="M355" s="69"/>
      <c r="N355" s="69"/>
      <c r="O355" s="69"/>
      <c r="P355" s="69"/>
      <c r="Q355" s="69"/>
      <c r="R355" s="69"/>
      <c r="S355" s="69"/>
      <c r="T355" s="69"/>
      <c r="U355" s="69"/>
      <c r="V355" s="162"/>
      <c r="W355" s="162"/>
      <c r="X355" s="69"/>
      <c r="Y355" s="69"/>
      <c r="Z355" s="16"/>
      <c r="AA355" s="16"/>
    </row>
    <row r="356" spans="1:69" x14ac:dyDescent="0.25">
      <c r="A356" s="4" t="s">
        <v>176</v>
      </c>
      <c r="B356" s="232">
        <v>2.4</v>
      </c>
      <c r="C356" s="64">
        <f>(B348/1000)*B356</f>
        <v>793357.2</v>
      </c>
      <c r="D356" s="69"/>
      <c r="E356" s="69"/>
      <c r="F356" s="69"/>
      <c r="G356" s="69"/>
      <c r="H356" s="69"/>
      <c r="I356" s="69"/>
      <c r="J356" s="69"/>
      <c r="K356" s="69"/>
      <c r="L356" s="69"/>
      <c r="M356" s="69"/>
      <c r="N356" s="69"/>
      <c r="O356" s="69"/>
      <c r="P356" s="69"/>
      <c r="Q356" s="69"/>
      <c r="R356" s="69"/>
      <c r="S356" s="69"/>
      <c r="T356" s="69"/>
      <c r="U356" s="69"/>
      <c r="V356" s="69"/>
      <c r="W356" s="69"/>
      <c r="X356" s="69"/>
      <c r="Y356" s="69"/>
      <c r="Z356" s="16"/>
      <c r="AA356" s="16"/>
      <c r="AC356" s="119"/>
    </row>
    <row r="357" spans="1:69" x14ac:dyDescent="0.25">
      <c r="A357" s="37" t="s">
        <v>177</v>
      </c>
      <c r="B357" s="233">
        <v>34.700000000000003</v>
      </c>
      <c r="C357" s="61">
        <f>(B348/100000)*B357</f>
        <v>114706.22850000001</v>
      </c>
      <c r="D357" s="69"/>
      <c r="E357" s="69"/>
      <c r="F357" s="69"/>
      <c r="G357" s="69"/>
      <c r="H357" s="69"/>
      <c r="I357" s="69"/>
      <c r="J357" s="69"/>
      <c r="K357" s="69"/>
      <c r="L357" s="69"/>
      <c r="M357" s="69"/>
      <c r="N357" s="69"/>
      <c r="O357" s="69"/>
      <c r="P357" s="69"/>
      <c r="Q357" s="69"/>
      <c r="R357" s="69"/>
      <c r="S357" s="69"/>
      <c r="T357" s="69"/>
      <c r="U357" s="69"/>
      <c r="V357" s="69"/>
      <c r="W357" s="69"/>
      <c r="X357" s="149"/>
      <c r="Y357" s="69"/>
      <c r="AP357" s="69"/>
    </row>
    <row r="358" spans="1:69" x14ac:dyDescent="0.25">
      <c r="A358" s="41"/>
      <c r="B358" s="259"/>
      <c r="C358" s="10"/>
      <c r="D358" s="69"/>
      <c r="E358" s="69"/>
      <c r="F358" s="69"/>
      <c r="G358" s="69"/>
      <c r="H358" s="69"/>
      <c r="I358" s="69"/>
      <c r="J358" s="69"/>
      <c r="K358" s="69"/>
      <c r="L358" s="69"/>
      <c r="M358" s="69"/>
      <c r="N358" s="69"/>
      <c r="O358" s="69"/>
      <c r="P358" s="69"/>
      <c r="Q358" s="69"/>
      <c r="R358" s="69"/>
      <c r="S358" s="69"/>
      <c r="T358" s="69"/>
      <c r="U358" s="69"/>
      <c r="V358" s="69"/>
      <c r="W358" s="69"/>
      <c r="X358" s="149"/>
      <c r="Y358" s="69"/>
      <c r="AP358" s="69"/>
      <c r="AT358" s="236"/>
    </row>
    <row r="359" spans="1:69" x14ac:dyDescent="0.25">
      <c r="A359" s="4" t="s">
        <v>72</v>
      </c>
      <c r="B359" s="111">
        <v>0.81</v>
      </c>
      <c r="C359" s="2"/>
      <c r="D359" s="69"/>
      <c r="E359" s="69"/>
      <c r="F359" s="69"/>
      <c r="G359" s="69"/>
      <c r="H359" s="69"/>
      <c r="I359" s="69"/>
      <c r="J359" s="69"/>
      <c r="K359" s="69"/>
      <c r="L359" s="69"/>
      <c r="M359" s="69"/>
      <c r="N359" s="69"/>
      <c r="O359" s="69"/>
      <c r="P359" s="69"/>
      <c r="Q359" s="69"/>
      <c r="R359" s="69"/>
      <c r="S359" s="69"/>
      <c r="T359" s="69"/>
      <c r="U359" s="69"/>
      <c r="V359" s="69"/>
      <c r="W359" s="69"/>
      <c r="AB359" s="208"/>
      <c r="AE359" s="236"/>
    </row>
    <row r="360" spans="1:69" x14ac:dyDescent="0.25">
      <c r="A360" s="41" t="s">
        <v>73</v>
      </c>
      <c r="B360" s="112">
        <v>0.14000000000000001</v>
      </c>
      <c r="C360" s="2"/>
      <c r="D360" s="69"/>
      <c r="E360" s="69"/>
      <c r="F360" s="69"/>
      <c r="G360" s="69"/>
      <c r="H360" s="69"/>
      <c r="I360" s="69"/>
      <c r="J360" s="69"/>
      <c r="K360" s="69"/>
      <c r="L360" s="69"/>
      <c r="M360" s="69"/>
      <c r="N360" s="69"/>
      <c r="O360" s="69"/>
      <c r="P360" s="69"/>
      <c r="Q360" s="69"/>
      <c r="R360" s="69"/>
      <c r="S360" s="69"/>
      <c r="T360" s="69"/>
      <c r="U360" s="69"/>
      <c r="V360" s="69"/>
      <c r="W360" s="47"/>
      <c r="X360" s="69"/>
      <c r="Y360" s="162"/>
      <c r="AE360" s="208"/>
      <c r="AO360" s="208"/>
      <c r="AP360" s="208"/>
      <c r="AQ360" s="208"/>
      <c r="AR360" s="208"/>
      <c r="AS360" s="208"/>
      <c r="AT360" s="208"/>
      <c r="AU360" s="208"/>
      <c r="AV360" s="208"/>
      <c r="AW360" s="208"/>
      <c r="AX360" s="236"/>
      <c r="AY360" s="236"/>
      <c r="AZ360" s="236"/>
      <c r="BA360" s="236"/>
      <c r="BB360" s="236"/>
    </row>
    <row r="361" spans="1:69" x14ac:dyDescent="0.25">
      <c r="A361" s="37" t="s">
        <v>107</v>
      </c>
      <c r="B361" s="113">
        <v>0.05</v>
      </c>
      <c r="C361" s="2"/>
      <c r="D361" s="203" t="s">
        <v>166</v>
      </c>
      <c r="V361" s="16"/>
      <c r="W361" s="16"/>
      <c r="X361" s="239"/>
      <c r="Y361" s="16"/>
      <c r="AG361" s="2"/>
      <c r="AL361" s="208"/>
      <c r="AM361" s="208"/>
      <c r="AT361" s="172"/>
      <c r="BC361" s="172"/>
      <c r="BD361" s="172"/>
      <c r="BE361" s="172"/>
      <c r="BF361" s="172"/>
      <c r="BG361" s="172"/>
      <c r="BH361" s="172"/>
      <c r="BI361" s="172"/>
      <c r="BJ361" s="172"/>
      <c r="BK361" s="172"/>
      <c r="BL361" s="172"/>
    </row>
    <row r="362" spans="1:69" x14ac:dyDescent="0.25">
      <c r="A362" s="37" t="s">
        <v>112</v>
      </c>
      <c r="B362" s="65">
        <v>2.4E-2</v>
      </c>
      <c r="C362" s="2"/>
      <c r="D362" s="176" t="s">
        <v>158</v>
      </c>
      <c r="W362" s="16"/>
      <c r="X362" s="16"/>
      <c r="Y362" s="16"/>
      <c r="AK362" s="208"/>
      <c r="AL362" s="208"/>
      <c r="AV362" s="172"/>
      <c r="AW362" s="172"/>
      <c r="AX362" s="173"/>
      <c r="AY362" s="173"/>
      <c r="AZ362" s="173"/>
      <c r="BA362" s="173"/>
      <c r="BB362" s="173"/>
    </row>
    <row r="363" spans="1:69" x14ac:dyDescent="0.25">
      <c r="A363" s="152" t="s">
        <v>296</v>
      </c>
      <c r="B363" s="153">
        <v>43851</v>
      </c>
      <c r="C363" s="2"/>
      <c r="D363" s="237">
        <f>(BC366-R366)/(LOG(BC367/R367)/LOG(2))</f>
        <v>21.421052631578949</v>
      </c>
      <c r="E363" s="172"/>
      <c r="L363" s="208"/>
      <c r="M363" s="208"/>
      <c r="N363" s="208"/>
      <c r="O363" s="208"/>
      <c r="P363" s="208"/>
      <c r="U363" s="16"/>
      <c r="V363" s="16"/>
      <c r="W363" s="16"/>
      <c r="X363" s="16"/>
      <c r="Y363" s="16"/>
      <c r="AE363" t="s">
        <v>327</v>
      </c>
      <c r="AM363" s="208"/>
      <c r="AN363" s="208"/>
    </row>
    <row r="364" spans="1:69" x14ac:dyDescent="0.25">
      <c r="A364" s="16"/>
      <c r="B364" s="50" t="s">
        <v>54</v>
      </c>
      <c r="C364" s="10"/>
      <c r="D364" s="16"/>
      <c r="E364" s="16"/>
      <c r="F364" s="16"/>
      <c r="G364" s="16"/>
      <c r="H364" s="16"/>
      <c r="I364" s="16"/>
      <c r="J364" s="16"/>
      <c r="K364" s="16"/>
      <c r="L364" s="16"/>
      <c r="M364" s="16"/>
      <c r="N364" s="16"/>
      <c r="O364" s="16"/>
      <c r="P364" s="16"/>
      <c r="Q364" s="16"/>
      <c r="S364" s="16"/>
      <c r="T364" s="16"/>
      <c r="U364" s="16"/>
      <c r="V364" s="16"/>
      <c r="W364" s="16"/>
      <c r="X364" s="16"/>
      <c r="Y364" s="16"/>
      <c r="Z364" s="16"/>
      <c r="AA364" s="16"/>
      <c r="AB364" s="16"/>
      <c r="AC364" s="16"/>
      <c r="AD364" s="16"/>
      <c r="AE364" s="16"/>
      <c r="AF364" s="16"/>
      <c r="AG364" s="16"/>
      <c r="AH364" s="16" t="s">
        <v>288</v>
      </c>
      <c r="AI364" s="16"/>
      <c r="AJ364" s="16"/>
      <c r="AK364" s="16"/>
      <c r="AL364" s="16"/>
      <c r="AM364" s="16"/>
      <c r="AN364" s="16" t="s">
        <v>580</v>
      </c>
      <c r="AO364" s="16"/>
      <c r="AP364" s="16"/>
      <c r="AQ364" s="16"/>
      <c r="AR364" s="16"/>
      <c r="AS364" s="16"/>
      <c r="AT364" s="16"/>
      <c r="AU364" s="16"/>
      <c r="AV364" s="16"/>
      <c r="AW364" s="16"/>
      <c r="BN364" s="151"/>
    </row>
    <row r="365" spans="1:69" x14ac:dyDescent="0.25">
      <c r="A365" s="334" t="s">
        <v>41</v>
      </c>
      <c r="B365" s="339">
        <v>43882</v>
      </c>
      <c r="C365" s="339">
        <v>43890</v>
      </c>
      <c r="D365" s="339">
        <v>43893</v>
      </c>
      <c r="E365" s="339">
        <v>43895</v>
      </c>
      <c r="F365" s="339">
        <v>43904</v>
      </c>
      <c r="G365" s="339">
        <v>43912</v>
      </c>
      <c r="H365" s="339">
        <v>43918</v>
      </c>
      <c r="I365" s="339">
        <v>43923</v>
      </c>
      <c r="J365" s="339">
        <v>43932</v>
      </c>
      <c r="K365" s="339">
        <v>43948</v>
      </c>
      <c r="L365" s="339">
        <f>K365+K366</f>
        <v>43991</v>
      </c>
      <c r="M365" s="339">
        <f>L365+L366</f>
        <v>44034</v>
      </c>
      <c r="N365" s="90">
        <f>M365+M366</f>
        <v>44119</v>
      </c>
      <c r="O365" s="186">
        <f>N365+N366</f>
        <v>44289</v>
      </c>
      <c r="P365" s="186">
        <f>O365+O366</f>
        <v>44629</v>
      </c>
      <c r="Q365" s="186"/>
      <c r="S365" s="132" t="s">
        <v>297</v>
      </c>
      <c r="T365" s="16"/>
      <c r="U365" s="16"/>
      <c r="V365" s="16"/>
      <c r="W365" s="16"/>
      <c r="X365" s="16"/>
      <c r="Y365" s="16"/>
      <c r="Z365" s="16"/>
      <c r="AA365" s="179"/>
      <c r="AB365" s="16"/>
      <c r="AC365" s="16"/>
      <c r="AD365" s="16"/>
      <c r="AE365" s="16" t="s">
        <v>263</v>
      </c>
      <c r="AI365" t="s">
        <v>299</v>
      </c>
      <c r="AN365" s="16"/>
      <c r="AO365" s="16" t="s">
        <v>579</v>
      </c>
      <c r="AP365" s="16"/>
      <c r="AQ365" s="16"/>
      <c r="AR365" s="16"/>
      <c r="AS365" s="16"/>
      <c r="AT365" s="16"/>
      <c r="AU365" s="16"/>
      <c r="AV365" s="16"/>
      <c r="AW365" s="16"/>
      <c r="BH365" s="203" t="s">
        <v>167</v>
      </c>
      <c r="BN365" s="235" t="s">
        <v>186</v>
      </c>
    </row>
    <row r="366" spans="1:69" x14ac:dyDescent="0.25">
      <c r="A366" s="4" t="s">
        <v>11</v>
      </c>
      <c r="B366" s="335">
        <v>8</v>
      </c>
      <c r="C366" s="336">
        <v>3</v>
      </c>
      <c r="D366" s="337">
        <v>2</v>
      </c>
      <c r="E366" s="336">
        <v>3</v>
      </c>
      <c r="F366" s="337">
        <v>2</v>
      </c>
      <c r="G366" s="336">
        <v>3</v>
      </c>
      <c r="H366" s="338">
        <v>5</v>
      </c>
      <c r="I366" s="238">
        <v>9</v>
      </c>
      <c r="J366">
        <v>16</v>
      </c>
      <c r="K366">
        <v>43</v>
      </c>
      <c r="L366">
        <v>43</v>
      </c>
      <c r="M366">
        <v>85</v>
      </c>
      <c r="N366">
        <f>M366*2</f>
        <v>170</v>
      </c>
      <c r="O366">
        <f t="shared" ref="O366:P366" si="0">N366*2</f>
        <v>340</v>
      </c>
      <c r="P366">
        <f t="shared" si="0"/>
        <v>680</v>
      </c>
      <c r="Q366" s="211"/>
      <c r="R366" s="251">
        <v>43882</v>
      </c>
      <c r="S366" s="252">
        <f t="shared" ref="S366:AF366" si="1">R366+HLOOKUP(R366+1, $B$365:$Q$366,2,TRUE)</f>
        <v>43890</v>
      </c>
      <c r="T366" s="253">
        <f t="shared" si="1"/>
        <v>43893</v>
      </c>
      <c r="U366" s="252">
        <f t="shared" si="1"/>
        <v>43895</v>
      </c>
      <c r="V366" s="252">
        <f t="shared" si="1"/>
        <v>43898</v>
      </c>
      <c r="W366" s="252">
        <f t="shared" si="1"/>
        <v>43901</v>
      </c>
      <c r="X366" s="253">
        <f t="shared" si="1"/>
        <v>43904</v>
      </c>
      <c r="Y366" s="253">
        <f t="shared" si="1"/>
        <v>43906</v>
      </c>
      <c r="Z366" s="253">
        <f t="shared" si="1"/>
        <v>43908</v>
      </c>
      <c r="AA366" s="253">
        <f t="shared" si="1"/>
        <v>43910</v>
      </c>
      <c r="AB366" s="252">
        <f t="shared" si="1"/>
        <v>43912</v>
      </c>
      <c r="AC366" s="254">
        <f t="shared" si="1"/>
        <v>43915</v>
      </c>
      <c r="AD366" s="254">
        <f t="shared" si="1"/>
        <v>43918</v>
      </c>
      <c r="AE366" s="255">
        <f t="shared" si="1"/>
        <v>43923</v>
      </c>
      <c r="AF366" s="256">
        <f t="shared" si="1"/>
        <v>43932</v>
      </c>
      <c r="AG366" s="257">
        <f>$AF$366+(($AJ$366-$AF$366)*0.25)</f>
        <v>43936</v>
      </c>
      <c r="AH366" s="257">
        <f>$AF$366+(($AJ$366-$AF$366)*0.5)</f>
        <v>43940</v>
      </c>
      <c r="AI366" s="257">
        <f>$AF$366+(($AJ$366-$AF$366)*0.75)</f>
        <v>43944</v>
      </c>
      <c r="AJ366" s="256">
        <f>AF366+HLOOKUP(AF366+1, $B$365:$Q$366,2,TRUE)</f>
        <v>43948</v>
      </c>
      <c r="AK366" s="257">
        <f>$AJ$366+(($AN$366-$AJ$366)*0.25)</f>
        <v>43958.75</v>
      </c>
      <c r="AL366" s="257">
        <f>$AJ$366+(($AN$366-$AJ$366)*0.5)</f>
        <v>43969.5</v>
      </c>
      <c r="AM366" s="257">
        <f>$AJ$366+(($AN$366-$AJ$366)*0.77)</f>
        <v>43981.11</v>
      </c>
      <c r="AN366" s="256">
        <f>AJ366+HLOOKUP(AJ366+1, $B$365:$Q$366,2,TRUE)</f>
        <v>43991</v>
      </c>
      <c r="AO366" s="257">
        <f>$AN$366+(($AS$366-$AN$366)*0.36)</f>
        <v>44006.48</v>
      </c>
      <c r="AP366" s="257">
        <f>$AN$366+(($AS$366-$AN$366)*0.58)</f>
        <v>44015.94</v>
      </c>
      <c r="AQ366" s="257">
        <f>$AN$366+(($AS$366-$AN$366)*0.74)</f>
        <v>44022.82</v>
      </c>
      <c r="AR366" s="257">
        <f>$AN$366+(($AS$366-$AN$366)*0.88)</f>
        <v>44028.84</v>
      </c>
      <c r="AS366" s="256">
        <f>AN366+HLOOKUP(AN366+1, $B$365:$Q$366,2,TRUE)</f>
        <v>44034</v>
      </c>
      <c r="AT366" s="257">
        <f>$AS$366+(($AX$366-$AS$366)*0.16)</f>
        <v>44047.6</v>
      </c>
      <c r="AU366" s="257">
        <f>$AS$366+(($AX$366-$AS$366)*0.35)</f>
        <v>44063.75</v>
      </c>
      <c r="AV366" s="257">
        <f>$AS$366+(($AX$366-$AS$366)*0.57)</f>
        <v>44082.45</v>
      </c>
      <c r="AW366" s="257">
        <f>$AS$366+(($AX$366-$AS$366)*0.8)</f>
        <v>44102</v>
      </c>
      <c r="AX366" s="256">
        <f>AS366+HLOOKUP(AS366+1, $B$365:$Q$366,2,TRUE)</f>
        <v>44119</v>
      </c>
      <c r="AY366" s="353">
        <f>$AX$366+(($BC$366-$AX$366)*0.12)</f>
        <v>44139.4</v>
      </c>
      <c r="AZ366" s="258">
        <f>$AX$366+(($BC$366-$AX$366)*0.4)</f>
        <v>44187</v>
      </c>
      <c r="BA366" s="258">
        <f>$AX$366+(($BC$366-$AX$366)*0.6)</f>
        <v>44221</v>
      </c>
      <c r="BB366" s="258">
        <f>$AX$366+(($BC$366-$AX$366)*0.8)</f>
        <v>44255</v>
      </c>
      <c r="BC366" s="218">
        <f>AX366+HLOOKUP(AX366+1, $B$365:$Q$366,2,TRUE)</f>
        <v>44289</v>
      </c>
      <c r="BD366" s="258">
        <f>($BC$366+(($BH$366-$BC$366)*0.2))</f>
        <v>44357</v>
      </c>
      <c r="BE366" s="258">
        <f>($BC$366+(($BH$366-$BC$366)*0.4))</f>
        <v>44425</v>
      </c>
      <c r="BF366" s="258">
        <f>($BC$366+(($BH$366-$BC$366)*0.6))</f>
        <v>44493</v>
      </c>
      <c r="BG366" s="258">
        <f>($BC$366+(($BH$366-$BC$366)*0.8))</f>
        <v>44561</v>
      </c>
      <c r="BH366" s="218">
        <f>BC366+HLOOKUP(BC366+1, $B$365:$Q$366,2,TRUE)</f>
        <v>44629</v>
      </c>
      <c r="BI366" s="218">
        <f>BH366+HLOOKUP(BH366+1, $B$365:$Q$366,2,TRUE)</f>
        <v>45309</v>
      </c>
      <c r="BJ366" s="218">
        <f>BI366+HLOOKUP(BI366+1, $B$365:$Q$366,2,TRUE)</f>
        <v>45989</v>
      </c>
      <c r="BK366" s="218">
        <f>BJ366+HLOOKUP(BJ366+1, $B$365:$Q$366,2,TRUE)</f>
        <v>46669</v>
      </c>
      <c r="BL366" s="227">
        <f>BK366+HLOOKUP(BK366+1, $B$365:$Q$366,2,TRUE)</f>
        <v>47349</v>
      </c>
      <c r="BM366" s="227">
        <f>BL366+HLOOKUP(BL366+1, $B$365:$Q$366,2,TRUE)</f>
        <v>48029</v>
      </c>
      <c r="BN366" s="234">
        <f>BM366+(7*8)</f>
        <v>48085</v>
      </c>
      <c r="BO366" s="70"/>
      <c r="BP366" s="70"/>
      <c r="BQ366" s="69"/>
    </row>
    <row r="367" spans="1:69" x14ac:dyDescent="0.25">
      <c r="A367" s="41" t="s">
        <v>105</v>
      </c>
      <c r="B367" s="16"/>
      <c r="C367" s="16"/>
      <c r="D367" s="16"/>
      <c r="E367" s="16"/>
      <c r="F367" s="16"/>
      <c r="G367" s="16"/>
      <c r="H367" s="16"/>
      <c r="I367" s="16"/>
      <c r="J367" s="16"/>
      <c r="K367" s="16"/>
      <c r="L367" s="16"/>
      <c r="M367" s="16"/>
      <c r="N367" s="16"/>
      <c r="O367" s="16"/>
      <c r="P367" s="16"/>
      <c r="Q367" s="16"/>
      <c r="R367" s="248">
        <v>31.25</v>
      </c>
      <c r="S367" s="249">
        <f>R367*2</f>
        <v>62.5</v>
      </c>
      <c r="T367" s="249">
        <f t="shared" ref="T367:AF367" si="2">S367*2</f>
        <v>125</v>
      </c>
      <c r="U367" s="249">
        <f t="shared" si="2"/>
        <v>250</v>
      </c>
      <c r="V367" s="249">
        <f t="shared" si="2"/>
        <v>500</v>
      </c>
      <c r="W367" s="249">
        <f t="shared" si="2"/>
        <v>1000</v>
      </c>
      <c r="X367" s="249">
        <f t="shared" si="2"/>
        <v>2000</v>
      </c>
      <c r="Y367" s="249">
        <f t="shared" si="2"/>
        <v>4000</v>
      </c>
      <c r="Z367" s="249">
        <f t="shared" si="2"/>
        <v>8000</v>
      </c>
      <c r="AA367" s="249">
        <f>Z367*2</f>
        <v>16000</v>
      </c>
      <c r="AB367" s="249">
        <f>AA367*2</f>
        <v>32000</v>
      </c>
      <c r="AC367" s="249">
        <f>AB367*2</f>
        <v>64000</v>
      </c>
      <c r="AD367" s="249">
        <f>AC367*2</f>
        <v>128000</v>
      </c>
      <c r="AE367" s="249">
        <f t="shared" si="2"/>
        <v>256000</v>
      </c>
      <c r="AF367" s="249">
        <f t="shared" si="2"/>
        <v>512000</v>
      </c>
      <c r="AG367" s="249">
        <f>$AF$367+(($AJ$367-$AF$367)*0.25)</f>
        <v>640000</v>
      </c>
      <c r="AH367" s="249">
        <f>$AF$367+(($AJ$367-$AF$367)*0.5)</f>
        <v>768000</v>
      </c>
      <c r="AI367" s="249">
        <f>$AF$367+(($AJ$367-$AF$367)*0.75)</f>
        <v>896000</v>
      </c>
      <c r="AJ367" s="249">
        <f>AF367*2</f>
        <v>1024000</v>
      </c>
      <c r="AK367" s="249">
        <f>$AJ$367+(($AN$367-$AJ$367)*0.28)</f>
        <v>1310720</v>
      </c>
      <c r="AL367" s="249">
        <f>$AJ$367+(($AN$367-$AJ$367)*0.5)</f>
        <v>1536000</v>
      </c>
      <c r="AM367" s="249">
        <f>$AJ$367+(($AN$367-$AJ$367)*0.75)</f>
        <v>1792000</v>
      </c>
      <c r="AN367" s="249">
        <f>AJ367*2</f>
        <v>2048000</v>
      </c>
      <c r="AO367" s="249">
        <f>$AN$367+(($AS$367-$AN$367)*0.2)</f>
        <v>2457600</v>
      </c>
      <c r="AP367" s="249">
        <f>$AN$367+(($AS$367-$AN$367)*0.4)</f>
        <v>2867200</v>
      </c>
      <c r="AQ367" s="249">
        <f>$AN$367+(($AS$367-$AN$367)*0.6)</f>
        <v>3276800</v>
      </c>
      <c r="AR367" s="249">
        <f>$AN$367+(($AS$367-$AN$367)*0.8)</f>
        <v>3686400</v>
      </c>
      <c r="AS367" s="249">
        <f>AN367*2</f>
        <v>4096000</v>
      </c>
      <c r="AT367" s="249">
        <f>$AS$367+(($AX$367-$AS$367)*0.2)</f>
        <v>4915200</v>
      </c>
      <c r="AU367" s="249">
        <f>$AS$367+(($AX$367-$AS$367)*0.4)</f>
        <v>5734400</v>
      </c>
      <c r="AV367" s="249">
        <f>$AS$367+(($AX$367-$AS$367)*0.6)</f>
        <v>6553600</v>
      </c>
      <c r="AW367" s="249">
        <f>$AS$367+(($AX$367-$AS$367)*0.8)</f>
        <v>7372800</v>
      </c>
      <c r="AX367" s="249">
        <f>AS367*2</f>
        <v>8192000</v>
      </c>
      <c r="AY367" s="249">
        <f>$AX$367+(($BC$367-$AX$367)*0.2)</f>
        <v>9830400</v>
      </c>
      <c r="AZ367" s="249">
        <f>$AX$367+(($BC$367-$AX$367)*0.4)</f>
        <v>11468800</v>
      </c>
      <c r="BA367" s="249">
        <f>$AX$367+(($BC$367-$AX$367)*0.6)</f>
        <v>13107200</v>
      </c>
      <c r="BB367" s="249">
        <f>$AX$367+(($BC$367-$AX$367)*0.8)</f>
        <v>14745600</v>
      </c>
      <c r="BC367" s="249">
        <f>AX367*2</f>
        <v>16384000</v>
      </c>
      <c r="BD367" s="249">
        <f>$BC$367+(($BH$367-$BC$367)*0.2)</f>
        <v>19660800</v>
      </c>
      <c r="BE367" s="249">
        <f>$BC$367+(($BH$367-$BC$367)*0.4)</f>
        <v>22937600</v>
      </c>
      <c r="BF367" s="249">
        <f>$BC$367+(($BH$367-$BC$367)*0.6)</f>
        <v>26214400</v>
      </c>
      <c r="BG367" s="249">
        <f>$BC$367+(($BH$367-$BC$367)*0.8)</f>
        <v>29491200</v>
      </c>
      <c r="BH367" s="249">
        <f>BC367*2</f>
        <v>32768000</v>
      </c>
      <c r="BI367" s="249">
        <f t="shared" ref="BI367:BK367" si="3">BH367*2</f>
        <v>65536000</v>
      </c>
      <c r="BJ367" s="193">
        <f t="shared" si="3"/>
        <v>131072000</v>
      </c>
      <c r="BK367" s="193">
        <f t="shared" si="3"/>
        <v>262144000</v>
      </c>
      <c r="BL367" s="194">
        <f>B348</f>
        <v>330565500</v>
      </c>
      <c r="BM367" s="201">
        <f>B348</f>
        <v>330565500</v>
      </c>
      <c r="BN367" s="330">
        <f>B348*BN368</f>
        <v>23139585.000000004</v>
      </c>
      <c r="BO367" s="45"/>
      <c r="BP367" s="45"/>
      <c r="BQ367" s="69"/>
    </row>
    <row r="368" spans="1:69" x14ac:dyDescent="0.25">
      <c r="A368" s="41" t="s">
        <v>106</v>
      </c>
      <c r="B368" s="16"/>
      <c r="C368" s="16"/>
      <c r="D368" s="16"/>
      <c r="E368" s="16"/>
      <c r="F368" s="16"/>
      <c r="G368" s="16"/>
      <c r="H368" s="16"/>
      <c r="I368" s="16"/>
      <c r="J368" s="16"/>
      <c r="K368" s="16"/>
      <c r="L368" s="16"/>
      <c r="M368" s="16"/>
      <c r="N368" s="16"/>
      <c r="O368" s="16"/>
      <c r="P368" s="16"/>
      <c r="Q368" s="16"/>
      <c r="R368" s="209">
        <f t="shared" ref="R368:BM368" si="4">R367/$B$348</f>
        <v>9.453497113280122E-8</v>
      </c>
      <c r="S368" s="210">
        <f t="shared" si="4"/>
        <v>1.8906994226560244E-7</v>
      </c>
      <c r="T368" s="210">
        <f t="shared" si="4"/>
        <v>3.7813988453120488E-7</v>
      </c>
      <c r="U368" s="190">
        <f t="shared" si="4"/>
        <v>7.5627976906240976E-7</v>
      </c>
      <c r="V368" s="190">
        <f t="shared" si="4"/>
        <v>1.5125595381248195E-6</v>
      </c>
      <c r="W368" s="190">
        <f t="shared" si="4"/>
        <v>3.025119076249639E-6</v>
      </c>
      <c r="X368" s="190">
        <f t="shared" si="4"/>
        <v>6.0502381524992781E-6</v>
      </c>
      <c r="Y368" s="66">
        <f t="shared" si="4"/>
        <v>1.2100476304998556E-5</v>
      </c>
      <c r="Z368" s="36">
        <f t="shared" si="4"/>
        <v>2.4200952609997112E-5</v>
      </c>
      <c r="AA368" s="36">
        <f t="shared" si="4"/>
        <v>4.8401905219994225E-5</v>
      </c>
      <c r="AB368" s="36">
        <f t="shared" si="4"/>
        <v>9.6803810439988449E-5</v>
      </c>
      <c r="AC368" s="36">
        <f t="shared" si="4"/>
        <v>1.936076208799769E-4</v>
      </c>
      <c r="AD368" s="36">
        <f t="shared" si="4"/>
        <v>3.872152417599538E-4</v>
      </c>
      <c r="AE368" s="14">
        <f t="shared" si="4"/>
        <v>7.7443048351990759E-4</v>
      </c>
      <c r="AF368" s="14">
        <f t="shared" si="4"/>
        <v>1.5488609670398152E-3</v>
      </c>
      <c r="AG368" s="14">
        <f t="shared" si="4"/>
        <v>1.9360762087997688E-3</v>
      </c>
      <c r="AH368" s="14">
        <f t="shared" si="4"/>
        <v>2.3232914505597227E-3</v>
      </c>
      <c r="AI368" s="14">
        <f t="shared" si="4"/>
        <v>2.7105066923196765E-3</v>
      </c>
      <c r="AJ368" s="14">
        <f t="shared" si="4"/>
        <v>3.0977219340796304E-3</v>
      </c>
      <c r="AK368" s="14">
        <f t="shared" si="4"/>
        <v>3.9650840756219269E-3</v>
      </c>
      <c r="AL368" s="14">
        <f t="shared" si="4"/>
        <v>4.6465829011194454E-3</v>
      </c>
      <c r="AM368" s="14">
        <f t="shared" si="4"/>
        <v>5.4210133846393531E-3</v>
      </c>
      <c r="AN368" s="14">
        <f t="shared" si="4"/>
        <v>6.1954438681592608E-3</v>
      </c>
      <c r="AO368" s="15">
        <f t="shared" si="4"/>
        <v>7.4345326417911122E-3</v>
      </c>
      <c r="AP368" s="15">
        <f t="shared" si="4"/>
        <v>8.6736214154229645E-3</v>
      </c>
      <c r="AQ368" s="15">
        <f t="shared" si="4"/>
        <v>9.9127101890548169E-3</v>
      </c>
      <c r="AR368" s="15">
        <f t="shared" si="4"/>
        <v>1.1151798962686669E-2</v>
      </c>
      <c r="AS368" s="15">
        <f t="shared" si="4"/>
        <v>1.2390887736318522E-2</v>
      </c>
      <c r="AT368" s="15">
        <f t="shared" si="4"/>
        <v>1.4869065283582224E-2</v>
      </c>
      <c r="AU368" s="15">
        <f t="shared" si="4"/>
        <v>1.7347242830845929E-2</v>
      </c>
      <c r="AV368" s="15">
        <f t="shared" si="4"/>
        <v>1.9825420378109634E-2</v>
      </c>
      <c r="AW368" s="15">
        <f t="shared" si="4"/>
        <v>2.2303597925373338E-2</v>
      </c>
      <c r="AX368" s="15">
        <f t="shared" si="4"/>
        <v>2.4781775472637043E-2</v>
      </c>
      <c r="AY368" s="15">
        <f t="shared" si="4"/>
        <v>2.9738130567164449E-2</v>
      </c>
      <c r="AZ368" s="15">
        <f t="shared" si="4"/>
        <v>3.4694485661691858E-2</v>
      </c>
      <c r="BA368" s="15">
        <f t="shared" si="4"/>
        <v>3.9650840756219267E-2</v>
      </c>
      <c r="BB368" s="15">
        <f t="shared" si="4"/>
        <v>4.4607195850746677E-2</v>
      </c>
      <c r="BC368" s="15">
        <f t="shared" si="4"/>
        <v>4.9563550945274086E-2</v>
      </c>
      <c r="BD368" s="15">
        <f t="shared" si="4"/>
        <v>5.9476261134328898E-2</v>
      </c>
      <c r="BE368" s="15">
        <f t="shared" si="4"/>
        <v>6.9388971323383716E-2</v>
      </c>
      <c r="BF368" s="15">
        <f t="shared" si="4"/>
        <v>7.9301681512438535E-2</v>
      </c>
      <c r="BG368" s="15">
        <f t="shared" si="4"/>
        <v>8.9214391701493354E-2</v>
      </c>
      <c r="BH368" s="15">
        <f t="shared" si="4"/>
        <v>9.9127101890548172E-2</v>
      </c>
      <c r="BI368" s="15">
        <f t="shared" si="4"/>
        <v>0.19825420378109634</v>
      </c>
      <c r="BJ368" s="214">
        <f>BJ367/$B$348</f>
        <v>0.39650840756219269</v>
      </c>
      <c r="BK368" s="214">
        <f t="shared" si="4"/>
        <v>0.79301681512438538</v>
      </c>
      <c r="BL368" s="175">
        <f t="shared" si="4"/>
        <v>1</v>
      </c>
      <c r="BM368" s="175">
        <f t="shared" si="4"/>
        <v>1</v>
      </c>
      <c r="BN368" s="331">
        <f>B355</f>
        <v>7.0000000000000007E-2</v>
      </c>
      <c r="BO368" s="25"/>
      <c r="BP368" s="25"/>
      <c r="BQ368" s="69"/>
    </row>
    <row r="369" spans="1:69" x14ac:dyDescent="0.25">
      <c r="A369" s="41" t="s">
        <v>154</v>
      </c>
      <c r="B369" s="16"/>
      <c r="C369" s="16"/>
      <c r="D369" s="16"/>
      <c r="E369" s="16"/>
      <c r="F369" s="16"/>
      <c r="G369" s="16"/>
      <c r="H369" s="16"/>
      <c r="I369" s="16"/>
      <c r="J369" s="16"/>
      <c r="K369" s="16"/>
      <c r="L369" s="16"/>
      <c r="M369" s="16"/>
      <c r="N369" s="16"/>
      <c r="O369" s="16"/>
      <c r="P369" s="16"/>
      <c r="Q369" s="16"/>
      <c r="R369" s="241">
        <f t="shared" ref="R369:AA369" si="5">MAX(R367-(R375-R376)-(R377-R378)-(R379-R380),0)</f>
        <v>25.558430925469978</v>
      </c>
      <c r="S369" s="242">
        <f t="shared" si="5"/>
        <v>48.253729583441825</v>
      </c>
      <c r="T369" s="242">
        <f t="shared" si="5"/>
        <v>104.90319014596037</v>
      </c>
      <c r="U369" s="242">
        <f t="shared" si="5"/>
        <v>224.72190063694103</v>
      </c>
      <c r="V369" s="242">
        <f>MAX(V367-(V375-V376)-(V377-V378)-(V379-V380),0)</f>
        <v>468.16151942648673</v>
      </c>
      <c r="W369" s="242">
        <f t="shared" si="5"/>
        <v>955.08635794363818</v>
      </c>
      <c r="X369" s="242">
        <f>MAX(X367-(X375-X376)-(X377-X378)-(X379-X380),0)</f>
        <v>1950.8214285714287</v>
      </c>
      <c r="Y369" s="242">
        <f t="shared" si="5"/>
        <v>3941.9387841598559</v>
      </c>
      <c r="Z369" s="242">
        <f t="shared" si="5"/>
        <v>7899.3926009765419</v>
      </c>
      <c r="AA369" s="242">
        <f t="shared" si="5"/>
        <v>15815.828395301851</v>
      </c>
      <c r="AB369" s="242">
        <f>MAX(AB367-(AB375-AB376)-(AB377-AB378)-(AB379-AB380),0)</f>
        <v>31608.741071428572</v>
      </c>
      <c r="AC369" s="242">
        <f t="shared" ref="AC369:BG369" si="6">MAX(AC367-(AC375-AC376)-(AC377-AC378)-(AC379-AC380),0)</f>
        <v>63059.098214285717</v>
      </c>
      <c r="AD369" s="242">
        <f t="shared" si="6"/>
        <v>125994.22083273345</v>
      </c>
      <c r="AE369" s="242">
        <f t="shared" si="6"/>
        <v>247644.31677867728</v>
      </c>
      <c r="AF369" s="242">
        <f t="shared" si="6"/>
        <v>396143.03571428568</v>
      </c>
      <c r="AG369" s="242">
        <f t="shared" ref="AG369:AI369" si="7">MAX(AG367-(AG375-AG376)-(AG377-AG378)-(AG379-AG380),0)</f>
        <v>384049.59507271118</v>
      </c>
      <c r="AH369" s="242">
        <f t="shared" si="7"/>
        <v>382383.55993767531</v>
      </c>
      <c r="AI369" s="242">
        <f t="shared" si="7"/>
        <v>125243.2884312738</v>
      </c>
      <c r="AJ369" s="242">
        <f t="shared" si="6"/>
        <v>397915.96604280546</v>
      </c>
      <c r="AK369" s="242">
        <f t="shared" ref="AK369:AM369" si="8">MAX(AK367-(AK375-AK376)-(AK377-AK378)-(AK379-AK380),0)</f>
        <v>507697.84403654007</v>
      </c>
      <c r="AL369" s="242">
        <f t="shared" si="8"/>
        <v>132016.89849991287</v>
      </c>
      <c r="AM369" s="242">
        <f t="shared" si="8"/>
        <v>107191.46670723302</v>
      </c>
      <c r="AN369" s="242">
        <f t="shared" si="6"/>
        <v>139160.77936945786</v>
      </c>
      <c r="AO369" s="242">
        <f t="shared" ref="AO369:AR369" si="9">MAX(AO367-(AO375-AO376)-(AO377-AO378)-(AO379-AO380),0)</f>
        <v>308253.04022318515</v>
      </c>
      <c r="AP369" s="242">
        <f t="shared" si="9"/>
        <v>67910.216651757539</v>
      </c>
      <c r="AQ369" s="242">
        <f t="shared" si="9"/>
        <v>455478.67508218018</v>
      </c>
      <c r="AR369" s="242">
        <f t="shared" si="9"/>
        <v>96429.398406896798</v>
      </c>
      <c r="AS369" s="242">
        <f t="shared" si="6"/>
        <v>661994.42465603875</v>
      </c>
      <c r="AT369" s="242">
        <f t="shared" ref="AT369:AW369" si="10">MAX(AT367-(AT375-AT376)-(AT377-AT378)-(AT379-AT380),0)</f>
        <v>148561.67709217669</v>
      </c>
      <c r="AU369" s="242">
        <f t="shared" si="10"/>
        <v>706962.35849848855</v>
      </c>
      <c r="AV369" s="242">
        <f t="shared" si="10"/>
        <v>76097.61299620592</v>
      </c>
      <c r="AW369" s="242">
        <f t="shared" si="10"/>
        <v>50662.09412174602</v>
      </c>
      <c r="AX369" s="242">
        <f t="shared" si="6"/>
        <v>431043.35930411483</v>
      </c>
      <c r="AY369" s="242">
        <f t="shared" ref="AY369:BB369" si="11">MAX(AY367-(AY375-AY376)-(AY377-AY378)-(AY379-AY380),0)</f>
        <v>115835.21077850572</v>
      </c>
      <c r="AZ369" s="242">
        <f t="shared" si="11"/>
        <v>0</v>
      </c>
      <c r="BA369" s="242">
        <f t="shared" si="11"/>
        <v>0</v>
      </c>
      <c r="BB369" s="242">
        <f t="shared" si="11"/>
        <v>0</v>
      </c>
      <c r="BC369" s="242">
        <f t="shared" si="6"/>
        <v>0</v>
      </c>
      <c r="BD369" s="242">
        <f t="shared" si="6"/>
        <v>0</v>
      </c>
      <c r="BE369" s="242">
        <f t="shared" si="6"/>
        <v>0</v>
      </c>
      <c r="BF369" s="242">
        <f t="shared" si="6"/>
        <v>0</v>
      </c>
      <c r="BG369" s="242">
        <f t="shared" si="6"/>
        <v>0</v>
      </c>
      <c r="BH369" s="242">
        <f t="shared" ref="BH369:BL369" si="12">MAX(BH367-(BH375-BH376)-(BH377-BH378)-(BH379-BH380),0)</f>
        <v>0</v>
      </c>
      <c r="BI369" s="242">
        <f t="shared" si="12"/>
        <v>0</v>
      </c>
      <c r="BJ369" s="193">
        <f t="shared" si="12"/>
        <v>0</v>
      </c>
      <c r="BK369" s="193">
        <f t="shared" si="12"/>
        <v>0</v>
      </c>
      <c r="BL369" s="194">
        <f t="shared" si="12"/>
        <v>0</v>
      </c>
      <c r="BM369" s="194">
        <f>MAX(BM367-(BM375-BM376)-(BM377-BM378)-(BM379-BM380),0)</f>
        <v>0</v>
      </c>
      <c r="BN369" s="332"/>
      <c r="BO369" s="45"/>
      <c r="BP369" s="45"/>
      <c r="BQ369" s="69"/>
    </row>
    <row r="370" spans="1:69" x14ac:dyDescent="0.25">
      <c r="A370" s="41" t="s">
        <v>168</v>
      </c>
      <c r="B370" s="16"/>
      <c r="C370" s="16"/>
      <c r="D370" s="16"/>
      <c r="E370" s="16"/>
      <c r="F370" s="16"/>
      <c r="G370" s="16"/>
      <c r="H370" s="16"/>
      <c r="I370" s="16"/>
      <c r="J370" s="16"/>
      <c r="K370" s="16"/>
      <c r="L370" s="16"/>
      <c r="M370" s="16"/>
      <c r="N370" s="16"/>
      <c r="O370" s="16"/>
      <c r="P370" s="16"/>
      <c r="Q370" s="16"/>
      <c r="R370" s="85">
        <f>MAX(R367-R369-R381,0)</f>
        <v>4.9415690745300225</v>
      </c>
      <c r="S370" s="86">
        <f t="shared" ref="S370:U370" si="13">MAX(S367-S369-S381,0)</f>
        <v>12.746270416558175</v>
      </c>
      <c r="T370" s="86">
        <f t="shared" si="13"/>
        <v>17.096809854039634</v>
      </c>
      <c r="U370" s="86">
        <f t="shared" si="13"/>
        <v>19.278099363058971</v>
      </c>
      <c r="V370" s="120">
        <f>MAX(V367-V369-V381,0)</f>
        <v>19.838480573513266</v>
      </c>
      <c r="W370" s="120">
        <f t="shared" ref="W370:BH370" si="14">MAX(W367-W369-W381,0)</f>
        <v>20.913642056361823</v>
      </c>
      <c r="X370" s="120">
        <f t="shared" si="14"/>
        <v>1.1785714285713311</v>
      </c>
      <c r="Y370" s="120">
        <f t="shared" si="14"/>
        <v>0</v>
      </c>
      <c r="Z370" s="120">
        <f t="shared" si="14"/>
        <v>0</v>
      </c>
      <c r="AA370" s="120">
        <f t="shared" si="14"/>
        <v>0</v>
      </c>
      <c r="AB370" s="120">
        <f t="shared" si="14"/>
        <v>0</v>
      </c>
      <c r="AC370" s="120">
        <f t="shared" si="14"/>
        <v>0</v>
      </c>
      <c r="AD370" s="120">
        <f t="shared" si="14"/>
        <v>0</v>
      </c>
      <c r="AE370" s="120">
        <f t="shared" si="14"/>
        <v>2211.6832213227171</v>
      </c>
      <c r="AF370" s="120">
        <f t="shared" si="14"/>
        <v>103568.96428571432</v>
      </c>
      <c r="AG370" s="120">
        <f t="shared" si="14"/>
        <v>240590.40492728882</v>
      </c>
      <c r="AH370" s="120">
        <f t="shared" si="14"/>
        <v>367184.44006232469</v>
      </c>
      <c r="AI370" s="120">
        <f t="shared" si="14"/>
        <v>749252.71156872623</v>
      </c>
      <c r="AJ370" s="120">
        <f t="shared" si="14"/>
        <v>601508.03395719454</v>
      </c>
      <c r="AK370" s="120">
        <f t="shared" si="14"/>
        <v>771564.87596345996</v>
      </c>
      <c r="AL370" s="120">
        <f t="shared" si="14"/>
        <v>1367119.1015000872</v>
      </c>
      <c r="AM370" s="120">
        <f t="shared" si="14"/>
        <v>1641800.5332927669</v>
      </c>
      <c r="AN370" s="120">
        <f t="shared" si="14"/>
        <v>1859687.2206305421</v>
      </c>
      <c r="AO370" s="120">
        <f t="shared" si="14"/>
        <v>2090364.5597768151</v>
      </c>
      <c r="AP370" s="120">
        <f t="shared" si="14"/>
        <v>2730476.9833482425</v>
      </c>
      <c r="AQ370" s="120">
        <f t="shared" si="14"/>
        <v>2742678.1249178196</v>
      </c>
      <c r="AR370" s="120">
        <f t="shared" si="14"/>
        <v>3501497.0015931032</v>
      </c>
      <c r="AS370" s="120">
        <f t="shared" si="14"/>
        <v>3335701.5753439614</v>
      </c>
      <c r="AT370" s="120">
        <f t="shared" si="14"/>
        <v>4648673.5229078233</v>
      </c>
      <c r="AU370" s="120">
        <f t="shared" si="14"/>
        <v>4889812.0415015118</v>
      </c>
      <c r="AV370" s="120">
        <f t="shared" si="14"/>
        <v>6320215.9870037939</v>
      </c>
      <c r="AW370" s="120">
        <f t="shared" si="14"/>
        <v>7145190.705878254</v>
      </c>
      <c r="AX370" s="120">
        <f t="shared" si="14"/>
        <v>7564348.6406958848</v>
      </c>
      <c r="AY370" s="120">
        <f t="shared" si="14"/>
        <v>9478635.1892214939</v>
      </c>
      <c r="AZ370" s="120">
        <f t="shared" si="14"/>
        <v>11193548.800000001</v>
      </c>
      <c r="BA370" s="120">
        <f t="shared" si="14"/>
        <v>12792627.199999999</v>
      </c>
      <c r="BB370" s="120">
        <f t="shared" si="14"/>
        <v>14391705.6</v>
      </c>
      <c r="BC370" s="120">
        <f t="shared" si="14"/>
        <v>15990784</v>
      </c>
      <c r="BD370" s="120">
        <f t="shared" si="14"/>
        <v>19188940.800000001</v>
      </c>
      <c r="BE370" s="120">
        <f t="shared" si="14"/>
        <v>22387097.600000001</v>
      </c>
      <c r="BF370" s="120">
        <f t="shared" si="14"/>
        <v>25585254.399999999</v>
      </c>
      <c r="BG370" s="120">
        <f t="shared" si="14"/>
        <v>28783411.199999999</v>
      </c>
      <c r="BH370" s="120">
        <f t="shared" si="14"/>
        <v>31981568</v>
      </c>
      <c r="BI370" s="120">
        <f>MAX(BI367-BI369-BI381,0)</f>
        <v>63963136</v>
      </c>
      <c r="BJ370" s="204">
        <f t="shared" ref="BJ370:BL370" si="15">MAX(BJ367-BJ369-BJ381,0)</f>
        <v>127926272</v>
      </c>
      <c r="BK370" s="204">
        <f t="shared" si="15"/>
        <v>255852544</v>
      </c>
      <c r="BL370" s="205">
        <f t="shared" si="15"/>
        <v>322631928</v>
      </c>
      <c r="BM370" s="205">
        <f>MAX(BM367-BM369-BM381,0)</f>
        <v>322631928</v>
      </c>
      <c r="BN370" s="333"/>
      <c r="BO370" s="25"/>
      <c r="BP370" s="25"/>
      <c r="BQ370" s="69"/>
    </row>
    <row r="371" spans="1:69" x14ac:dyDescent="0.25">
      <c r="A371" s="4" t="s">
        <v>161</v>
      </c>
      <c r="B371" s="9"/>
      <c r="C371" s="9"/>
      <c r="D371" s="9"/>
      <c r="E371" s="9"/>
      <c r="F371" s="9"/>
      <c r="G371" s="9"/>
      <c r="H371" s="9"/>
      <c r="I371" s="9"/>
      <c r="J371" s="9"/>
      <c r="K371" s="9"/>
      <c r="L371" s="9"/>
      <c r="M371" s="9"/>
      <c r="N371" s="9"/>
      <c r="O371" s="9"/>
      <c r="P371" s="9"/>
      <c r="Q371" s="5"/>
      <c r="R371" s="191">
        <f t="shared" ref="R371:AF371" si="16">R367/$B$354</f>
        <v>53.571428571428569</v>
      </c>
      <c r="S371" s="192">
        <f t="shared" si="16"/>
        <v>107.14285714285714</v>
      </c>
      <c r="T371" s="192">
        <f t="shared" si="16"/>
        <v>214.28571428571428</v>
      </c>
      <c r="U371" s="192">
        <f t="shared" si="16"/>
        <v>428.57142857142856</v>
      </c>
      <c r="V371" s="192">
        <f t="shared" si="16"/>
        <v>857.14285714285711</v>
      </c>
      <c r="W371" s="192">
        <f t="shared" si="16"/>
        <v>1714.2857142857142</v>
      </c>
      <c r="X371" s="192">
        <f>X367/$B$354</f>
        <v>3428.5714285714284</v>
      </c>
      <c r="Y371" s="192">
        <f t="shared" si="16"/>
        <v>6857.1428571428569</v>
      </c>
      <c r="Z371" s="192">
        <f t="shared" si="16"/>
        <v>13714.285714285714</v>
      </c>
      <c r="AA371" s="192">
        <f t="shared" si="16"/>
        <v>27428.571428571428</v>
      </c>
      <c r="AB371" s="192">
        <f t="shared" si="16"/>
        <v>54857.142857142855</v>
      </c>
      <c r="AC371" s="192">
        <f t="shared" si="16"/>
        <v>109714.28571428571</v>
      </c>
      <c r="AD371" s="192">
        <f t="shared" si="16"/>
        <v>219428.57142857142</v>
      </c>
      <c r="AE371" s="192">
        <f t="shared" si="16"/>
        <v>438857.14285714284</v>
      </c>
      <c r="AF371" s="192">
        <f t="shared" si="16"/>
        <v>877714.28571428568</v>
      </c>
      <c r="AG371" s="192">
        <f t="shared" ref="AG371:AI371" si="17">AG367/$B$354</f>
        <v>1097142.857142857</v>
      </c>
      <c r="AH371" s="192">
        <f t="shared" si="17"/>
        <v>1316571.4285714284</v>
      </c>
      <c r="AI371" s="192">
        <f t="shared" si="17"/>
        <v>1536000</v>
      </c>
      <c r="AJ371" s="192">
        <f>AJ367/$B$354</f>
        <v>1755428.5714285714</v>
      </c>
      <c r="AK371" s="192">
        <f t="shared" ref="AK371:AM371" si="18">AK367/$B$354</f>
        <v>2246948.5714285714</v>
      </c>
      <c r="AL371" s="192">
        <f t="shared" si="18"/>
        <v>2633142.8571428568</v>
      </c>
      <c r="AM371" s="192">
        <f t="shared" si="18"/>
        <v>3072000</v>
      </c>
      <c r="AN371" s="192">
        <f>AN367/$B$354</f>
        <v>3510857.1428571427</v>
      </c>
      <c r="AO371" s="192">
        <f t="shared" ref="AO371:AR371" si="19">AO367/$B$354</f>
        <v>4213028.5714285709</v>
      </c>
      <c r="AP371" s="192">
        <f t="shared" si="19"/>
        <v>4915200</v>
      </c>
      <c r="AQ371" s="192">
        <f t="shared" si="19"/>
        <v>5617371.4285714282</v>
      </c>
      <c r="AR371" s="192">
        <f t="shared" si="19"/>
        <v>6319542.8571428563</v>
      </c>
      <c r="AS371" s="192">
        <f>AS367/$B$354</f>
        <v>7021714.2857142854</v>
      </c>
      <c r="AT371" s="192">
        <f t="shared" ref="AT371:AW371" si="20">AT367/$B$354</f>
        <v>8426057.1428571418</v>
      </c>
      <c r="AU371" s="192">
        <f t="shared" si="20"/>
        <v>9830400</v>
      </c>
      <c r="AV371" s="192">
        <f t="shared" si="20"/>
        <v>11234742.857142856</v>
      </c>
      <c r="AW371" s="192">
        <f t="shared" si="20"/>
        <v>12639085.714285713</v>
      </c>
      <c r="AX371" s="192">
        <f>AX367/$B$354</f>
        <v>14043428.571428571</v>
      </c>
      <c r="AY371" s="192">
        <f t="shared" ref="AY371:BB371" si="21">AY367/$B$354</f>
        <v>16852114.285714284</v>
      </c>
      <c r="AZ371" s="192">
        <f t="shared" si="21"/>
        <v>19660800</v>
      </c>
      <c r="BA371" s="192">
        <f t="shared" si="21"/>
        <v>22469485.714285713</v>
      </c>
      <c r="BB371" s="192">
        <f t="shared" si="21"/>
        <v>25278171.428571425</v>
      </c>
      <c r="BC371" s="192">
        <f t="shared" ref="BC371:BH371" si="22">BC367/$B$354</f>
        <v>28086857.142857142</v>
      </c>
      <c r="BD371" s="192">
        <f t="shared" si="22"/>
        <v>33704228.571428567</v>
      </c>
      <c r="BE371" s="192">
        <f t="shared" si="22"/>
        <v>39321600</v>
      </c>
      <c r="BF371" s="192">
        <f t="shared" si="22"/>
        <v>44938971.428571425</v>
      </c>
      <c r="BG371" s="192">
        <f t="shared" si="22"/>
        <v>50556342.857142851</v>
      </c>
      <c r="BH371" s="192">
        <f t="shared" si="22"/>
        <v>56173714.285714284</v>
      </c>
      <c r="BI371" s="192">
        <f>BI367/$B$354</f>
        <v>112347428.57142857</v>
      </c>
      <c r="BJ371" s="193">
        <f>BJ367/$B$354</f>
        <v>224694857.14285713</v>
      </c>
      <c r="BK371" s="193">
        <f>$B$348</f>
        <v>330565500</v>
      </c>
      <c r="BL371" s="194">
        <f>$B$348</f>
        <v>330565500</v>
      </c>
      <c r="BM371" s="193">
        <f>BM367</f>
        <v>330565500</v>
      </c>
      <c r="BN371" s="229">
        <f>($B$348*$B$355)/$B$354</f>
        <v>39667860.000000007</v>
      </c>
      <c r="BO371" s="25"/>
      <c r="BP371" s="25"/>
      <c r="BQ371" s="69"/>
    </row>
    <row r="372" spans="1:69" x14ac:dyDescent="0.25">
      <c r="A372" s="41" t="s">
        <v>110</v>
      </c>
      <c r="B372" s="16"/>
      <c r="C372" s="16"/>
      <c r="D372" s="16"/>
      <c r="E372" s="16"/>
      <c r="F372" s="16"/>
      <c r="G372" s="16"/>
      <c r="H372" s="16"/>
      <c r="I372" s="16"/>
      <c r="J372" s="16"/>
      <c r="K372" s="16"/>
      <c r="L372" s="16"/>
      <c r="M372" s="16"/>
      <c r="N372" s="16"/>
      <c r="O372" s="16"/>
      <c r="P372" s="16"/>
      <c r="Q372" s="17"/>
      <c r="R372" s="189">
        <f t="shared" ref="R372:BL372" si="23">R371/$B$348</f>
        <v>1.620599505133735E-7</v>
      </c>
      <c r="S372" s="190">
        <f t="shared" si="23"/>
        <v>3.24119901026747E-7</v>
      </c>
      <c r="T372" s="190">
        <f t="shared" si="23"/>
        <v>6.48239802053494E-7</v>
      </c>
      <c r="U372" s="66">
        <f t="shared" si="23"/>
        <v>1.296479604106988E-6</v>
      </c>
      <c r="V372" s="66">
        <f t="shared" si="23"/>
        <v>2.592959208213976E-6</v>
      </c>
      <c r="W372" s="66">
        <f t="shared" si="23"/>
        <v>5.185918416427952E-6</v>
      </c>
      <c r="X372" s="66">
        <f t="shared" si="23"/>
        <v>1.0371836832855904E-5</v>
      </c>
      <c r="Y372" s="66">
        <f t="shared" si="23"/>
        <v>2.0743673665711808E-5</v>
      </c>
      <c r="Z372" s="36">
        <f t="shared" si="23"/>
        <v>4.1487347331423616E-5</v>
      </c>
      <c r="AA372" s="36">
        <f t="shared" si="23"/>
        <v>8.2974694662847233E-5</v>
      </c>
      <c r="AB372" s="36">
        <f t="shared" si="23"/>
        <v>1.6594938932569447E-4</v>
      </c>
      <c r="AC372" s="36">
        <f t="shared" si="23"/>
        <v>3.3189877865138893E-4</v>
      </c>
      <c r="AD372" s="14">
        <f t="shared" si="23"/>
        <v>6.6379755730277786E-4</v>
      </c>
      <c r="AE372" s="15">
        <f t="shared" si="23"/>
        <v>1.3275951146055557E-3</v>
      </c>
      <c r="AF372" s="15">
        <f t="shared" si="23"/>
        <v>2.6551902292111114E-3</v>
      </c>
      <c r="AG372" s="15">
        <f t="shared" si="23"/>
        <v>3.3189877865138894E-3</v>
      </c>
      <c r="AH372" s="15">
        <f t="shared" si="23"/>
        <v>3.9827853438166669E-3</v>
      </c>
      <c r="AI372" s="15">
        <f t="shared" si="23"/>
        <v>4.6465829011194454E-3</v>
      </c>
      <c r="AJ372" s="15">
        <f t="shared" si="23"/>
        <v>5.3103804584222229E-3</v>
      </c>
      <c r="AK372" s="15">
        <f t="shared" si="23"/>
        <v>6.7972869867804452E-3</v>
      </c>
      <c r="AL372" s="15">
        <f t="shared" si="23"/>
        <v>7.9655706876333339E-3</v>
      </c>
      <c r="AM372" s="15">
        <f t="shared" si="23"/>
        <v>9.2931658022388907E-3</v>
      </c>
      <c r="AN372" s="15">
        <f t="shared" si="23"/>
        <v>1.0620760916844446E-2</v>
      </c>
      <c r="AO372" s="15">
        <f t="shared" si="23"/>
        <v>1.2744913100213334E-2</v>
      </c>
      <c r="AP372" s="15">
        <f t="shared" si="23"/>
        <v>1.4869065283582224E-2</v>
      </c>
      <c r="AQ372" s="15">
        <f t="shared" si="23"/>
        <v>1.6993217466951115E-2</v>
      </c>
      <c r="AR372" s="15">
        <f t="shared" si="23"/>
        <v>1.9117369650320001E-2</v>
      </c>
      <c r="AS372" s="15">
        <f t="shared" si="23"/>
        <v>2.1241521833688892E-2</v>
      </c>
      <c r="AT372" s="15">
        <f t="shared" si="23"/>
        <v>2.5489826200426668E-2</v>
      </c>
      <c r="AU372" s="15">
        <f t="shared" si="23"/>
        <v>2.9738130567164449E-2</v>
      </c>
      <c r="AV372" s="15">
        <f t="shared" si="23"/>
        <v>3.3986434933902229E-2</v>
      </c>
      <c r="AW372" s="15">
        <f t="shared" si="23"/>
        <v>3.8234739300640003E-2</v>
      </c>
      <c r="AX372" s="15">
        <f t="shared" si="23"/>
        <v>4.2483043667377783E-2</v>
      </c>
      <c r="AY372" s="15">
        <f t="shared" si="23"/>
        <v>5.0979652400853337E-2</v>
      </c>
      <c r="AZ372" s="15">
        <f t="shared" si="23"/>
        <v>5.9476261134328898E-2</v>
      </c>
      <c r="BA372" s="15">
        <f t="shared" si="23"/>
        <v>6.7972869867804458E-2</v>
      </c>
      <c r="BB372" s="75">
        <f t="shared" si="23"/>
        <v>7.6469478601280005E-2</v>
      </c>
      <c r="BC372" s="75">
        <f t="shared" si="23"/>
        <v>8.4966087334755566E-2</v>
      </c>
      <c r="BD372" s="75">
        <f t="shared" si="23"/>
        <v>0.10195930480170667</v>
      </c>
      <c r="BE372" s="75">
        <f t="shared" si="23"/>
        <v>0.1189525222686578</v>
      </c>
      <c r="BF372" s="75">
        <f t="shared" si="23"/>
        <v>0.13594573973560892</v>
      </c>
      <c r="BG372" s="75">
        <f t="shared" si="23"/>
        <v>0.15293895720256001</v>
      </c>
      <c r="BH372" s="75">
        <f t="shared" si="23"/>
        <v>0.16993217466951113</v>
      </c>
      <c r="BI372" s="75">
        <f t="shared" si="23"/>
        <v>0.33986434933902226</v>
      </c>
      <c r="BJ372" s="174">
        <f t="shared" si="23"/>
        <v>0.67972869867804453</v>
      </c>
      <c r="BK372" s="174">
        <f t="shared" si="23"/>
        <v>1</v>
      </c>
      <c r="BL372" s="175">
        <f t="shared" si="23"/>
        <v>1</v>
      </c>
      <c r="BM372" s="174">
        <v>1</v>
      </c>
      <c r="BN372" s="228">
        <f>BN371/B348</f>
        <v>0.12000000000000002</v>
      </c>
      <c r="BO372" s="25"/>
      <c r="BP372" s="25"/>
      <c r="BQ372" s="69"/>
    </row>
    <row r="373" spans="1:69" x14ac:dyDescent="0.25">
      <c r="A373" s="41" t="s">
        <v>159</v>
      </c>
      <c r="B373" s="16"/>
      <c r="C373" s="16"/>
      <c r="D373" s="16"/>
      <c r="E373" s="16"/>
      <c r="F373" s="16"/>
      <c r="G373" s="16"/>
      <c r="H373" s="16"/>
      <c r="I373" s="16"/>
      <c r="J373" s="16"/>
      <c r="K373" s="16"/>
      <c r="L373" s="16"/>
      <c r="M373" s="16"/>
      <c r="N373" s="16"/>
      <c r="O373" s="16"/>
      <c r="P373" s="16"/>
      <c r="Q373" s="17"/>
      <c r="R373" s="191">
        <f>R371-R367</f>
        <v>22.321428571428569</v>
      </c>
      <c r="S373" s="192">
        <f t="shared" ref="S373:AW373" si="24">S371-S367</f>
        <v>44.642857142857139</v>
      </c>
      <c r="T373" s="192">
        <f t="shared" si="24"/>
        <v>89.285714285714278</v>
      </c>
      <c r="U373" s="192">
        <f t="shared" si="24"/>
        <v>178.57142857142856</v>
      </c>
      <c r="V373" s="192">
        <f>V371-V367</f>
        <v>357.14285714285711</v>
      </c>
      <c r="W373" s="192">
        <f t="shared" si="24"/>
        <v>714.28571428571422</v>
      </c>
      <c r="X373" s="192">
        <f t="shared" si="24"/>
        <v>1428.5714285714284</v>
      </c>
      <c r="Y373" s="192">
        <f t="shared" si="24"/>
        <v>2857.1428571428569</v>
      </c>
      <c r="Z373" s="192">
        <f t="shared" si="24"/>
        <v>5714.2857142857138</v>
      </c>
      <c r="AA373" s="192">
        <f t="shared" si="24"/>
        <v>11428.571428571428</v>
      </c>
      <c r="AB373" s="192">
        <f t="shared" si="24"/>
        <v>22857.142857142855</v>
      </c>
      <c r="AC373" s="192">
        <f t="shared" si="24"/>
        <v>45714.28571428571</v>
      </c>
      <c r="AD373" s="192">
        <f t="shared" si="24"/>
        <v>91428.57142857142</v>
      </c>
      <c r="AE373" s="192">
        <f t="shared" si="24"/>
        <v>182857.14285714284</v>
      </c>
      <c r="AF373" s="192">
        <f t="shared" si="24"/>
        <v>365714.28571428568</v>
      </c>
      <c r="AG373" s="192">
        <f t="shared" ref="AG373:AI373" si="25">AG371-AG367</f>
        <v>457142.85714285704</v>
      </c>
      <c r="AH373" s="192">
        <f t="shared" si="25"/>
        <v>548571.42857142841</v>
      </c>
      <c r="AI373" s="192">
        <f t="shared" si="25"/>
        <v>640000</v>
      </c>
      <c r="AJ373" s="192">
        <f t="shared" si="24"/>
        <v>731428.57142857136</v>
      </c>
      <c r="AK373" s="192">
        <f t="shared" ref="AK373:AM373" si="26">AK371-AK367</f>
        <v>936228.57142857136</v>
      </c>
      <c r="AL373" s="192">
        <f t="shared" si="26"/>
        <v>1097142.8571428568</v>
      </c>
      <c r="AM373" s="192">
        <f t="shared" si="26"/>
        <v>1280000</v>
      </c>
      <c r="AN373" s="192">
        <f t="shared" si="24"/>
        <v>1462857.1428571427</v>
      </c>
      <c r="AO373" s="192">
        <f t="shared" ref="AO373:AR373" si="27">AO371-AO367</f>
        <v>1755428.5714285709</v>
      </c>
      <c r="AP373" s="192">
        <f t="shared" si="27"/>
        <v>2048000</v>
      </c>
      <c r="AQ373" s="192">
        <f t="shared" si="27"/>
        <v>2340571.4285714282</v>
      </c>
      <c r="AR373" s="192">
        <f t="shared" si="27"/>
        <v>2633142.8571428563</v>
      </c>
      <c r="AS373" s="192">
        <f t="shared" si="24"/>
        <v>2925714.2857142854</v>
      </c>
      <c r="AT373" s="192">
        <f t="shared" si="24"/>
        <v>3510857.1428571418</v>
      </c>
      <c r="AU373" s="192">
        <f t="shared" si="24"/>
        <v>4096000</v>
      </c>
      <c r="AV373" s="192">
        <f t="shared" si="24"/>
        <v>4681142.8571428563</v>
      </c>
      <c r="AW373" s="192">
        <f t="shared" si="24"/>
        <v>5266285.7142857127</v>
      </c>
      <c r="AX373" s="192">
        <f>AX371-AX367</f>
        <v>5851428.5714285709</v>
      </c>
      <c r="AY373" s="192">
        <f t="shared" ref="AY373:BB373" si="28">AY371-AY367</f>
        <v>7021714.2857142836</v>
      </c>
      <c r="AZ373" s="192">
        <f t="shared" si="28"/>
        <v>8192000</v>
      </c>
      <c r="BA373" s="192">
        <f t="shared" si="28"/>
        <v>9362285.7142857127</v>
      </c>
      <c r="BB373" s="192">
        <f t="shared" si="28"/>
        <v>10532571.428571425</v>
      </c>
      <c r="BC373" s="192">
        <f>BC371-BC367</f>
        <v>11702857.142857142</v>
      </c>
      <c r="BD373" s="192">
        <f t="shared" ref="BD373:BG373" si="29">BD371-BD367</f>
        <v>14043428.571428567</v>
      </c>
      <c r="BE373" s="192">
        <f t="shared" si="29"/>
        <v>16384000</v>
      </c>
      <c r="BF373" s="192">
        <f t="shared" si="29"/>
        <v>18724571.428571425</v>
      </c>
      <c r="BG373" s="192">
        <f t="shared" si="29"/>
        <v>21065142.857142851</v>
      </c>
      <c r="BH373" s="192">
        <f>BH371-BH367</f>
        <v>23405714.285714284</v>
      </c>
      <c r="BI373" s="192">
        <f t="shared" ref="BI373:BL373" si="30">BI371</f>
        <v>112347428.57142857</v>
      </c>
      <c r="BJ373" s="193">
        <f t="shared" si="30"/>
        <v>224694857.14285713</v>
      </c>
      <c r="BK373" s="193">
        <f t="shared" si="30"/>
        <v>330565500</v>
      </c>
      <c r="BL373" s="194">
        <f t="shared" si="30"/>
        <v>330565500</v>
      </c>
      <c r="BM373" s="193">
        <f>BM371</f>
        <v>330565500</v>
      </c>
      <c r="BN373" s="230">
        <f>BN371-BN367</f>
        <v>16528275.000000004</v>
      </c>
      <c r="BO373" s="25"/>
      <c r="BP373" s="25"/>
      <c r="BQ373" s="69"/>
    </row>
    <row r="374" spans="1:69" x14ac:dyDescent="0.25">
      <c r="A374" s="37" t="s">
        <v>160</v>
      </c>
      <c r="B374" s="39"/>
      <c r="C374" s="39"/>
      <c r="D374" s="39"/>
      <c r="E374" s="39"/>
      <c r="F374" s="39"/>
      <c r="G374" s="39"/>
      <c r="H374" s="39"/>
      <c r="I374" s="39"/>
      <c r="J374" s="39"/>
      <c r="K374" s="39"/>
      <c r="L374" s="39"/>
      <c r="M374" s="39"/>
      <c r="N374" s="39"/>
      <c r="O374" s="39"/>
      <c r="P374" s="39"/>
      <c r="Q374" s="63"/>
      <c r="R374" s="198">
        <f>MIN((1/$B$354)*(2^(((R366 - 14) - $B$363)/$R$391)),R373)</f>
        <v>12.045648834984172</v>
      </c>
      <c r="S374" s="199">
        <f>MIN((1/$B$354)*(2^(((S366 - 14) - $B$363)/$R$391)),S373)</f>
        <v>30.150836860440574</v>
      </c>
      <c r="T374" s="199">
        <f>MIN((1/$B$354)*(2^(((T366 - 14) - $B$363)/$R$391)),T373)</f>
        <v>42.532930908020376</v>
      </c>
      <c r="U374" s="199">
        <f>MIN((1/$B$354)*(2^(((U366 - 14) - $B$363)/$R$391)),U373)</f>
        <v>53.498622990600992</v>
      </c>
      <c r="V374" s="192">
        <f t="shared" ref="V374:BM374" si="31">MIN(($R$367/$B$354)*(2^(((V366 - 14) - $R$366)/HLOOKUP((V366-14)-$B$363,$R$389:$BN$391,3,TRUE))),V373)</f>
        <v>67.383027668811081</v>
      </c>
      <c r="W374" s="192">
        <f t="shared" si="31"/>
        <v>95.055327103411187</v>
      </c>
      <c r="X374" s="192">
        <f t="shared" si="31"/>
        <v>104.08163265306121</v>
      </c>
      <c r="Y374" s="192">
        <f t="shared" si="31"/>
        <v>122.88088008496122</v>
      </c>
      <c r="Z374" s="192">
        <f t="shared" si="31"/>
        <v>212.92571221895884</v>
      </c>
      <c r="AA374" s="192">
        <f t="shared" si="31"/>
        <v>389.78117396433669</v>
      </c>
      <c r="AB374" s="192">
        <f t="shared" si="31"/>
        <v>828.06122448979568</v>
      </c>
      <c r="AC374" s="192">
        <f t="shared" si="31"/>
        <v>1991.3265306122444</v>
      </c>
      <c r="AD374" s="192">
        <f t="shared" si="31"/>
        <v>4241.3265306122439</v>
      </c>
      <c r="AE374" s="192">
        <f t="shared" si="31"/>
        <v>17677.40498389785</v>
      </c>
      <c r="AF374" s="192">
        <f t="shared" si="31"/>
        <v>191002.04081632654</v>
      </c>
      <c r="AG374" s="192">
        <f t="shared" si="31"/>
        <v>457142.85714285704</v>
      </c>
      <c r="AH374" s="192">
        <f t="shared" si="31"/>
        <v>548571.42857142841</v>
      </c>
      <c r="AI374" s="192">
        <f t="shared" si="31"/>
        <v>640000</v>
      </c>
      <c r="AJ374" s="192">
        <f t="shared" si="31"/>
        <v>731428.57142857136</v>
      </c>
      <c r="AK374" s="192">
        <f t="shared" si="31"/>
        <v>936228.57142857136</v>
      </c>
      <c r="AL374" s="192">
        <f t="shared" si="31"/>
        <v>1097142.8571428568</v>
      </c>
      <c r="AM374" s="192">
        <f t="shared" si="31"/>
        <v>1280000</v>
      </c>
      <c r="AN374" s="192">
        <f t="shared" si="31"/>
        <v>1462857.1428571427</v>
      </c>
      <c r="AO374" s="192">
        <f t="shared" si="31"/>
        <v>1755428.5714285709</v>
      </c>
      <c r="AP374" s="192">
        <f t="shared" si="31"/>
        <v>2048000</v>
      </c>
      <c r="AQ374" s="192">
        <f t="shared" si="31"/>
        <v>2340571.4285714282</v>
      </c>
      <c r="AR374" s="192">
        <f t="shared" si="31"/>
        <v>2633142.8571428563</v>
      </c>
      <c r="AS374" s="192">
        <f t="shared" si="31"/>
        <v>2925714.2857142854</v>
      </c>
      <c r="AT374" s="192">
        <f t="shared" si="31"/>
        <v>3510857.1428571418</v>
      </c>
      <c r="AU374" s="192">
        <f t="shared" si="31"/>
        <v>4096000</v>
      </c>
      <c r="AV374" s="192">
        <f t="shared" si="31"/>
        <v>4681142.8571428563</v>
      </c>
      <c r="AW374" s="192">
        <f t="shared" si="31"/>
        <v>5266285.7142857127</v>
      </c>
      <c r="AX374" s="192">
        <f t="shared" si="31"/>
        <v>5851428.5714285709</v>
      </c>
      <c r="AY374" s="192">
        <f t="shared" si="31"/>
        <v>7021714.2857142836</v>
      </c>
      <c r="AZ374" s="192">
        <f t="shared" si="31"/>
        <v>8192000</v>
      </c>
      <c r="BA374" s="192">
        <f t="shared" si="31"/>
        <v>9362285.7142857127</v>
      </c>
      <c r="BB374" s="192">
        <f t="shared" si="31"/>
        <v>10532571.428571425</v>
      </c>
      <c r="BC374" s="192">
        <f t="shared" si="31"/>
        <v>11702857.142857142</v>
      </c>
      <c r="BD374" s="192">
        <f t="shared" si="31"/>
        <v>14043428.571428567</v>
      </c>
      <c r="BE374" s="192">
        <f t="shared" si="31"/>
        <v>16384000</v>
      </c>
      <c r="BF374" s="192">
        <f t="shared" si="31"/>
        <v>18724571.428571425</v>
      </c>
      <c r="BG374" s="192">
        <f t="shared" si="31"/>
        <v>21065142.857142851</v>
      </c>
      <c r="BH374" s="192">
        <f t="shared" si="31"/>
        <v>23405714.285714284</v>
      </c>
      <c r="BI374" s="192">
        <f t="shared" si="31"/>
        <v>112347428.57142857</v>
      </c>
      <c r="BJ374" s="195">
        <f t="shared" si="31"/>
        <v>224694857.14285713</v>
      </c>
      <c r="BK374" s="195">
        <f t="shared" si="31"/>
        <v>330565500</v>
      </c>
      <c r="BL374" s="196">
        <f t="shared" si="31"/>
        <v>330565500</v>
      </c>
      <c r="BM374" s="195">
        <f t="shared" si="31"/>
        <v>330565500</v>
      </c>
      <c r="BN374" s="230"/>
      <c r="BO374" s="25"/>
      <c r="BP374" s="25"/>
      <c r="BQ374" s="69"/>
    </row>
    <row r="375" spans="1:69" x14ac:dyDescent="0.25">
      <c r="A375" s="41" t="s">
        <v>157</v>
      </c>
      <c r="B375" s="16"/>
      <c r="C375" s="16"/>
      <c r="D375" s="16"/>
      <c r="E375" s="16"/>
      <c r="F375" s="16"/>
      <c r="G375" s="16"/>
      <c r="H375" s="16"/>
      <c r="I375" s="16"/>
      <c r="J375" s="16"/>
      <c r="K375" s="16"/>
      <c r="L375" s="16"/>
      <c r="M375" s="16"/>
      <c r="N375" s="16"/>
      <c r="O375" s="16"/>
      <c r="P375" s="16"/>
      <c r="Q375" s="16"/>
      <c r="R375" s="206">
        <f t="shared" ref="R375:BM375" si="32">R367*$B$359</f>
        <v>25.3125</v>
      </c>
      <c r="S375" s="207">
        <f t="shared" si="32"/>
        <v>50.625</v>
      </c>
      <c r="T375" s="207">
        <f t="shared" si="32"/>
        <v>101.25</v>
      </c>
      <c r="U375" s="207">
        <f t="shared" si="32"/>
        <v>202.5</v>
      </c>
      <c r="V375" s="207">
        <f t="shared" si="32"/>
        <v>405</v>
      </c>
      <c r="W375" s="207">
        <f t="shared" si="32"/>
        <v>810</v>
      </c>
      <c r="X375" s="207">
        <f t="shared" si="32"/>
        <v>1620</v>
      </c>
      <c r="Y375" s="207">
        <f t="shared" si="32"/>
        <v>3240</v>
      </c>
      <c r="Z375" s="207">
        <f t="shared" si="32"/>
        <v>6480</v>
      </c>
      <c r="AA375" s="207">
        <f t="shared" si="32"/>
        <v>12960</v>
      </c>
      <c r="AB375" s="207">
        <f t="shared" si="32"/>
        <v>25920</v>
      </c>
      <c r="AC375" s="207">
        <f t="shared" si="32"/>
        <v>51840</v>
      </c>
      <c r="AD375" s="207">
        <f t="shared" si="32"/>
        <v>103680</v>
      </c>
      <c r="AE375" s="207">
        <f t="shared" si="32"/>
        <v>207360</v>
      </c>
      <c r="AF375" s="207">
        <f t="shared" si="32"/>
        <v>414720</v>
      </c>
      <c r="AG375" s="207">
        <f t="shared" ref="AG375:AI375" si="33">AG367*$B$359</f>
        <v>518400.00000000006</v>
      </c>
      <c r="AH375" s="207">
        <f t="shared" si="33"/>
        <v>622080</v>
      </c>
      <c r="AI375" s="207">
        <f t="shared" si="33"/>
        <v>725760</v>
      </c>
      <c r="AJ375" s="207">
        <f t="shared" si="32"/>
        <v>829440</v>
      </c>
      <c r="AK375" s="207">
        <f t="shared" ref="AK375:AM375" si="34">AK367*$B$359</f>
        <v>1061683.2000000002</v>
      </c>
      <c r="AL375" s="207">
        <f t="shared" si="34"/>
        <v>1244160</v>
      </c>
      <c r="AM375" s="207">
        <f t="shared" si="34"/>
        <v>1451520</v>
      </c>
      <c r="AN375" s="207">
        <f t="shared" si="32"/>
        <v>1658880</v>
      </c>
      <c r="AO375" s="207">
        <f t="shared" ref="AO375:AR375" si="35">AO367*$B$359</f>
        <v>1990656.0000000002</v>
      </c>
      <c r="AP375" s="207">
        <f t="shared" si="35"/>
        <v>2322432</v>
      </c>
      <c r="AQ375" s="207">
        <f t="shared" si="35"/>
        <v>2654208</v>
      </c>
      <c r="AR375" s="207">
        <f t="shared" si="35"/>
        <v>2985984</v>
      </c>
      <c r="AS375" s="207">
        <f t="shared" si="32"/>
        <v>3317760</v>
      </c>
      <c r="AT375" s="207">
        <f t="shared" ref="AT375:AW375" si="36">AT367*$B$359</f>
        <v>3981312.0000000005</v>
      </c>
      <c r="AU375" s="207">
        <f t="shared" si="36"/>
        <v>4644864</v>
      </c>
      <c r="AV375" s="207">
        <f t="shared" si="36"/>
        <v>5308416</v>
      </c>
      <c r="AW375" s="207">
        <f t="shared" si="36"/>
        <v>5971968</v>
      </c>
      <c r="AX375" s="207">
        <f t="shared" si="32"/>
        <v>6635520</v>
      </c>
      <c r="AY375" s="207">
        <f t="shared" ref="AY375:BB375" si="37">AY367*$B$359</f>
        <v>7962624.0000000009</v>
      </c>
      <c r="AZ375" s="207">
        <f t="shared" si="37"/>
        <v>9289728</v>
      </c>
      <c r="BA375" s="207">
        <f t="shared" si="37"/>
        <v>10616832</v>
      </c>
      <c r="BB375" s="207">
        <f t="shared" si="37"/>
        <v>11943936</v>
      </c>
      <c r="BC375" s="207">
        <f t="shared" si="32"/>
        <v>13271040</v>
      </c>
      <c r="BD375" s="207">
        <f t="shared" si="32"/>
        <v>15925248.000000002</v>
      </c>
      <c r="BE375" s="207">
        <f t="shared" si="32"/>
        <v>18579456</v>
      </c>
      <c r="BF375" s="207">
        <f t="shared" si="32"/>
        <v>21233664</v>
      </c>
      <c r="BG375" s="207">
        <f t="shared" si="32"/>
        <v>23887872</v>
      </c>
      <c r="BH375" s="207">
        <f t="shared" ref="BH375:BL375" si="38">BH367*$B$359</f>
        <v>26542080</v>
      </c>
      <c r="BI375" s="207">
        <f t="shared" si="38"/>
        <v>53084160</v>
      </c>
      <c r="BJ375" s="200">
        <f t="shared" si="38"/>
        <v>106168320</v>
      </c>
      <c r="BK375" s="200">
        <f t="shared" si="38"/>
        <v>212336640</v>
      </c>
      <c r="BL375" s="201">
        <f t="shared" si="38"/>
        <v>267758055.00000003</v>
      </c>
      <c r="BM375" s="193">
        <f t="shared" si="32"/>
        <v>267758055.00000003</v>
      </c>
      <c r="BN375" s="230">
        <f>BN367*B359</f>
        <v>18743063.850000005</v>
      </c>
      <c r="BO375" s="25"/>
      <c r="BP375" s="25"/>
      <c r="BQ375" s="69"/>
    </row>
    <row r="376" spans="1:69" x14ac:dyDescent="0.25">
      <c r="A376" s="41" t="s">
        <v>169</v>
      </c>
      <c r="B376" s="16"/>
      <c r="C376" s="16"/>
      <c r="D376" s="16"/>
      <c r="E376" s="16"/>
      <c r="F376" s="16"/>
      <c r="G376" s="16"/>
      <c r="H376" s="16"/>
      <c r="I376" s="16"/>
      <c r="J376" s="16"/>
      <c r="K376" s="16"/>
      <c r="L376" s="16"/>
      <c r="M376" s="16"/>
      <c r="N376" s="16"/>
      <c r="O376" s="16"/>
      <c r="P376" s="16"/>
      <c r="Q376" s="16"/>
      <c r="R376" s="198">
        <f>R375-(1*$B$359)*(2^(((R366 - 14) - $B$363)/$R$391))</f>
        <v>19.620930925469978</v>
      </c>
      <c r="S376" s="199">
        <f>S375-(1*$B$359)*(2^(((S366 - 14) - $B$363)/$R$391))</f>
        <v>36.378729583441825</v>
      </c>
      <c r="T376" s="199">
        <f>T375-(1*$B$359)*(2^(((T366 - 14) - $B$363)/$R$391))</f>
        <v>81.153190145960366</v>
      </c>
      <c r="U376" s="199">
        <f>U375-(1*$B$359)*(2^(((U366 - 14) - $B$363)/$R$391))</f>
        <v>177.22190063694103</v>
      </c>
      <c r="V376" s="197">
        <f t="shared" ref="V376:BM376" si="39">MAX(V375-(($R$367*$B$359)*(2^(((V366 -14) - $R$366)/HLOOKUP((V366-14)-$B$363,$R$389:$BN$391,3,TRUE)))),0)</f>
        <v>373.16151942648673</v>
      </c>
      <c r="W376" s="197">
        <f t="shared" si="39"/>
        <v>765.08635794363818</v>
      </c>
      <c r="X376" s="197">
        <f t="shared" si="39"/>
        <v>1570.8214285714287</v>
      </c>
      <c r="Y376" s="197">
        <f t="shared" si="39"/>
        <v>3181.9387841598559</v>
      </c>
      <c r="Z376" s="197">
        <f t="shared" si="39"/>
        <v>6379.3926009765419</v>
      </c>
      <c r="AA376" s="197">
        <f t="shared" si="39"/>
        <v>12775.828395301851</v>
      </c>
      <c r="AB376" s="197">
        <f t="shared" si="39"/>
        <v>25528.741071428572</v>
      </c>
      <c r="AC376" s="197">
        <f t="shared" si="39"/>
        <v>50899.098214285717</v>
      </c>
      <c r="AD376" s="197">
        <f t="shared" si="39"/>
        <v>101675.97321428571</v>
      </c>
      <c r="AE376" s="197">
        <f t="shared" si="39"/>
        <v>199007.42614510827</v>
      </c>
      <c r="AF376" s="197">
        <f t="shared" si="39"/>
        <v>324471.53571428568</v>
      </c>
      <c r="AG376" s="197">
        <f t="shared" si="39"/>
        <v>294466.98400587577</v>
      </c>
      <c r="AH376" s="197">
        <f t="shared" si="39"/>
        <v>274931.18493767531</v>
      </c>
      <c r="AI376" s="197">
        <f t="shared" si="39"/>
        <v>0</v>
      </c>
      <c r="AJ376" s="197">
        <f t="shared" si="39"/>
        <v>255131.46604280546</v>
      </c>
      <c r="AK376" s="197">
        <f t="shared" si="39"/>
        <v>337075.15777698904</v>
      </c>
      <c r="AL376" s="197">
        <f t="shared" si="39"/>
        <v>0</v>
      </c>
      <c r="AM376" s="197">
        <f t="shared" si="39"/>
        <v>0</v>
      </c>
      <c r="AN376" s="197">
        <f t="shared" si="39"/>
        <v>0</v>
      </c>
      <c r="AO376" s="197">
        <f t="shared" si="39"/>
        <v>273540.07212156011</v>
      </c>
      <c r="AP376" s="197">
        <f t="shared" si="39"/>
        <v>0</v>
      </c>
      <c r="AQ376" s="197">
        <f t="shared" si="39"/>
        <v>455478.67508218018</v>
      </c>
      <c r="AR376" s="197">
        <f t="shared" si="39"/>
        <v>0</v>
      </c>
      <c r="AS376" s="197">
        <f t="shared" si="39"/>
        <v>371336.23911890341</v>
      </c>
      <c r="AT376" s="197">
        <f t="shared" si="39"/>
        <v>93288.018975304905</v>
      </c>
      <c r="AU376" s="197">
        <f t="shared" si="39"/>
        <v>494592.75092631485</v>
      </c>
      <c r="AV376" s="197">
        <f t="shared" si="39"/>
        <v>0</v>
      </c>
      <c r="AW376" s="197">
        <f t="shared" si="39"/>
        <v>0</v>
      </c>
      <c r="AX376" s="197">
        <f t="shared" si="39"/>
        <v>342549.11875307281</v>
      </c>
      <c r="AY376" s="197">
        <f t="shared" si="39"/>
        <v>0</v>
      </c>
      <c r="AZ376" s="197">
        <f t="shared" si="39"/>
        <v>0</v>
      </c>
      <c r="BA376" s="197">
        <f t="shared" si="39"/>
        <v>0</v>
      </c>
      <c r="BB376" s="197">
        <f t="shared" si="39"/>
        <v>0</v>
      </c>
      <c r="BC376" s="197">
        <f t="shared" si="39"/>
        <v>0</v>
      </c>
      <c r="BD376" s="197">
        <f t="shared" si="39"/>
        <v>0</v>
      </c>
      <c r="BE376" s="197">
        <f t="shared" si="39"/>
        <v>0</v>
      </c>
      <c r="BF376" s="197">
        <f t="shared" si="39"/>
        <v>0</v>
      </c>
      <c r="BG376" s="197">
        <f t="shared" si="39"/>
        <v>0</v>
      </c>
      <c r="BH376" s="197">
        <f t="shared" si="39"/>
        <v>0</v>
      </c>
      <c r="BI376" s="197">
        <f t="shared" si="39"/>
        <v>0</v>
      </c>
      <c r="BJ376" s="193">
        <f t="shared" si="39"/>
        <v>0</v>
      </c>
      <c r="BK376" s="193">
        <f t="shared" si="39"/>
        <v>0</v>
      </c>
      <c r="BL376" s="194">
        <f t="shared" si="39"/>
        <v>0</v>
      </c>
      <c r="BM376" s="193">
        <f t="shared" si="39"/>
        <v>0</v>
      </c>
      <c r="BN376" s="229"/>
      <c r="BO376" s="25"/>
      <c r="BP376" s="25"/>
      <c r="BQ376" s="69"/>
    </row>
    <row r="377" spans="1:69" x14ac:dyDescent="0.25">
      <c r="A377" s="62" t="s">
        <v>108</v>
      </c>
      <c r="B377" s="9"/>
      <c r="C377" s="9"/>
      <c r="D377" s="9"/>
      <c r="E377" s="9"/>
      <c r="F377" s="9"/>
      <c r="G377" s="9"/>
      <c r="H377" s="9"/>
      <c r="I377" s="9"/>
      <c r="J377" s="9"/>
      <c r="K377" s="9"/>
      <c r="L377" s="9"/>
      <c r="M377" s="9"/>
      <c r="N377" s="9"/>
      <c r="O377" s="9"/>
      <c r="P377" s="9"/>
      <c r="Q377" s="5"/>
      <c r="R377" s="215">
        <f>R367*$B$360</f>
        <v>4.375</v>
      </c>
      <c r="S377" s="202">
        <f>S367*$B$360</f>
        <v>8.75</v>
      </c>
      <c r="T377" s="202">
        <f t="shared" ref="T377:BH377" si="40">T367*$B$360</f>
        <v>17.5</v>
      </c>
      <c r="U377" s="202">
        <f t="shared" si="40"/>
        <v>35</v>
      </c>
      <c r="V377" s="202">
        <f t="shared" si="40"/>
        <v>70</v>
      </c>
      <c r="W377" s="202">
        <f t="shared" si="40"/>
        <v>140</v>
      </c>
      <c r="X377" s="202">
        <f t="shared" si="40"/>
        <v>280</v>
      </c>
      <c r="Y377" s="202">
        <f t="shared" si="40"/>
        <v>560</v>
      </c>
      <c r="Z377" s="202">
        <f t="shared" si="40"/>
        <v>1120</v>
      </c>
      <c r="AA377" s="202">
        <f t="shared" si="40"/>
        <v>2240</v>
      </c>
      <c r="AB377" s="202">
        <f t="shared" si="40"/>
        <v>4480</v>
      </c>
      <c r="AC377" s="202">
        <f t="shared" si="40"/>
        <v>8960</v>
      </c>
      <c r="AD377" s="202">
        <f t="shared" si="40"/>
        <v>17920</v>
      </c>
      <c r="AE377" s="202">
        <f t="shared" si="40"/>
        <v>35840</v>
      </c>
      <c r="AF377" s="202">
        <f t="shared" si="40"/>
        <v>71680</v>
      </c>
      <c r="AG377" s="202">
        <f t="shared" si="40"/>
        <v>89600.000000000015</v>
      </c>
      <c r="AH377" s="202">
        <f t="shared" si="40"/>
        <v>107520.00000000001</v>
      </c>
      <c r="AI377" s="202">
        <f t="shared" si="40"/>
        <v>125440.00000000001</v>
      </c>
      <c r="AJ377" s="202">
        <f t="shared" si="40"/>
        <v>143360</v>
      </c>
      <c r="AK377" s="202">
        <f t="shared" si="40"/>
        <v>183500.80000000002</v>
      </c>
      <c r="AL377" s="202">
        <f t="shared" si="40"/>
        <v>215040.00000000003</v>
      </c>
      <c r="AM377" s="202">
        <f t="shared" si="40"/>
        <v>250880.00000000003</v>
      </c>
      <c r="AN377" s="202">
        <f t="shared" si="40"/>
        <v>286720</v>
      </c>
      <c r="AO377" s="202">
        <f t="shared" si="40"/>
        <v>344064.00000000006</v>
      </c>
      <c r="AP377" s="202">
        <f t="shared" si="40"/>
        <v>401408.00000000006</v>
      </c>
      <c r="AQ377" s="202">
        <f t="shared" si="40"/>
        <v>458752.00000000006</v>
      </c>
      <c r="AR377" s="202">
        <f t="shared" si="40"/>
        <v>516096.00000000006</v>
      </c>
      <c r="AS377" s="202">
        <f t="shared" si="40"/>
        <v>573440</v>
      </c>
      <c r="AT377" s="202">
        <f t="shared" si="40"/>
        <v>688128.00000000012</v>
      </c>
      <c r="AU377" s="202">
        <f t="shared" si="40"/>
        <v>802816.00000000012</v>
      </c>
      <c r="AV377" s="202">
        <f t="shared" si="40"/>
        <v>917504.00000000012</v>
      </c>
      <c r="AW377" s="202">
        <f t="shared" si="40"/>
        <v>1032192.0000000001</v>
      </c>
      <c r="AX377" s="202">
        <f t="shared" si="40"/>
        <v>1146880</v>
      </c>
      <c r="AY377" s="202">
        <f t="shared" si="40"/>
        <v>1376256.0000000002</v>
      </c>
      <c r="AZ377" s="202">
        <f t="shared" si="40"/>
        <v>1605632.0000000002</v>
      </c>
      <c r="BA377" s="202">
        <f t="shared" si="40"/>
        <v>1835008.0000000002</v>
      </c>
      <c r="BB377" s="202">
        <f t="shared" si="40"/>
        <v>2064384.0000000002</v>
      </c>
      <c r="BC377" s="202">
        <f t="shared" si="40"/>
        <v>2293760</v>
      </c>
      <c r="BD377" s="202">
        <f t="shared" si="40"/>
        <v>2752512.0000000005</v>
      </c>
      <c r="BE377" s="202">
        <f t="shared" si="40"/>
        <v>3211264.0000000005</v>
      </c>
      <c r="BF377" s="202">
        <f t="shared" si="40"/>
        <v>3670016.0000000005</v>
      </c>
      <c r="BG377" s="202">
        <f t="shared" si="40"/>
        <v>4128768.0000000005</v>
      </c>
      <c r="BH377" s="202">
        <f t="shared" si="40"/>
        <v>4587520</v>
      </c>
      <c r="BI377" s="202">
        <f>BI367*$B$360</f>
        <v>9175040</v>
      </c>
      <c r="BJ377" s="200">
        <f t="shared" ref="BJ377:BL377" si="41">BJ367*$B$360</f>
        <v>18350080</v>
      </c>
      <c r="BK377" s="200">
        <f t="shared" si="41"/>
        <v>36700160</v>
      </c>
      <c r="BL377" s="201">
        <f t="shared" si="41"/>
        <v>46279170.000000007</v>
      </c>
      <c r="BM377" s="200">
        <f>BM367*$B$360</f>
        <v>46279170.000000007</v>
      </c>
      <c r="BN377" s="229">
        <f>BN367*(B360+B361)</f>
        <v>4396521.1500000004</v>
      </c>
      <c r="BO377" s="45"/>
      <c r="BP377" s="45"/>
      <c r="BQ377" s="69"/>
    </row>
    <row r="378" spans="1:69" x14ac:dyDescent="0.25">
      <c r="A378" s="37" t="s">
        <v>155</v>
      </c>
      <c r="B378" s="38"/>
      <c r="C378" s="39"/>
      <c r="D378" s="39"/>
      <c r="E378" s="39"/>
      <c r="F378" s="39"/>
      <c r="G378" s="39"/>
      <c r="H378" s="39"/>
      <c r="I378" s="39"/>
      <c r="J378" s="39"/>
      <c r="K378" s="39"/>
      <c r="L378" s="39"/>
      <c r="M378" s="39"/>
      <c r="N378" s="39"/>
      <c r="O378" s="39"/>
      <c r="P378" s="39"/>
      <c r="Q378" s="63"/>
      <c r="R378" s="198">
        <f t="shared" ref="R378:AE378" si="42">R377</f>
        <v>4.375</v>
      </c>
      <c r="S378" s="199">
        <f t="shared" si="42"/>
        <v>8.75</v>
      </c>
      <c r="T378" s="199">
        <f t="shared" si="42"/>
        <v>17.5</v>
      </c>
      <c r="U378" s="199">
        <f t="shared" si="42"/>
        <v>35</v>
      </c>
      <c r="V378" s="199">
        <f t="shared" si="42"/>
        <v>70</v>
      </c>
      <c r="W378" s="199">
        <f t="shared" si="42"/>
        <v>140</v>
      </c>
      <c r="X378" s="199">
        <f t="shared" si="42"/>
        <v>280</v>
      </c>
      <c r="Y378" s="199">
        <f t="shared" si="42"/>
        <v>560</v>
      </c>
      <c r="Z378" s="199">
        <f t="shared" si="42"/>
        <v>1120</v>
      </c>
      <c r="AA378" s="199">
        <f t="shared" si="42"/>
        <v>2240</v>
      </c>
      <c r="AB378" s="199">
        <f t="shared" si="42"/>
        <v>4480</v>
      </c>
      <c r="AC378" s="199">
        <f t="shared" si="42"/>
        <v>8960</v>
      </c>
      <c r="AD378" s="199">
        <f t="shared" si="42"/>
        <v>17920</v>
      </c>
      <c r="AE378" s="199">
        <f t="shared" si="42"/>
        <v>35840</v>
      </c>
      <c r="AF378" s="192">
        <f t="shared" ref="AF378:BM378" si="43">MAX(AF377-($R$367*$B$360)*(2^(((AF366 - 42) - $R$366)/HLOOKUP((AF366-42)-$B$363,$R$389:$BN$391,3,TRUE)))-AF380,0)</f>
        <v>46084.599992887612</v>
      </c>
      <c r="AG378" s="192">
        <f t="shared" si="43"/>
        <v>57640.691423978322</v>
      </c>
      <c r="AH378" s="192">
        <f t="shared" si="43"/>
        <v>69203.274247754365</v>
      </c>
      <c r="AI378" s="192">
        <f t="shared" si="43"/>
        <v>80958.879409970832</v>
      </c>
      <c r="AJ378" s="192">
        <f t="shared" si="43"/>
        <v>93484.241075724261</v>
      </c>
      <c r="AK378" s="192">
        <f t="shared" si="43"/>
        <v>118252.27542348154</v>
      </c>
      <c r="AL378" s="192">
        <f t="shared" si="43"/>
        <v>94257.189472761398</v>
      </c>
      <c r="AM378" s="192">
        <f t="shared" si="43"/>
        <v>73461.771132579917</v>
      </c>
      <c r="AN378" s="192">
        <f t="shared" si="43"/>
        <v>139160.77936945786</v>
      </c>
      <c r="AO378" s="192">
        <f t="shared" si="43"/>
        <v>0</v>
      </c>
      <c r="AP378" s="192">
        <f t="shared" si="43"/>
        <v>67910.216651757597</v>
      </c>
      <c r="AQ378" s="192">
        <f t="shared" si="43"/>
        <v>0</v>
      </c>
      <c r="AR378" s="192">
        <f t="shared" si="43"/>
        <v>33660.681129508652</v>
      </c>
      <c r="AS378" s="192">
        <f t="shared" si="43"/>
        <v>290226.93205865647</v>
      </c>
      <c r="AT378" s="192">
        <f t="shared" si="43"/>
        <v>0</v>
      </c>
      <c r="AU378" s="192">
        <f t="shared" si="43"/>
        <v>164075.82743118674</v>
      </c>
      <c r="AV378" s="192">
        <f t="shared" si="43"/>
        <v>76097.612996206037</v>
      </c>
      <c r="AW378" s="192">
        <f t="shared" si="43"/>
        <v>0</v>
      </c>
      <c r="AX378" s="192">
        <f t="shared" si="43"/>
        <v>0</v>
      </c>
      <c r="AY378" s="192">
        <f t="shared" si="43"/>
        <v>0</v>
      </c>
      <c r="AZ378" s="192">
        <f t="shared" si="43"/>
        <v>0</v>
      </c>
      <c r="BA378" s="192">
        <f t="shared" si="43"/>
        <v>0</v>
      </c>
      <c r="BB378" s="192">
        <f t="shared" si="43"/>
        <v>0</v>
      </c>
      <c r="BC378" s="192">
        <f t="shared" si="43"/>
        <v>0</v>
      </c>
      <c r="BD378" s="192">
        <f t="shared" si="43"/>
        <v>0</v>
      </c>
      <c r="BE378" s="192">
        <f t="shared" si="43"/>
        <v>0</v>
      </c>
      <c r="BF378" s="192">
        <f t="shared" si="43"/>
        <v>0</v>
      </c>
      <c r="BG378" s="192">
        <f t="shared" si="43"/>
        <v>0</v>
      </c>
      <c r="BH378" s="192">
        <f t="shared" si="43"/>
        <v>0</v>
      </c>
      <c r="BI378" s="192">
        <f t="shared" si="43"/>
        <v>0</v>
      </c>
      <c r="BJ378" s="193">
        <f t="shared" si="43"/>
        <v>0</v>
      </c>
      <c r="BK378" s="193">
        <f t="shared" si="43"/>
        <v>0</v>
      </c>
      <c r="BL378" s="194">
        <f t="shared" si="43"/>
        <v>0</v>
      </c>
      <c r="BM378" s="193">
        <f t="shared" si="43"/>
        <v>0</v>
      </c>
      <c r="BN378" s="230"/>
      <c r="BO378" s="45"/>
      <c r="BP378" s="45"/>
      <c r="BQ378" s="69"/>
    </row>
    <row r="379" spans="1:69" x14ac:dyDescent="0.25">
      <c r="A379" s="62" t="s">
        <v>109</v>
      </c>
      <c r="B379" s="9"/>
      <c r="C379" s="9"/>
      <c r="D379" s="9"/>
      <c r="E379" s="9"/>
      <c r="F379" s="9"/>
      <c r="G379" s="9"/>
      <c r="H379" s="9"/>
      <c r="I379" s="9"/>
      <c r="J379" s="9"/>
      <c r="K379" s="9"/>
      <c r="L379" s="9"/>
      <c r="M379" s="9"/>
      <c r="N379" s="9"/>
      <c r="O379" s="9"/>
      <c r="P379" s="9"/>
      <c r="Q379" s="5"/>
      <c r="R379" s="215">
        <f>R367*$B$361</f>
        <v>1.5625</v>
      </c>
      <c r="S379" s="213">
        <f>S367*$B$361</f>
        <v>3.125</v>
      </c>
      <c r="T379" s="213">
        <f t="shared" ref="T379:U379" si="44">T367*$B$361</f>
        <v>6.25</v>
      </c>
      <c r="U379" s="213">
        <f t="shared" si="44"/>
        <v>12.5</v>
      </c>
      <c r="V379" s="202">
        <f>V367*$B$361</f>
        <v>25</v>
      </c>
      <c r="W379" s="202">
        <f t="shared" ref="W379:BH379" si="45">W367*$B$361</f>
        <v>50</v>
      </c>
      <c r="X379" s="202">
        <f t="shared" si="45"/>
        <v>100</v>
      </c>
      <c r="Y379" s="202">
        <f t="shared" si="45"/>
        <v>200</v>
      </c>
      <c r="Z379" s="202">
        <f t="shared" si="45"/>
        <v>400</v>
      </c>
      <c r="AA379" s="202">
        <f t="shared" si="45"/>
        <v>800</v>
      </c>
      <c r="AB379" s="202">
        <f t="shared" si="45"/>
        <v>1600</v>
      </c>
      <c r="AC379" s="202">
        <f t="shared" si="45"/>
        <v>3200</v>
      </c>
      <c r="AD379" s="202">
        <f t="shared" si="45"/>
        <v>6400</v>
      </c>
      <c r="AE379" s="202">
        <f t="shared" si="45"/>
        <v>12800</v>
      </c>
      <c r="AF379" s="202">
        <f t="shared" si="45"/>
        <v>25600</v>
      </c>
      <c r="AG379" s="202">
        <f t="shared" si="45"/>
        <v>32000</v>
      </c>
      <c r="AH379" s="202">
        <f t="shared" si="45"/>
        <v>38400</v>
      </c>
      <c r="AI379" s="202">
        <f t="shared" si="45"/>
        <v>44800</v>
      </c>
      <c r="AJ379" s="202">
        <f t="shared" si="45"/>
        <v>51200</v>
      </c>
      <c r="AK379" s="202">
        <f t="shared" si="45"/>
        <v>65536</v>
      </c>
      <c r="AL379" s="202">
        <f t="shared" si="45"/>
        <v>76800</v>
      </c>
      <c r="AM379" s="202">
        <f t="shared" si="45"/>
        <v>89600</v>
      </c>
      <c r="AN379" s="202">
        <f t="shared" si="45"/>
        <v>102400</v>
      </c>
      <c r="AO379" s="202">
        <f t="shared" si="45"/>
        <v>122880</v>
      </c>
      <c r="AP379" s="202">
        <f t="shared" si="45"/>
        <v>143360</v>
      </c>
      <c r="AQ379" s="202">
        <f t="shared" si="45"/>
        <v>163840</v>
      </c>
      <c r="AR379" s="202">
        <f t="shared" si="45"/>
        <v>184320</v>
      </c>
      <c r="AS379" s="202">
        <f t="shared" si="45"/>
        <v>204800</v>
      </c>
      <c r="AT379" s="202">
        <f t="shared" si="45"/>
        <v>245760</v>
      </c>
      <c r="AU379" s="202">
        <f t="shared" si="45"/>
        <v>286720</v>
      </c>
      <c r="AV379" s="202">
        <f t="shared" si="45"/>
        <v>327680</v>
      </c>
      <c r="AW379" s="202">
        <f t="shared" si="45"/>
        <v>368640</v>
      </c>
      <c r="AX379" s="202">
        <f t="shared" si="45"/>
        <v>409600</v>
      </c>
      <c r="AY379" s="202">
        <f t="shared" si="45"/>
        <v>491520</v>
      </c>
      <c r="AZ379" s="202">
        <f t="shared" si="45"/>
        <v>573440</v>
      </c>
      <c r="BA379" s="202">
        <f t="shared" si="45"/>
        <v>655360</v>
      </c>
      <c r="BB379" s="202">
        <f t="shared" si="45"/>
        <v>737280</v>
      </c>
      <c r="BC379" s="202">
        <f t="shared" si="45"/>
        <v>819200</v>
      </c>
      <c r="BD379" s="202">
        <f t="shared" si="45"/>
        <v>983040</v>
      </c>
      <c r="BE379" s="202">
        <f t="shared" si="45"/>
        <v>1146880</v>
      </c>
      <c r="BF379" s="202">
        <f t="shared" si="45"/>
        <v>1310720</v>
      </c>
      <c r="BG379" s="202">
        <f t="shared" si="45"/>
        <v>1474560</v>
      </c>
      <c r="BH379" s="202">
        <f t="shared" si="45"/>
        <v>1638400</v>
      </c>
      <c r="BI379" s="202">
        <f>BI367*$B$361</f>
        <v>3276800</v>
      </c>
      <c r="BJ379" s="200">
        <f t="shared" ref="BJ379:BL379" si="46">BJ367*$B$361</f>
        <v>6553600</v>
      </c>
      <c r="BK379" s="200">
        <f t="shared" si="46"/>
        <v>13107200</v>
      </c>
      <c r="BL379" s="201">
        <f t="shared" si="46"/>
        <v>16528275</v>
      </c>
      <c r="BM379" s="200">
        <f>BM367*$B$361</f>
        <v>16528275</v>
      </c>
      <c r="BN379" s="229">
        <f>BN367*B361</f>
        <v>1156979.2500000002</v>
      </c>
      <c r="BO379" s="45"/>
      <c r="BP379" s="45"/>
      <c r="BQ379" s="69"/>
    </row>
    <row r="380" spans="1:69" x14ac:dyDescent="0.25">
      <c r="A380" s="37" t="s">
        <v>156</v>
      </c>
      <c r="B380" s="38"/>
      <c r="C380" s="39"/>
      <c r="D380" s="39"/>
      <c r="E380" s="39"/>
      <c r="F380" s="39"/>
      <c r="G380" s="39"/>
      <c r="H380" s="39"/>
      <c r="I380" s="39"/>
      <c r="J380" s="39"/>
      <c r="K380" s="39"/>
      <c r="L380" s="39"/>
      <c r="M380" s="39"/>
      <c r="N380" s="39"/>
      <c r="O380" s="39"/>
      <c r="P380" s="39"/>
      <c r="Q380" s="63"/>
      <c r="R380" s="198">
        <f t="shared" ref="R380:AC380" si="47">R379</f>
        <v>1.5625</v>
      </c>
      <c r="S380" s="199">
        <f t="shared" si="47"/>
        <v>3.125</v>
      </c>
      <c r="T380" s="199">
        <f t="shared" si="47"/>
        <v>6.25</v>
      </c>
      <c r="U380" s="199">
        <f t="shared" si="47"/>
        <v>12.5</v>
      </c>
      <c r="V380" s="199">
        <f t="shared" si="47"/>
        <v>25</v>
      </c>
      <c r="W380" s="199">
        <f t="shared" si="47"/>
        <v>50</v>
      </c>
      <c r="X380" s="199">
        <f t="shared" si="47"/>
        <v>100</v>
      </c>
      <c r="Y380" s="199">
        <f t="shared" si="47"/>
        <v>200</v>
      </c>
      <c r="Z380" s="199">
        <f t="shared" si="47"/>
        <v>400</v>
      </c>
      <c r="AA380" s="199">
        <f t="shared" si="47"/>
        <v>800</v>
      </c>
      <c r="AB380" s="199">
        <f t="shared" si="47"/>
        <v>1600</v>
      </c>
      <c r="AC380" s="199">
        <f t="shared" si="47"/>
        <v>3200</v>
      </c>
      <c r="AD380" s="197">
        <f t="shared" ref="AD380:BM380" si="48">MAX(AD379-($R$367*$B$361)*(2^(((AD366 - 35) - $R$366)/HLOOKUP((AD366-35)-$B$363,$R$389:$BN$391,3,TRUE))),0)</f>
        <v>6398.2476184477409</v>
      </c>
      <c r="AE380" s="197">
        <f t="shared" si="48"/>
        <v>12796.890633569014</v>
      </c>
      <c r="AF380" s="197">
        <f t="shared" si="48"/>
        <v>25586.900007112388</v>
      </c>
      <c r="AG380" s="197">
        <f t="shared" si="48"/>
        <v>31941.919642857141</v>
      </c>
      <c r="AH380" s="197">
        <f t="shared" si="48"/>
        <v>38249.100752245642</v>
      </c>
      <c r="AI380" s="197">
        <f t="shared" si="48"/>
        <v>44284.409021302978</v>
      </c>
      <c r="AJ380" s="197">
        <f t="shared" si="48"/>
        <v>49300.258924275739</v>
      </c>
      <c r="AK380" s="197">
        <f t="shared" si="48"/>
        <v>52370.410836069677</v>
      </c>
      <c r="AL380" s="197">
        <f t="shared" si="48"/>
        <v>37759.709027151504</v>
      </c>
      <c r="AM380" s="197">
        <f t="shared" si="48"/>
        <v>33729.695574653124</v>
      </c>
      <c r="AN380" s="197">
        <f t="shared" si="48"/>
        <v>0</v>
      </c>
      <c r="AO380" s="197">
        <f t="shared" si="48"/>
        <v>34712.968101625316</v>
      </c>
      <c r="AP380" s="197">
        <f t="shared" si="48"/>
        <v>0</v>
      </c>
      <c r="AQ380" s="197">
        <f t="shared" si="48"/>
        <v>0</v>
      </c>
      <c r="AR380" s="197">
        <f t="shared" si="48"/>
        <v>62768.717277388205</v>
      </c>
      <c r="AS380" s="197">
        <f t="shared" si="48"/>
        <v>431.25347847890225</v>
      </c>
      <c r="AT380" s="197">
        <f t="shared" si="48"/>
        <v>55273.658116872364</v>
      </c>
      <c r="AU380" s="197">
        <f t="shared" si="48"/>
        <v>48293.780140987074</v>
      </c>
      <c r="AV380" s="197">
        <f t="shared" si="48"/>
        <v>0</v>
      </c>
      <c r="AW380" s="197">
        <f t="shared" si="48"/>
        <v>50662.094121746137</v>
      </c>
      <c r="AX380" s="197">
        <f t="shared" si="48"/>
        <v>88494.240551042021</v>
      </c>
      <c r="AY380" s="197">
        <f t="shared" si="48"/>
        <v>115835.21077850688</v>
      </c>
      <c r="AZ380" s="197">
        <f t="shared" si="48"/>
        <v>0</v>
      </c>
      <c r="BA380" s="197">
        <f t="shared" si="48"/>
        <v>0</v>
      </c>
      <c r="BB380" s="197">
        <f t="shared" si="48"/>
        <v>0</v>
      </c>
      <c r="BC380" s="197">
        <f t="shared" si="48"/>
        <v>0</v>
      </c>
      <c r="BD380" s="197">
        <f t="shared" si="48"/>
        <v>0</v>
      </c>
      <c r="BE380" s="197">
        <f t="shared" si="48"/>
        <v>0</v>
      </c>
      <c r="BF380" s="197">
        <f t="shared" si="48"/>
        <v>0</v>
      </c>
      <c r="BG380" s="197">
        <f t="shared" si="48"/>
        <v>0</v>
      </c>
      <c r="BH380" s="197">
        <f t="shared" si="48"/>
        <v>0</v>
      </c>
      <c r="BI380" s="197">
        <f t="shared" si="48"/>
        <v>0</v>
      </c>
      <c r="BJ380" s="195">
        <f t="shared" si="48"/>
        <v>0</v>
      </c>
      <c r="BK380" s="195">
        <f t="shared" si="48"/>
        <v>0</v>
      </c>
      <c r="BL380" s="196">
        <f t="shared" si="48"/>
        <v>0</v>
      </c>
      <c r="BM380" s="193">
        <f t="shared" si="48"/>
        <v>0</v>
      </c>
      <c r="BN380" s="229"/>
      <c r="BO380" s="45"/>
      <c r="BP380" s="45"/>
      <c r="BQ380" s="69"/>
    </row>
    <row r="381" spans="1:69" x14ac:dyDescent="0.25">
      <c r="A381" s="41" t="s">
        <v>55</v>
      </c>
      <c r="B381" s="15"/>
      <c r="C381" s="16"/>
      <c r="D381" s="16"/>
      <c r="E381" s="16"/>
      <c r="F381" s="16"/>
      <c r="G381" s="16"/>
      <c r="H381" s="16"/>
      <c r="I381" s="16"/>
      <c r="J381" s="16"/>
      <c r="K381" s="16"/>
      <c r="L381" s="16"/>
      <c r="M381" s="16"/>
      <c r="N381" s="16"/>
      <c r="O381" s="16"/>
      <c r="P381" s="16"/>
      <c r="Q381" s="16"/>
      <c r="R381" s="216">
        <f t="shared" ref="R381:BM381" si="49">R367*$B$362</f>
        <v>0.75</v>
      </c>
      <c r="S381" s="217">
        <f t="shared" ref="S381:AP381" si="50">S367*$B$362</f>
        <v>1.5</v>
      </c>
      <c r="T381" s="217">
        <f t="shared" si="50"/>
        <v>3</v>
      </c>
      <c r="U381" s="217">
        <f t="shared" si="50"/>
        <v>6</v>
      </c>
      <c r="V381" s="217">
        <f t="shared" si="50"/>
        <v>12</v>
      </c>
      <c r="W381" s="217">
        <f t="shared" si="50"/>
        <v>24</v>
      </c>
      <c r="X381" s="217">
        <f t="shared" si="50"/>
        <v>48</v>
      </c>
      <c r="Y381" s="217">
        <f t="shared" si="50"/>
        <v>96</v>
      </c>
      <c r="Z381" s="217">
        <f t="shared" si="50"/>
        <v>192</v>
      </c>
      <c r="AA381" s="217">
        <f t="shared" si="50"/>
        <v>384</v>
      </c>
      <c r="AB381" s="217">
        <f t="shared" si="50"/>
        <v>768</v>
      </c>
      <c r="AC381" s="217">
        <f t="shared" si="50"/>
        <v>1536</v>
      </c>
      <c r="AD381" s="217">
        <f t="shared" si="50"/>
        <v>3072</v>
      </c>
      <c r="AE381" s="217">
        <f t="shared" si="50"/>
        <v>6144</v>
      </c>
      <c r="AF381" s="217">
        <f t="shared" si="50"/>
        <v>12288</v>
      </c>
      <c r="AG381" s="217">
        <f t="shared" si="50"/>
        <v>15360</v>
      </c>
      <c r="AH381" s="217">
        <f t="shared" si="50"/>
        <v>18432</v>
      </c>
      <c r="AI381" s="217">
        <f t="shared" si="50"/>
        <v>21504</v>
      </c>
      <c r="AJ381" s="217">
        <f t="shared" si="50"/>
        <v>24576</v>
      </c>
      <c r="AK381" s="217">
        <f t="shared" si="50"/>
        <v>31457.279999999999</v>
      </c>
      <c r="AL381" s="217">
        <f t="shared" si="50"/>
        <v>36864</v>
      </c>
      <c r="AM381" s="217">
        <f t="shared" si="50"/>
        <v>43008</v>
      </c>
      <c r="AN381" s="217">
        <f t="shared" si="50"/>
        <v>49152</v>
      </c>
      <c r="AO381" s="217">
        <f t="shared" si="50"/>
        <v>58982.400000000001</v>
      </c>
      <c r="AP381" s="217">
        <f t="shared" si="50"/>
        <v>68812.800000000003</v>
      </c>
      <c r="AQ381" s="217">
        <f t="shared" ref="AQ381:AR381" si="51">AQ367*$B$362</f>
        <v>78643.199999999997</v>
      </c>
      <c r="AR381" s="217">
        <f t="shared" si="51"/>
        <v>88473.600000000006</v>
      </c>
      <c r="AS381" s="217">
        <f t="shared" si="49"/>
        <v>98304</v>
      </c>
      <c r="AT381" s="217">
        <f t="shared" ref="AT381:AW381" si="52">AT367*$B$362</f>
        <v>117964.8</v>
      </c>
      <c r="AU381" s="217">
        <f t="shared" si="52"/>
        <v>137625.60000000001</v>
      </c>
      <c r="AV381" s="217">
        <f t="shared" si="52"/>
        <v>157286.39999999999</v>
      </c>
      <c r="AW381" s="217">
        <f t="shared" si="52"/>
        <v>176947.20000000001</v>
      </c>
      <c r="AX381" s="217">
        <f t="shared" si="49"/>
        <v>196608</v>
      </c>
      <c r="AY381" s="217">
        <f t="shared" ref="AY381:BB381" si="53">AY367*$B$362</f>
        <v>235929.60000000001</v>
      </c>
      <c r="AZ381" s="217">
        <f t="shared" si="53"/>
        <v>275251.20000000001</v>
      </c>
      <c r="BA381" s="217">
        <f t="shared" si="53"/>
        <v>314572.79999999999</v>
      </c>
      <c r="BB381" s="217">
        <f t="shared" si="53"/>
        <v>353894.40000000002</v>
      </c>
      <c r="BC381" s="217">
        <f t="shared" si="49"/>
        <v>393216</v>
      </c>
      <c r="BD381" s="217">
        <f t="shared" si="49"/>
        <v>471859.20000000001</v>
      </c>
      <c r="BE381" s="217">
        <f t="shared" si="49"/>
        <v>550502.40000000002</v>
      </c>
      <c r="BF381" s="217">
        <f t="shared" si="49"/>
        <v>629145.59999999998</v>
      </c>
      <c r="BG381" s="217">
        <f t="shared" si="49"/>
        <v>707788.80000000005</v>
      </c>
      <c r="BH381" s="217">
        <f t="shared" ref="BH381:BL381" si="54">BH367*$B$362</f>
        <v>786432</v>
      </c>
      <c r="BI381" s="217">
        <f t="shared" si="54"/>
        <v>1572864</v>
      </c>
      <c r="BJ381" s="193">
        <f t="shared" si="54"/>
        <v>3145728</v>
      </c>
      <c r="BK381" s="193">
        <f t="shared" si="54"/>
        <v>6291456</v>
      </c>
      <c r="BL381" s="194">
        <f t="shared" si="54"/>
        <v>7933572</v>
      </c>
      <c r="BM381" s="200">
        <f t="shared" si="49"/>
        <v>7933572</v>
      </c>
      <c r="BN381" s="229">
        <f>BN367*B362</f>
        <v>555350.04000000015</v>
      </c>
      <c r="BO381" s="45"/>
      <c r="BP381" s="45"/>
      <c r="BQ381" s="69"/>
    </row>
    <row r="382" spans="1:69" s="69" customFormat="1" hidden="1" x14ac:dyDescent="0.25">
      <c r="A382" s="48" t="s">
        <v>103</v>
      </c>
      <c r="B382" s="25"/>
      <c r="C382" s="47"/>
      <c r="D382" s="47"/>
      <c r="E382" s="47"/>
      <c r="F382" s="47"/>
      <c r="G382" s="47"/>
      <c r="H382" s="47"/>
      <c r="I382" s="47"/>
      <c r="J382" s="47"/>
      <c r="K382" s="47"/>
      <c r="L382" s="47"/>
      <c r="M382" s="47"/>
      <c r="N382" s="47"/>
      <c r="O382" s="47"/>
      <c r="P382" s="47"/>
      <c r="Q382" s="47"/>
      <c r="R382" s="149">
        <f t="shared" ref="R382:AF382" si="55">R366-7</f>
        <v>43875</v>
      </c>
      <c r="S382" s="149">
        <f t="shared" si="55"/>
        <v>43883</v>
      </c>
      <c r="T382" s="149">
        <f t="shared" si="55"/>
        <v>43886</v>
      </c>
      <c r="U382" s="149">
        <f t="shared" si="55"/>
        <v>43888</v>
      </c>
      <c r="V382" s="149">
        <f t="shared" si="55"/>
        <v>43891</v>
      </c>
      <c r="W382" s="149">
        <f t="shared" si="55"/>
        <v>43894</v>
      </c>
      <c r="X382" s="149">
        <f t="shared" si="55"/>
        <v>43897</v>
      </c>
      <c r="Y382" s="149">
        <f t="shared" si="55"/>
        <v>43899</v>
      </c>
      <c r="Z382" s="149">
        <f t="shared" si="55"/>
        <v>43901</v>
      </c>
      <c r="AA382" s="149">
        <f t="shared" si="55"/>
        <v>43903</v>
      </c>
      <c r="AB382" s="149">
        <f t="shared" si="55"/>
        <v>43905</v>
      </c>
      <c r="AC382" s="149">
        <f t="shared" si="55"/>
        <v>43908</v>
      </c>
      <c r="AD382" s="149">
        <f t="shared" si="55"/>
        <v>43911</v>
      </c>
      <c r="AE382" s="149">
        <f t="shared" si="55"/>
        <v>43916</v>
      </c>
      <c r="AF382" s="149">
        <f t="shared" si="55"/>
        <v>43925</v>
      </c>
      <c r="AG382" s="149"/>
      <c r="AH382" s="149"/>
      <c r="AI382" s="149"/>
      <c r="AJ382" s="149">
        <f>AJ366-7</f>
        <v>43941</v>
      </c>
      <c r="AK382" s="149"/>
      <c r="AL382" s="149"/>
      <c r="AM382" s="149"/>
      <c r="AN382" s="149">
        <f>AN366-7</f>
        <v>43984</v>
      </c>
      <c r="AO382" s="149"/>
      <c r="AP382" s="149"/>
      <c r="AQ382" s="149"/>
      <c r="AR382" s="149"/>
      <c r="AS382" s="149">
        <f>AS366-7</f>
        <v>44027</v>
      </c>
      <c r="AT382" s="149"/>
      <c r="AU382" s="149"/>
      <c r="AV382" s="149"/>
      <c r="AW382" s="149"/>
      <c r="AX382" s="149">
        <f>AX366-7</f>
        <v>44112</v>
      </c>
      <c r="AY382" s="149"/>
      <c r="AZ382" s="149"/>
      <c r="BA382" s="149"/>
      <c r="BB382" s="149"/>
      <c r="BC382" s="149">
        <f>BC366-7</f>
        <v>44282</v>
      </c>
      <c r="BD382" s="149"/>
      <c r="BE382" s="149"/>
      <c r="BF382" s="149"/>
      <c r="BG382" s="149"/>
      <c r="BH382" s="149"/>
      <c r="BI382" s="149"/>
      <c r="BJ382" s="149"/>
      <c r="BK382" s="149"/>
      <c r="BL382" s="149"/>
      <c r="BM382" s="149">
        <f>BM366-7</f>
        <v>48022</v>
      </c>
      <c r="BN382" s="149"/>
      <c r="BO382" s="45"/>
      <c r="BP382" s="45"/>
    </row>
    <row r="383" spans="1:69" s="69" customFormat="1" hidden="1" x14ac:dyDescent="0.25">
      <c r="A383" s="48" t="s">
        <v>101</v>
      </c>
      <c r="B383" s="25"/>
      <c r="C383" s="47"/>
      <c r="D383" s="47"/>
      <c r="E383" s="47"/>
      <c r="F383" s="47"/>
      <c r="G383" s="47"/>
      <c r="H383" s="47"/>
      <c r="I383" s="47"/>
      <c r="J383" s="47"/>
      <c r="K383" s="47"/>
      <c r="L383" s="47"/>
      <c r="M383" s="47"/>
      <c r="N383" s="47"/>
      <c r="O383" s="47"/>
      <c r="P383" s="47"/>
      <c r="Q383" s="47"/>
      <c r="R383" s="149">
        <f t="shared" ref="R383:AF383" si="56">R366-14</f>
        <v>43868</v>
      </c>
      <c r="S383" s="149">
        <f t="shared" si="56"/>
        <v>43876</v>
      </c>
      <c r="T383" s="149">
        <f t="shared" si="56"/>
        <v>43879</v>
      </c>
      <c r="U383" s="149">
        <f t="shared" si="56"/>
        <v>43881</v>
      </c>
      <c r="V383" s="149">
        <f t="shared" si="56"/>
        <v>43884</v>
      </c>
      <c r="W383" s="149">
        <f t="shared" si="56"/>
        <v>43887</v>
      </c>
      <c r="X383" s="149">
        <f t="shared" si="56"/>
        <v>43890</v>
      </c>
      <c r="Y383" s="149">
        <f t="shared" si="56"/>
        <v>43892</v>
      </c>
      <c r="Z383" s="149">
        <f t="shared" si="56"/>
        <v>43894</v>
      </c>
      <c r="AA383" s="149">
        <f t="shared" si="56"/>
        <v>43896</v>
      </c>
      <c r="AB383" s="149">
        <f t="shared" si="56"/>
        <v>43898</v>
      </c>
      <c r="AC383" s="149">
        <f t="shared" si="56"/>
        <v>43901</v>
      </c>
      <c r="AD383" s="149">
        <f t="shared" si="56"/>
        <v>43904</v>
      </c>
      <c r="AE383" s="149">
        <f t="shared" si="56"/>
        <v>43909</v>
      </c>
      <c r="AF383" s="149">
        <f t="shared" si="56"/>
        <v>43918</v>
      </c>
      <c r="AG383" s="149"/>
      <c r="AH383" s="149"/>
      <c r="AI383" s="149"/>
      <c r="AJ383" s="149">
        <f>AJ366-14</f>
        <v>43934</v>
      </c>
      <c r="AK383" s="149"/>
      <c r="AL383" s="149"/>
      <c r="AM383" s="149"/>
      <c r="AN383" s="149">
        <f>AN366-14</f>
        <v>43977</v>
      </c>
      <c r="AO383" s="149"/>
      <c r="AP383" s="149"/>
      <c r="AQ383" s="149"/>
      <c r="AR383" s="149"/>
      <c r="AS383" s="149">
        <f>AS366-14</f>
        <v>44020</v>
      </c>
      <c r="AT383" s="149"/>
      <c r="AU383" s="149"/>
      <c r="AV383" s="149"/>
      <c r="AW383" s="149"/>
      <c r="AX383" s="149">
        <f>AX366-14</f>
        <v>44105</v>
      </c>
      <c r="AY383" s="149"/>
      <c r="AZ383" s="149"/>
      <c r="BA383" s="149"/>
      <c r="BB383" s="149"/>
      <c r="BC383" s="149">
        <f>BC366-14</f>
        <v>44275</v>
      </c>
      <c r="BD383" s="149"/>
      <c r="BE383" s="149"/>
      <c r="BF383" s="149"/>
      <c r="BG383" s="149"/>
      <c r="BH383" s="149"/>
      <c r="BI383" s="149"/>
      <c r="BJ383" s="149"/>
      <c r="BK383" s="149"/>
      <c r="BL383" s="149"/>
      <c r="BM383" s="149">
        <f>BM366-14</f>
        <v>48015</v>
      </c>
      <c r="BN383" s="149"/>
      <c r="BO383" s="45"/>
      <c r="BP383" s="45"/>
    </row>
    <row r="384" spans="1:69" s="69" customFormat="1" hidden="1" x14ac:dyDescent="0.25">
      <c r="A384" s="48" t="s">
        <v>104</v>
      </c>
      <c r="B384" s="25"/>
      <c r="C384" s="47"/>
      <c r="D384" s="47"/>
      <c r="E384" s="47"/>
      <c r="F384" s="47"/>
      <c r="G384" s="47"/>
      <c r="H384" s="47"/>
      <c r="I384" s="47"/>
      <c r="J384" s="47"/>
      <c r="K384" s="47"/>
      <c r="L384" s="47"/>
      <c r="M384" s="47"/>
      <c r="N384" s="47"/>
      <c r="O384" s="47"/>
      <c r="P384" s="47"/>
      <c r="Q384" s="47"/>
      <c r="R384" s="149">
        <f t="shared" ref="R384:AF384" si="57">R366-(7*5)</f>
        <v>43847</v>
      </c>
      <c r="S384" s="149">
        <f t="shared" si="57"/>
        <v>43855</v>
      </c>
      <c r="T384" s="149">
        <f t="shared" si="57"/>
        <v>43858</v>
      </c>
      <c r="U384" s="149">
        <f t="shared" si="57"/>
        <v>43860</v>
      </c>
      <c r="V384" s="149">
        <f t="shared" si="57"/>
        <v>43863</v>
      </c>
      <c r="W384" s="149">
        <f t="shared" si="57"/>
        <v>43866</v>
      </c>
      <c r="X384" s="149">
        <f t="shared" si="57"/>
        <v>43869</v>
      </c>
      <c r="Y384" s="149">
        <f t="shared" si="57"/>
        <v>43871</v>
      </c>
      <c r="Z384" s="149">
        <f t="shared" si="57"/>
        <v>43873</v>
      </c>
      <c r="AA384" s="149">
        <f t="shared" si="57"/>
        <v>43875</v>
      </c>
      <c r="AB384" s="149">
        <f t="shared" si="57"/>
        <v>43877</v>
      </c>
      <c r="AC384" s="149">
        <f t="shared" si="57"/>
        <v>43880</v>
      </c>
      <c r="AD384" s="149">
        <f t="shared" si="57"/>
        <v>43883</v>
      </c>
      <c r="AE384" s="149">
        <f t="shared" si="57"/>
        <v>43888</v>
      </c>
      <c r="AF384" s="149">
        <f t="shared" si="57"/>
        <v>43897</v>
      </c>
      <c r="AG384" s="149"/>
      <c r="AH384" s="149"/>
      <c r="AI384" s="149"/>
      <c r="AJ384" s="149">
        <f>AJ366-(7*5)</f>
        <v>43913</v>
      </c>
      <c r="AK384" s="149"/>
      <c r="AL384" s="149"/>
      <c r="AM384" s="149"/>
      <c r="AN384" s="149">
        <f>AN366-(7*5)</f>
        <v>43956</v>
      </c>
      <c r="AO384" s="149"/>
      <c r="AP384" s="149"/>
      <c r="AQ384" s="149"/>
      <c r="AR384" s="149"/>
      <c r="AS384" s="149">
        <f>AS366-(7*5)</f>
        <v>43999</v>
      </c>
      <c r="AT384" s="149"/>
      <c r="AU384" s="149"/>
      <c r="AV384" s="149"/>
      <c r="AW384" s="149"/>
      <c r="AX384" s="149">
        <f>AX366-(7*5)</f>
        <v>44084</v>
      </c>
      <c r="AY384" s="149"/>
      <c r="AZ384" s="149"/>
      <c r="BA384" s="149"/>
      <c r="BB384" s="149"/>
      <c r="BC384" s="149">
        <f>BC366-(7*5)</f>
        <v>44254</v>
      </c>
      <c r="BD384" s="149"/>
      <c r="BE384" s="149"/>
      <c r="BF384" s="149"/>
      <c r="BG384" s="149"/>
      <c r="BH384" s="149"/>
      <c r="BI384" s="149"/>
      <c r="BJ384" s="149"/>
      <c r="BK384" s="149"/>
      <c r="BL384" s="149"/>
      <c r="BM384" s="149">
        <f>BM366-(7*5)</f>
        <v>47994</v>
      </c>
      <c r="BN384" s="149"/>
      <c r="BO384" s="45"/>
      <c r="BP384" s="45"/>
    </row>
    <row r="385" spans="1:68" s="69" customFormat="1" hidden="1" x14ac:dyDescent="0.25">
      <c r="A385" s="48" t="s">
        <v>102</v>
      </c>
      <c r="B385" s="25"/>
      <c r="C385" s="47"/>
      <c r="D385" s="47"/>
      <c r="E385" s="47"/>
      <c r="F385" s="47"/>
      <c r="G385" s="47"/>
      <c r="H385" s="47"/>
      <c r="I385" s="47"/>
      <c r="J385" s="47"/>
      <c r="K385" s="47"/>
      <c r="L385" s="47"/>
      <c r="M385" s="47"/>
      <c r="N385" s="47"/>
      <c r="O385" s="47"/>
      <c r="P385" s="47"/>
      <c r="Q385" s="47"/>
      <c r="R385" s="149">
        <f t="shared" ref="R385:AF385" si="58">R366-(6*7)</f>
        <v>43840</v>
      </c>
      <c r="S385" s="149">
        <f t="shared" si="58"/>
        <v>43848</v>
      </c>
      <c r="T385" s="149">
        <f t="shared" si="58"/>
        <v>43851</v>
      </c>
      <c r="U385" s="149">
        <f t="shared" si="58"/>
        <v>43853</v>
      </c>
      <c r="V385" s="149">
        <f t="shared" si="58"/>
        <v>43856</v>
      </c>
      <c r="W385" s="149">
        <f t="shared" si="58"/>
        <v>43859</v>
      </c>
      <c r="X385" s="149">
        <f t="shared" si="58"/>
        <v>43862</v>
      </c>
      <c r="Y385" s="149">
        <f t="shared" si="58"/>
        <v>43864</v>
      </c>
      <c r="Z385" s="149">
        <f t="shared" si="58"/>
        <v>43866</v>
      </c>
      <c r="AA385" s="149">
        <f t="shared" si="58"/>
        <v>43868</v>
      </c>
      <c r="AB385" s="149">
        <f t="shared" si="58"/>
        <v>43870</v>
      </c>
      <c r="AC385" s="149">
        <f t="shared" si="58"/>
        <v>43873</v>
      </c>
      <c r="AD385" s="149">
        <f t="shared" si="58"/>
        <v>43876</v>
      </c>
      <c r="AE385" s="149">
        <f t="shared" si="58"/>
        <v>43881</v>
      </c>
      <c r="AF385" s="149">
        <f t="shared" si="58"/>
        <v>43890</v>
      </c>
      <c r="AG385" s="149"/>
      <c r="AH385" s="149"/>
      <c r="AI385" s="149"/>
      <c r="AJ385" s="149">
        <f>AJ366-(6*7)</f>
        <v>43906</v>
      </c>
      <c r="AK385" s="149"/>
      <c r="AL385" s="149"/>
      <c r="AM385" s="149"/>
      <c r="AN385" s="149">
        <f>AN366-(6*7)</f>
        <v>43949</v>
      </c>
      <c r="AO385" s="149"/>
      <c r="AP385" s="149"/>
      <c r="AQ385" s="149"/>
      <c r="AR385" s="149"/>
      <c r="AS385" s="149">
        <f>AS366-(6*7)</f>
        <v>43992</v>
      </c>
      <c r="AT385" s="149"/>
      <c r="AU385" s="149"/>
      <c r="AV385" s="149"/>
      <c r="AW385" s="149"/>
      <c r="AX385" s="149">
        <f>AX366-(6*7)</f>
        <v>44077</v>
      </c>
      <c r="AY385" s="149"/>
      <c r="AZ385" s="149"/>
      <c r="BA385" s="149"/>
      <c r="BB385" s="149"/>
      <c r="BC385" s="149">
        <f>BC366-(6*7)</f>
        <v>44247</v>
      </c>
      <c r="BD385" s="149"/>
      <c r="BE385" s="149"/>
      <c r="BF385" s="149"/>
      <c r="BG385" s="149"/>
      <c r="BH385" s="149"/>
      <c r="BI385" s="149"/>
      <c r="BJ385" s="149"/>
      <c r="BK385" s="149"/>
      <c r="BL385" s="149"/>
      <c r="BM385" s="149">
        <f>BM366-(6*7)</f>
        <v>47987</v>
      </c>
      <c r="BN385" s="149"/>
      <c r="BO385" s="45"/>
      <c r="BP385" s="45"/>
    </row>
    <row r="387" spans="1:68" x14ac:dyDescent="0.25">
      <c r="A387" s="53" t="s">
        <v>48</v>
      </c>
      <c r="B387" s="15"/>
      <c r="C387" s="16"/>
      <c r="D387" s="16"/>
      <c r="E387" s="16"/>
      <c r="F387" s="16"/>
      <c r="G387" s="16"/>
      <c r="H387" s="16"/>
      <c r="I387" s="16"/>
      <c r="J387" s="16"/>
      <c r="K387" s="16"/>
      <c r="L387" s="16"/>
      <c r="M387" s="16"/>
      <c r="N387" s="16"/>
      <c r="O387" s="16"/>
      <c r="P387" s="16"/>
      <c r="Q387" s="16"/>
    </row>
    <row r="388" spans="1:68" s="69" customFormat="1" x14ac:dyDescent="0.25">
      <c r="A388" s="142" t="s">
        <v>100</v>
      </c>
      <c r="B388" s="25"/>
      <c r="C388" s="47"/>
      <c r="D388" s="47"/>
      <c r="E388" s="47"/>
      <c r="F388" s="47"/>
      <c r="G388" s="47"/>
      <c r="H388" s="47"/>
      <c r="I388" s="47"/>
      <c r="J388" s="47"/>
      <c r="K388" s="47"/>
      <c r="L388" s="47"/>
      <c r="M388" s="47"/>
      <c r="N388" s="47"/>
      <c r="O388" s="47"/>
      <c r="P388" s="47"/>
      <c r="Q388" s="47"/>
      <c r="R388" s="140">
        <f t="shared" ref="R388:AW388" si="59">(R366-$B$363)/7</f>
        <v>4.4285714285714288</v>
      </c>
      <c r="S388" s="140">
        <f t="shared" si="59"/>
        <v>5.5714285714285712</v>
      </c>
      <c r="T388" s="144">
        <f t="shared" si="59"/>
        <v>6</v>
      </c>
      <c r="U388" s="144">
        <f t="shared" si="59"/>
        <v>6.2857142857142856</v>
      </c>
      <c r="V388" s="140">
        <f t="shared" si="59"/>
        <v>6.7142857142857144</v>
      </c>
      <c r="W388" s="144">
        <f t="shared" si="59"/>
        <v>7.1428571428571432</v>
      </c>
      <c r="X388" s="140">
        <f t="shared" si="59"/>
        <v>7.5714285714285712</v>
      </c>
      <c r="Y388" s="144">
        <f t="shared" si="59"/>
        <v>7.8571428571428568</v>
      </c>
      <c r="Z388" s="144">
        <f t="shared" si="59"/>
        <v>8.1428571428571423</v>
      </c>
      <c r="AA388" s="141">
        <f t="shared" si="59"/>
        <v>8.4285714285714288</v>
      </c>
      <c r="AB388" s="144">
        <f t="shared" si="59"/>
        <v>8.7142857142857135</v>
      </c>
      <c r="AC388" s="144">
        <f t="shared" si="59"/>
        <v>9.1428571428571423</v>
      </c>
      <c r="AD388" s="140">
        <f t="shared" si="59"/>
        <v>9.5714285714285712</v>
      </c>
      <c r="AE388" s="141">
        <f t="shared" si="59"/>
        <v>10.285714285714286</v>
      </c>
      <c r="AF388" s="141">
        <f t="shared" si="59"/>
        <v>11.571428571428571</v>
      </c>
      <c r="AG388" s="143">
        <f t="shared" si="59"/>
        <v>12.142857142857142</v>
      </c>
      <c r="AH388" s="143">
        <f t="shared" si="59"/>
        <v>12.714285714285714</v>
      </c>
      <c r="AI388" s="143">
        <f t="shared" si="59"/>
        <v>13.285714285714286</v>
      </c>
      <c r="AJ388" s="143">
        <f t="shared" si="59"/>
        <v>13.857142857142858</v>
      </c>
      <c r="AK388" s="143">
        <f t="shared" si="59"/>
        <v>15.392857142857142</v>
      </c>
      <c r="AL388" s="143">
        <f t="shared" si="59"/>
        <v>16.928571428571427</v>
      </c>
      <c r="AM388" s="143">
        <f t="shared" si="59"/>
        <v>18.58714285714294</v>
      </c>
      <c r="AN388" s="143">
        <f t="shared" si="59"/>
        <v>20</v>
      </c>
      <c r="AO388" s="141">
        <f t="shared" si="59"/>
        <v>22.211428571429028</v>
      </c>
      <c r="AP388" s="141">
        <f t="shared" si="59"/>
        <v>23.562857142857474</v>
      </c>
      <c r="AQ388" s="141">
        <f t="shared" si="59"/>
        <v>24.545714285714244</v>
      </c>
      <c r="AR388" s="141">
        <f t="shared" si="59"/>
        <v>25.405714285713788</v>
      </c>
      <c r="AS388" s="141">
        <f t="shared" si="59"/>
        <v>26.142857142857142</v>
      </c>
      <c r="AT388" s="143">
        <f t="shared" si="59"/>
        <v>28.085714285714079</v>
      </c>
      <c r="AU388" s="143">
        <f t="shared" si="59"/>
        <v>30.392857142857142</v>
      </c>
      <c r="AV388" s="143">
        <f t="shared" si="59"/>
        <v>33.064285714285298</v>
      </c>
      <c r="AW388" s="143">
        <f t="shared" si="59"/>
        <v>35.857142857142854</v>
      </c>
      <c r="AX388" s="143">
        <f t="shared" ref="AX388:BN388" si="60">(AX366-$B$363)/7</f>
        <v>38.285714285714285</v>
      </c>
      <c r="AY388" s="140">
        <f t="shared" si="60"/>
        <v>41.200000000000209</v>
      </c>
      <c r="AZ388" s="140">
        <f t="shared" si="60"/>
        <v>48</v>
      </c>
      <c r="BA388" s="140">
        <f t="shared" si="60"/>
        <v>52.857142857142854</v>
      </c>
      <c r="BB388" s="140">
        <f t="shared" si="60"/>
        <v>57.714285714285715</v>
      </c>
      <c r="BC388" s="140">
        <f t="shared" si="60"/>
        <v>62.571428571428569</v>
      </c>
      <c r="BD388" s="140">
        <f t="shared" si="60"/>
        <v>72.285714285714292</v>
      </c>
      <c r="BE388" s="140">
        <f t="shared" si="60"/>
        <v>82</v>
      </c>
      <c r="BF388" s="140">
        <f t="shared" si="60"/>
        <v>91.714285714285708</v>
      </c>
      <c r="BG388" s="140">
        <f t="shared" si="60"/>
        <v>101.42857142857143</v>
      </c>
      <c r="BH388" s="140">
        <f t="shared" si="60"/>
        <v>111.14285714285714</v>
      </c>
      <c r="BI388" s="140">
        <f t="shared" si="60"/>
        <v>208.28571428571428</v>
      </c>
      <c r="BJ388" s="140">
        <f t="shared" si="60"/>
        <v>305.42857142857144</v>
      </c>
      <c r="BK388" s="140">
        <f t="shared" si="60"/>
        <v>402.57142857142856</v>
      </c>
      <c r="BL388" s="140">
        <f t="shared" si="60"/>
        <v>499.71428571428572</v>
      </c>
      <c r="BM388" s="143">
        <f t="shared" si="60"/>
        <v>596.85714285714289</v>
      </c>
      <c r="BN388" s="143">
        <f t="shared" si="60"/>
        <v>604.85714285714289</v>
      </c>
    </row>
    <row r="389" spans="1:68" s="69" customFormat="1" x14ac:dyDescent="0.25">
      <c r="A389" s="142" t="s">
        <v>99</v>
      </c>
      <c r="B389" s="25"/>
      <c r="C389" s="47"/>
      <c r="D389" s="47"/>
      <c r="E389" s="47"/>
      <c r="F389" s="47"/>
      <c r="G389" s="47"/>
      <c r="H389" s="47"/>
      <c r="I389" s="47"/>
      <c r="J389" s="47"/>
      <c r="K389" s="47"/>
      <c r="L389" s="47"/>
      <c r="M389" s="47"/>
      <c r="N389" s="47"/>
      <c r="O389" s="47"/>
      <c r="P389" s="47"/>
      <c r="Q389" s="47"/>
      <c r="R389" s="244">
        <f t="shared" ref="R389:AW389" si="61">R366-$B$363</f>
        <v>31</v>
      </c>
      <c r="S389" s="224">
        <f t="shared" si="61"/>
        <v>39</v>
      </c>
      <c r="T389" s="224">
        <f t="shared" si="61"/>
        <v>42</v>
      </c>
      <c r="U389" s="224">
        <f t="shared" si="61"/>
        <v>44</v>
      </c>
      <c r="V389" s="224">
        <f t="shared" si="61"/>
        <v>47</v>
      </c>
      <c r="W389" s="224">
        <f t="shared" si="61"/>
        <v>50</v>
      </c>
      <c r="X389" s="224">
        <f t="shared" si="61"/>
        <v>53</v>
      </c>
      <c r="Y389" s="224">
        <f t="shared" si="61"/>
        <v>55</v>
      </c>
      <c r="Z389" s="224">
        <f t="shared" si="61"/>
        <v>57</v>
      </c>
      <c r="AA389" s="224">
        <f t="shared" si="61"/>
        <v>59</v>
      </c>
      <c r="AB389" s="224">
        <f t="shared" si="61"/>
        <v>61</v>
      </c>
      <c r="AC389" s="224">
        <f t="shared" si="61"/>
        <v>64</v>
      </c>
      <c r="AD389" s="224">
        <f t="shared" si="61"/>
        <v>67</v>
      </c>
      <c r="AE389" s="224">
        <f t="shared" si="61"/>
        <v>72</v>
      </c>
      <c r="AF389" s="224">
        <f t="shared" si="61"/>
        <v>81</v>
      </c>
      <c r="AG389" s="224">
        <f t="shared" si="61"/>
        <v>85</v>
      </c>
      <c r="AH389" s="224">
        <f t="shared" si="61"/>
        <v>89</v>
      </c>
      <c r="AI389" s="224">
        <f t="shared" si="61"/>
        <v>93</v>
      </c>
      <c r="AJ389" s="224">
        <f t="shared" si="61"/>
        <v>97</v>
      </c>
      <c r="AK389" s="224">
        <f t="shared" si="61"/>
        <v>107.75</v>
      </c>
      <c r="AL389" s="224">
        <f t="shared" si="61"/>
        <v>118.5</v>
      </c>
      <c r="AM389" s="224">
        <f t="shared" si="61"/>
        <v>130.11000000000058</v>
      </c>
      <c r="AN389" s="224">
        <f t="shared" si="61"/>
        <v>140</v>
      </c>
      <c r="AO389" s="224">
        <f t="shared" si="61"/>
        <v>155.4800000000032</v>
      </c>
      <c r="AP389" s="224">
        <f t="shared" si="61"/>
        <v>164.94000000000233</v>
      </c>
      <c r="AQ389" s="224">
        <f t="shared" si="61"/>
        <v>171.81999999999971</v>
      </c>
      <c r="AR389" s="224">
        <f t="shared" si="61"/>
        <v>177.83999999999651</v>
      </c>
      <c r="AS389" s="224">
        <f t="shared" si="61"/>
        <v>183</v>
      </c>
      <c r="AT389" s="224">
        <f t="shared" si="61"/>
        <v>196.59999999999854</v>
      </c>
      <c r="AU389" s="224">
        <f t="shared" si="61"/>
        <v>212.75</v>
      </c>
      <c r="AV389" s="224">
        <f t="shared" si="61"/>
        <v>231.44999999999709</v>
      </c>
      <c r="AW389" s="224">
        <f t="shared" si="61"/>
        <v>251</v>
      </c>
      <c r="AX389" s="224">
        <f t="shared" ref="AX389:BN389" si="62">AX366-$B$363</f>
        <v>268</v>
      </c>
      <c r="AY389" s="225">
        <f t="shared" si="62"/>
        <v>288.40000000000146</v>
      </c>
      <c r="AZ389" s="225">
        <f t="shared" si="62"/>
        <v>336</v>
      </c>
      <c r="BA389" s="225">
        <f t="shared" si="62"/>
        <v>370</v>
      </c>
      <c r="BB389" s="225">
        <f t="shared" si="62"/>
        <v>404</v>
      </c>
      <c r="BC389" s="225">
        <f t="shared" si="62"/>
        <v>438</v>
      </c>
      <c r="BD389" s="225">
        <f t="shared" si="62"/>
        <v>506</v>
      </c>
      <c r="BE389" s="225">
        <f t="shared" si="62"/>
        <v>574</v>
      </c>
      <c r="BF389" s="225">
        <f t="shared" si="62"/>
        <v>642</v>
      </c>
      <c r="BG389" s="225">
        <f t="shared" si="62"/>
        <v>710</v>
      </c>
      <c r="BH389" s="225">
        <f t="shared" si="62"/>
        <v>778</v>
      </c>
      <c r="BI389" s="185">
        <f t="shared" si="62"/>
        <v>1458</v>
      </c>
      <c r="BJ389" s="185">
        <f t="shared" si="62"/>
        <v>2138</v>
      </c>
      <c r="BK389" s="185">
        <f t="shared" si="62"/>
        <v>2818</v>
      </c>
      <c r="BL389" s="185">
        <f t="shared" si="62"/>
        <v>3498</v>
      </c>
      <c r="BM389" s="185">
        <f t="shared" si="62"/>
        <v>4178</v>
      </c>
      <c r="BN389" s="185">
        <f t="shared" si="62"/>
        <v>4234</v>
      </c>
    </row>
    <row r="390" spans="1:68" x14ac:dyDescent="0.25">
      <c r="A390" s="41" t="s">
        <v>42</v>
      </c>
      <c r="B390" s="16"/>
      <c r="C390" s="16"/>
      <c r="D390" s="16"/>
      <c r="E390" s="16"/>
      <c r="F390" s="16"/>
      <c r="G390" s="16"/>
      <c r="H390" s="16"/>
      <c r="I390" s="16"/>
      <c r="J390" s="16"/>
      <c r="K390" s="16"/>
      <c r="L390" s="16"/>
      <c r="M390" s="16"/>
      <c r="N390" s="16"/>
      <c r="O390" s="16"/>
      <c r="P390" s="16"/>
      <c r="Q390" s="16"/>
      <c r="R390" s="145">
        <v>35</v>
      </c>
      <c r="S390" s="146">
        <v>68</v>
      </c>
      <c r="T390" s="147">
        <v>124</v>
      </c>
      <c r="U390" s="147">
        <v>221</v>
      </c>
      <c r="V390" s="147">
        <v>541</v>
      </c>
      <c r="W390" s="147">
        <v>1301</v>
      </c>
      <c r="X390" s="147">
        <v>2771</v>
      </c>
      <c r="Y390" s="147">
        <v>4604</v>
      </c>
      <c r="Z390" s="147">
        <v>9317</v>
      </c>
      <c r="AA390" s="147">
        <v>19551</v>
      </c>
      <c r="AB390" s="147">
        <v>33840</v>
      </c>
      <c r="AC390" s="147">
        <v>68905</v>
      </c>
      <c r="AD390" s="147">
        <v>124788</v>
      </c>
      <c r="AE390" s="147">
        <v>250708</v>
      </c>
      <c r="AF390" s="147">
        <v>539942</v>
      </c>
      <c r="AG390" s="147">
        <v>652474</v>
      </c>
      <c r="AH390" s="147">
        <v>770014</v>
      </c>
      <c r="AI390" s="147">
        <v>886274</v>
      </c>
      <c r="AJ390" s="147">
        <v>1010356</v>
      </c>
      <c r="AK390" s="147">
        <v>1292623</v>
      </c>
      <c r="AL390" s="147">
        <v>1550294</v>
      </c>
      <c r="AM390" s="147">
        <v>1793530</v>
      </c>
      <c r="AN390" s="147">
        <v>2045549</v>
      </c>
      <c r="AO390" s="147">
        <v>2464771</v>
      </c>
      <c r="AP390" s="147">
        <v>2890588</v>
      </c>
      <c r="AQ390" s="147">
        <v>3297170</v>
      </c>
      <c r="AR390" s="147">
        <v>3695025</v>
      </c>
      <c r="AS390" s="147">
        <v>4102038</v>
      </c>
      <c r="AT390" s="147">
        <v>4920098</v>
      </c>
      <c r="AU390" s="147">
        <v>5746272</v>
      </c>
      <c r="AV390" s="147">
        <v>6548312</v>
      </c>
      <c r="AW390" s="147">
        <v>7362126</v>
      </c>
      <c r="AX390" s="147">
        <v>8226538</v>
      </c>
      <c r="AY390" s="147">
        <v>9807400</v>
      </c>
      <c r="AZ390" s="324">
        <f t="shared" ref="AY390:BH390" si="63">AZ367</f>
        <v>11468800</v>
      </c>
      <c r="BA390" s="324">
        <f t="shared" si="63"/>
        <v>13107200</v>
      </c>
      <c r="BB390" s="324">
        <f t="shared" si="63"/>
        <v>14745600</v>
      </c>
      <c r="BC390" s="324">
        <f t="shared" si="63"/>
        <v>16384000</v>
      </c>
      <c r="BD390" s="324">
        <f t="shared" si="63"/>
        <v>19660800</v>
      </c>
      <c r="BE390" s="324">
        <f t="shared" si="63"/>
        <v>22937600</v>
      </c>
      <c r="BF390" s="324">
        <f t="shared" si="63"/>
        <v>26214400</v>
      </c>
      <c r="BG390" s="324">
        <f t="shared" si="63"/>
        <v>29491200</v>
      </c>
      <c r="BH390" s="324">
        <f t="shared" si="63"/>
        <v>32768000</v>
      </c>
      <c r="BI390" s="181">
        <f t="shared" ref="BI390" si="64">BH390*2</f>
        <v>65536000</v>
      </c>
      <c r="BJ390" s="181">
        <f t="shared" ref="BJ390" si="65">BI390*2</f>
        <v>131072000</v>
      </c>
      <c r="BK390" s="181">
        <f t="shared" ref="BK390" si="66">BJ390*2</f>
        <v>262144000</v>
      </c>
      <c r="BL390" s="181">
        <f t="shared" ref="BL390" si="67">BK390*2</f>
        <v>524288000</v>
      </c>
      <c r="BM390" s="181">
        <f>BM367</f>
        <v>330565500</v>
      </c>
      <c r="BN390" s="182">
        <f>BM367</f>
        <v>330565500</v>
      </c>
    </row>
    <row r="391" spans="1:68" x14ac:dyDescent="0.25">
      <c r="A391" s="41" t="s">
        <v>153</v>
      </c>
      <c r="B391" s="16"/>
      <c r="C391" s="16"/>
      <c r="D391" s="16"/>
      <c r="E391" s="16"/>
      <c r="F391" s="16"/>
      <c r="G391" s="16"/>
      <c r="H391" s="16"/>
      <c r="I391" s="16"/>
      <c r="J391" s="16"/>
      <c r="K391" s="16"/>
      <c r="L391" s="16"/>
      <c r="M391" s="16"/>
      <c r="N391" s="16"/>
      <c r="O391" s="16"/>
      <c r="P391" s="16"/>
      <c r="Q391" s="16"/>
      <c r="R391" s="188">
        <f>(R366-B363)/(LOG(R390/1)/LOG(2))</f>
        <v>6.0437296787073755</v>
      </c>
      <c r="S391" s="171">
        <f t="shared" ref="S391:BN391" si="68">(S366-$R$366)/(LOG(S390/$R$390)/LOG(2))</f>
        <v>8.3491634837954933</v>
      </c>
      <c r="T391" s="171">
        <f t="shared" si="68"/>
        <v>6.0276836381926202</v>
      </c>
      <c r="U391" s="171">
        <f t="shared" si="68"/>
        <v>4.8897556767514709</v>
      </c>
      <c r="V391" s="171">
        <f t="shared" si="68"/>
        <v>4.0504260147273037</v>
      </c>
      <c r="W391" s="171">
        <f t="shared" si="68"/>
        <v>3.6425526786068976</v>
      </c>
      <c r="X391" s="171">
        <f t="shared" si="68"/>
        <v>3.4882386226134869</v>
      </c>
      <c r="Y391" s="171">
        <f t="shared" si="68"/>
        <v>3.4093867599891814</v>
      </c>
      <c r="Z391" s="171">
        <f t="shared" si="68"/>
        <v>3.2272612172752644</v>
      </c>
      <c r="AA391" s="171">
        <f t="shared" si="68"/>
        <v>3.0682672712732586</v>
      </c>
      <c r="AB391" s="171">
        <f t="shared" si="68"/>
        <v>3.0250599197351313</v>
      </c>
      <c r="AC391" s="171">
        <f t="shared" si="68"/>
        <v>3.0156159459256791</v>
      </c>
      <c r="AD391" s="171">
        <f t="shared" si="68"/>
        <v>3.0508896880563214</v>
      </c>
      <c r="AE391" s="171">
        <f t="shared" si="68"/>
        <v>3.201532865133665</v>
      </c>
      <c r="AF391" s="171">
        <f t="shared" si="68"/>
        <v>3.5937194117521298</v>
      </c>
      <c r="AG391" s="171">
        <f t="shared" si="68"/>
        <v>3.8064952970597021</v>
      </c>
      <c r="AH391" s="171">
        <f t="shared" si="68"/>
        <v>4.020729736229403</v>
      </c>
      <c r="AI391" s="171">
        <f t="shared" si="68"/>
        <v>4.2384148703141689</v>
      </c>
      <c r="AJ391" s="171">
        <f t="shared" si="68"/>
        <v>4.4542981107309165</v>
      </c>
      <c r="AK391" s="171">
        <f t="shared" si="68"/>
        <v>5.0584649404191362</v>
      </c>
      <c r="AL391" s="171">
        <f t="shared" si="68"/>
        <v>5.6689976374219366</v>
      </c>
      <c r="AM391" s="171">
        <f t="shared" si="68"/>
        <v>6.3348958864178382</v>
      </c>
      <c r="AN391" s="171">
        <f t="shared" si="68"/>
        <v>6.8835843452041185</v>
      </c>
      <c r="AO391" s="171">
        <f t="shared" si="68"/>
        <v>7.7298817821523729</v>
      </c>
      <c r="AP391" s="171">
        <f t="shared" si="68"/>
        <v>8.2002499086770548</v>
      </c>
      <c r="AQ391" s="171">
        <f t="shared" si="68"/>
        <v>8.5224003492862135</v>
      </c>
      <c r="AR391" s="171">
        <f t="shared" si="68"/>
        <v>8.7992058204360468</v>
      </c>
      <c r="AS391" s="171">
        <f t="shared" si="68"/>
        <v>9.0268645617875354</v>
      </c>
      <c r="AT391" s="171">
        <f t="shared" si="68"/>
        <v>9.683659744515781</v>
      </c>
      <c r="AU391" s="171">
        <f t="shared" si="68"/>
        <v>10.490673875349982</v>
      </c>
      <c r="AV391" s="171">
        <f t="shared" si="68"/>
        <v>11.445516085115804</v>
      </c>
      <c r="AW391" s="171">
        <f t="shared" si="68"/>
        <v>12.441744364283995</v>
      </c>
      <c r="AX391" s="171">
        <f t="shared" si="68"/>
        <v>13.282839132758745</v>
      </c>
      <c r="AY391" s="171">
        <f t="shared" si="68"/>
        <v>14.224015096032071</v>
      </c>
      <c r="AZ391" s="325">
        <f t="shared" si="68"/>
        <v>16.646719625818676</v>
      </c>
      <c r="BA391" s="325">
        <f t="shared" si="68"/>
        <v>18.309900899983177</v>
      </c>
      <c r="BB391" s="325">
        <f t="shared" si="68"/>
        <v>19.963072945336499</v>
      </c>
      <c r="BC391" s="325">
        <f t="shared" si="68"/>
        <v>21.606984981735206</v>
      </c>
      <c r="BD391" s="325">
        <f t="shared" si="68"/>
        <v>24.869714537499526</v>
      </c>
      <c r="BE391" s="325">
        <f t="shared" si="68"/>
        <v>28.102785463924761</v>
      </c>
      <c r="BF391" s="325">
        <f t="shared" si="68"/>
        <v>31.309934098415148</v>
      </c>
      <c r="BG391" s="325">
        <f t="shared" si="68"/>
        <v>34.494148338892529</v>
      </c>
      <c r="BH391" s="325">
        <f t="shared" si="68"/>
        <v>37.65785054119921</v>
      </c>
      <c r="BI391" s="183">
        <f t="shared" si="68"/>
        <v>68.485586023547626</v>
      </c>
      <c r="BJ391" s="183">
        <f t="shared" si="68"/>
        <v>96.489816485160517</v>
      </c>
      <c r="BK391" s="183">
        <f t="shared" si="68"/>
        <v>122.0414619265627</v>
      </c>
      <c r="BL391" s="183">
        <f t="shared" si="68"/>
        <v>145.44919831399579</v>
      </c>
      <c r="BM391" s="183">
        <f t="shared" si="68"/>
        <v>178.9731154036684</v>
      </c>
      <c r="BN391" s="184">
        <f t="shared" si="68"/>
        <v>181.38992139899165</v>
      </c>
    </row>
    <row r="392" spans="1:68" x14ac:dyDescent="0.25">
      <c r="A392" s="41" t="s">
        <v>189</v>
      </c>
      <c r="B392" s="16"/>
      <c r="C392" s="16"/>
      <c r="D392" s="16"/>
      <c r="E392" s="16"/>
      <c r="F392" s="16"/>
      <c r="G392" s="16"/>
      <c r="H392" s="16"/>
      <c r="I392" s="16"/>
      <c r="J392" s="16"/>
      <c r="K392" s="16"/>
      <c r="L392" s="16"/>
      <c r="M392" s="16"/>
      <c r="N392" s="16"/>
      <c r="O392" s="16"/>
      <c r="P392" s="16"/>
      <c r="Q392" s="16"/>
      <c r="R392" s="243">
        <v>14</v>
      </c>
      <c r="S392" s="240">
        <v>51</v>
      </c>
      <c r="T392" s="240">
        <v>70</v>
      </c>
      <c r="U392" s="240">
        <v>102</v>
      </c>
      <c r="V392" s="240">
        <v>246</v>
      </c>
      <c r="W392" s="240">
        <v>608</v>
      </c>
      <c r="X392" s="240">
        <v>1390</v>
      </c>
      <c r="Y392" s="240">
        <v>2355</v>
      </c>
      <c r="Z392" s="240">
        <v>4207</v>
      </c>
      <c r="AA392" s="240">
        <v>8341</v>
      </c>
      <c r="AB392" s="240">
        <v>15608</v>
      </c>
      <c r="AC392" s="240">
        <v>36304</v>
      </c>
      <c r="AD392" s="240">
        <v>71401</v>
      </c>
      <c r="AE392" s="240">
        <v>161932</v>
      </c>
      <c r="AF392" s="240">
        <v>400623</v>
      </c>
      <c r="AG392" s="240">
        <v>505584</v>
      </c>
      <c r="AH392" s="240">
        <v>593640</v>
      </c>
      <c r="AI392" s="240">
        <v>680047</v>
      </c>
      <c r="AJ392" s="240">
        <v>763531</v>
      </c>
      <c r="AK392" s="240">
        <v>998445</v>
      </c>
      <c r="AL392" s="240">
        <v>1101930</v>
      </c>
      <c r="AM392" s="240">
        <v>1169419</v>
      </c>
      <c r="AN392" s="240">
        <v>1142539</v>
      </c>
      <c r="AO392" s="240">
        <v>1273355</v>
      </c>
      <c r="AP392" s="240">
        <v>1522999</v>
      </c>
      <c r="AQ392" s="240">
        <v>1700036</v>
      </c>
      <c r="AR392" s="240">
        <v>1874274</v>
      </c>
      <c r="AS392" s="240">
        <v>2012642</v>
      </c>
      <c r="AT392" s="240">
        <v>2278080</v>
      </c>
      <c r="AU392" s="240">
        <v>2472758</v>
      </c>
      <c r="AV392" s="240">
        <v>2557398</v>
      </c>
      <c r="AW392" s="240">
        <v>2542682</v>
      </c>
      <c r="AX392" s="240">
        <v>2683658</v>
      </c>
      <c r="AY392" s="240">
        <v>3247247</v>
      </c>
      <c r="AZ392" s="326"/>
      <c r="BA392" s="326"/>
      <c r="BB392" s="326"/>
      <c r="BC392" s="326"/>
      <c r="BD392" s="326"/>
      <c r="BE392" s="326"/>
      <c r="BF392" s="326"/>
      <c r="BG392" s="326"/>
      <c r="BH392" s="326"/>
      <c r="BI392" s="183"/>
      <c r="BJ392" s="183"/>
      <c r="BK392" s="183"/>
      <c r="BL392" s="183"/>
      <c r="BM392" s="183"/>
      <c r="BN392" s="184"/>
    </row>
    <row r="393" spans="1:68" x14ac:dyDescent="0.25">
      <c r="A393" s="41" t="s">
        <v>62</v>
      </c>
      <c r="B393" s="16"/>
      <c r="C393" s="16"/>
      <c r="D393" s="16"/>
      <c r="E393" s="16"/>
      <c r="F393" s="16"/>
      <c r="G393" s="16"/>
      <c r="H393" s="16"/>
      <c r="I393" s="16"/>
      <c r="J393" s="16"/>
      <c r="K393" s="16"/>
      <c r="L393" s="16"/>
      <c r="M393" s="16"/>
      <c r="N393" s="16"/>
      <c r="O393" s="16"/>
      <c r="P393" s="16"/>
      <c r="Q393" s="16"/>
      <c r="R393" s="223">
        <f>R390-R394-R392</f>
        <v>21</v>
      </c>
      <c r="S393" s="148">
        <f t="shared" ref="S393:AG393" si="69">S390-S394-S392</f>
        <v>16</v>
      </c>
      <c r="T393" s="148">
        <f t="shared" si="69"/>
        <v>45</v>
      </c>
      <c r="U393" s="148">
        <f t="shared" si="69"/>
        <v>107</v>
      </c>
      <c r="V393" s="148">
        <f t="shared" si="69"/>
        <v>273</v>
      </c>
      <c r="W393" s="148">
        <f t="shared" si="69"/>
        <v>655</v>
      </c>
      <c r="X393" s="148">
        <f t="shared" si="69"/>
        <v>1323</v>
      </c>
      <c r="Y393" s="148">
        <f t="shared" si="69"/>
        <v>2154</v>
      </c>
      <c r="Z393" s="148">
        <f t="shared" si="69"/>
        <v>4939</v>
      </c>
      <c r="AA393" s="148">
        <f t="shared" si="69"/>
        <v>10901</v>
      </c>
      <c r="AB393" s="148">
        <f t="shared" si="69"/>
        <v>17723</v>
      </c>
      <c r="AC393" s="148">
        <f t="shared" si="69"/>
        <v>31341</v>
      </c>
      <c r="AD393" s="148">
        <f t="shared" si="69"/>
        <v>50633</v>
      </c>
      <c r="AE393" s="148">
        <f t="shared" si="69"/>
        <v>81200</v>
      </c>
      <c r="AF393" s="148">
        <f t="shared" si="69"/>
        <v>115257</v>
      </c>
      <c r="AG393" s="148">
        <f t="shared" si="69"/>
        <v>114178</v>
      </c>
      <c r="AH393" s="148">
        <f t="shared" ref="AH393:AJ393" si="70">AH390-AH394-AH392</f>
        <v>135473</v>
      </c>
      <c r="AI393" s="148">
        <f t="shared" si="70"/>
        <v>155993</v>
      </c>
      <c r="AJ393" s="148">
        <f t="shared" si="70"/>
        <v>190030</v>
      </c>
      <c r="AK393" s="148">
        <f t="shared" ref="AK393:AL393" si="71">AK390-AK394-AK392</f>
        <v>217250</v>
      </c>
      <c r="AL393" s="148">
        <f t="shared" si="71"/>
        <v>356383</v>
      </c>
      <c r="AM393" s="148">
        <f t="shared" ref="AM393:AN393" si="72">AM390-AM394-AM392</f>
        <v>519569</v>
      </c>
      <c r="AN393" s="148">
        <f t="shared" si="72"/>
        <v>788862</v>
      </c>
      <c r="AO393" s="148">
        <f t="shared" ref="AO393:AP393" si="73">AO390-AO394-AO392</f>
        <v>1064537</v>
      </c>
      <c r="AP393" s="148">
        <f t="shared" si="73"/>
        <v>1235488</v>
      </c>
      <c r="AQ393" s="148">
        <f t="shared" ref="AQ393:AR393" si="74">AQ390-AQ394-AQ392</f>
        <v>1460495</v>
      </c>
      <c r="AR393" s="148">
        <f t="shared" si="74"/>
        <v>1679633</v>
      </c>
      <c r="AS393" s="148">
        <f t="shared" ref="AS393:AT393" si="75">AS390-AS394-AS392</f>
        <v>1942637</v>
      </c>
      <c r="AT393" s="148">
        <f t="shared" si="75"/>
        <v>2481680</v>
      </c>
      <c r="AU393" s="148">
        <f t="shared" ref="AU393:AW393" si="76">AU390-AU394-AU392</f>
        <v>3095484</v>
      </c>
      <c r="AV393" s="148">
        <f t="shared" si="76"/>
        <v>3796760</v>
      </c>
      <c r="AW393" s="148">
        <f t="shared" si="76"/>
        <v>4609636</v>
      </c>
      <c r="AX393" s="148">
        <f t="shared" ref="AX393:AY393" si="77">AX390-AX394-AX392</f>
        <v>5320149</v>
      </c>
      <c r="AY393" s="148">
        <f t="shared" si="77"/>
        <v>6320319</v>
      </c>
      <c r="AZ393" s="327"/>
      <c r="BA393" s="327"/>
      <c r="BB393" s="327"/>
      <c r="BC393" s="327"/>
      <c r="BD393" s="327"/>
      <c r="BE393" s="327"/>
      <c r="BF393" s="327"/>
      <c r="BG393" s="327"/>
      <c r="BH393" s="327"/>
      <c r="BI393" s="106"/>
      <c r="BJ393" s="106"/>
      <c r="BK393" s="106"/>
      <c r="BL393" s="106"/>
      <c r="BM393" s="106"/>
      <c r="BN393" s="107"/>
    </row>
    <row r="394" spans="1:68" x14ac:dyDescent="0.25">
      <c r="A394" s="49" t="s">
        <v>43</v>
      </c>
      <c r="B394" s="38"/>
      <c r="C394" s="39"/>
      <c r="D394" s="39"/>
      <c r="E394" s="39"/>
      <c r="F394" s="39"/>
      <c r="G394" s="39"/>
      <c r="H394" s="39"/>
      <c r="I394" s="39"/>
      <c r="J394" s="39"/>
      <c r="K394" s="39"/>
      <c r="L394" s="39"/>
      <c r="M394" s="39"/>
      <c r="N394" s="39"/>
      <c r="O394" s="39"/>
      <c r="P394" s="39"/>
      <c r="Q394" s="39"/>
      <c r="R394" s="67">
        <v>0</v>
      </c>
      <c r="S394" s="68">
        <v>1</v>
      </c>
      <c r="T394" s="52">
        <v>9</v>
      </c>
      <c r="U394" s="52">
        <v>12</v>
      </c>
      <c r="V394" s="52">
        <v>22</v>
      </c>
      <c r="W394" s="52">
        <v>38</v>
      </c>
      <c r="X394" s="52">
        <v>58</v>
      </c>
      <c r="Y394" s="52">
        <v>95</v>
      </c>
      <c r="Z394" s="52">
        <v>171</v>
      </c>
      <c r="AA394" s="52">
        <v>309</v>
      </c>
      <c r="AB394" s="52">
        <v>509</v>
      </c>
      <c r="AC394" s="52">
        <v>1260</v>
      </c>
      <c r="AD394" s="52">
        <v>2754</v>
      </c>
      <c r="AE394" s="52">
        <v>7576</v>
      </c>
      <c r="AF394" s="52">
        <v>24062</v>
      </c>
      <c r="AG394" s="52">
        <v>32712</v>
      </c>
      <c r="AH394" s="52">
        <v>40901</v>
      </c>
      <c r="AI394" s="52">
        <v>50234</v>
      </c>
      <c r="AJ394" s="52">
        <v>56795</v>
      </c>
      <c r="AK394" s="52">
        <v>76928</v>
      </c>
      <c r="AL394" s="52">
        <v>91981</v>
      </c>
      <c r="AM394" s="52">
        <v>104542</v>
      </c>
      <c r="AN394" s="52">
        <v>114148</v>
      </c>
      <c r="AO394" s="52">
        <v>126879</v>
      </c>
      <c r="AP394" s="52">
        <v>132101</v>
      </c>
      <c r="AQ394" s="52">
        <v>136639</v>
      </c>
      <c r="AR394" s="52">
        <v>141118</v>
      </c>
      <c r="AS394" s="52">
        <v>146759</v>
      </c>
      <c r="AT394" s="52">
        <v>160338</v>
      </c>
      <c r="AU394" s="52">
        <v>178030</v>
      </c>
      <c r="AV394" s="52">
        <v>194154</v>
      </c>
      <c r="AW394" s="52">
        <v>209808</v>
      </c>
      <c r="AX394" s="52">
        <v>222731</v>
      </c>
      <c r="AY394" s="52">
        <v>239834</v>
      </c>
      <c r="AZ394" s="328"/>
      <c r="BA394" s="328"/>
      <c r="BB394" s="328"/>
      <c r="BC394" s="328"/>
      <c r="BD394" s="328"/>
      <c r="BE394" s="328"/>
      <c r="BF394" s="328"/>
      <c r="BG394" s="328"/>
      <c r="BH394" s="328"/>
      <c r="BI394" s="106"/>
      <c r="BJ394" s="106"/>
      <c r="BK394" s="106"/>
      <c r="BL394" s="106"/>
      <c r="BM394" s="106"/>
      <c r="BN394" s="107"/>
    </row>
    <row r="395" spans="1:68" x14ac:dyDescent="0.25">
      <c r="B395" s="3"/>
      <c r="R395" s="35"/>
      <c r="S395" s="35"/>
      <c r="T395" s="35"/>
      <c r="U395" s="35"/>
      <c r="V395" s="35"/>
      <c r="W395" s="35"/>
      <c r="X395" s="35"/>
      <c r="Y395" s="35"/>
      <c r="Z395" s="35"/>
      <c r="AA395" s="35"/>
      <c r="AB395" s="35"/>
      <c r="AC395" s="35"/>
      <c r="AD395" s="35"/>
      <c r="AE395" s="35"/>
      <c r="AF395" s="35"/>
      <c r="AG395" s="35"/>
      <c r="AH395" s="35"/>
      <c r="AI395" s="35"/>
      <c r="AJ395" s="35"/>
      <c r="AK395" s="35"/>
      <c r="AL395" s="35"/>
      <c r="AM395" s="35"/>
      <c r="AN395" s="35"/>
      <c r="AO395" s="35"/>
      <c r="AP395" s="35"/>
      <c r="AQ395" s="35"/>
      <c r="AR395" s="35"/>
      <c r="AS395" s="35"/>
      <c r="AT395" s="35"/>
      <c r="AU395" s="35"/>
      <c r="AV395" s="35"/>
      <c r="AW395" s="35"/>
    </row>
    <row r="396" spans="1:68" x14ac:dyDescent="0.25">
      <c r="A396" s="74" t="s">
        <v>49</v>
      </c>
      <c r="AS396" s="16"/>
      <c r="AT396" s="16"/>
      <c r="AU396" s="16"/>
      <c r="AV396" s="16"/>
      <c r="AW396" s="16"/>
    </row>
    <row r="397" spans="1:68" x14ac:dyDescent="0.25">
      <c r="A397" s="4" t="s">
        <v>0</v>
      </c>
      <c r="B397" s="187" t="s">
        <v>114</v>
      </c>
      <c r="C397" s="5" t="s">
        <v>3</v>
      </c>
      <c r="D397" s="187" t="s">
        <v>51</v>
      </c>
      <c r="E397" s="58" t="s">
        <v>2</v>
      </c>
      <c r="F397" s="9" t="s">
        <v>3</v>
      </c>
      <c r="G397" s="9"/>
      <c r="H397" s="9"/>
      <c r="I397" s="9"/>
      <c r="J397" s="9"/>
      <c r="K397" s="9"/>
      <c r="L397" s="9"/>
      <c r="M397" s="9"/>
      <c r="N397" s="9"/>
      <c r="O397" s="9"/>
      <c r="P397" s="9"/>
      <c r="Q397" s="9"/>
      <c r="R397" s="9"/>
      <c r="S397" s="9"/>
      <c r="T397" s="9"/>
      <c r="U397" s="9"/>
      <c r="V397" s="9"/>
      <c r="W397" s="9"/>
      <c r="X397" s="9"/>
      <c r="Y397" s="9"/>
      <c r="Z397" s="9"/>
      <c r="AA397" s="9"/>
      <c r="AB397" s="9"/>
      <c r="AC397" s="9"/>
      <c r="AD397" s="9"/>
      <c r="AE397" s="9"/>
      <c r="AF397" s="9"/>
      <c r="AG397" s="9"/>
      <c r="AH397" s="9"/>
      <c r="AI397" s="9"/>
      <c r="AJ397" s="9"/>
      <c r="AK397" s="9"/>
      <c r="AL397" s="9"/>
      <c r="AM397" s="9"/>
      <c r="AN397" s="9"/>
      <c r="AO397" s="9"/>
      <c r="AP397" s="9"/>
      <c r="AQ397" s="9"/>
      <c r="AR397" s="9"/>
      <c r="AS397" s="9"/>
      <c r="AT397" s="9"/>
      <c r="AU397" s="9"/>
      <c r="AV397" s="9"/>
      <c r="AW397" s="9"/>
      <c r="AX397" s="9"/>
      <c r="AY397" s="9"/>
      <c r="AZ397" s="9"/>
      <c r="BA397" s="9"/>
      <c r="BB397" s="9"/>
      <c r="BC397" s="9"/>
      <c r="BD397" s="9"/>
      <c r="BE397" s="9"/>
      <c r="BF397" s="9"/>
      <c r="BG397" s="9"/>
      <c r="BH397" s="9"/>
      <c r="BI397" s="9"/>
      <c r="BJ397" s="9"/>
      <c r="BK397" s="9"/>
      <c r="BL397" s="9"/>
      <c r="BM397" s="5"/>
      <c r="BN397" s="47"/>
    </row>
    <row r="398" spans="1:68" x14ac:dyDescent="0.25">
      <c r="A398" s="41" t="s">
        <v>12</v>
      </c>
      <c r="B398" s="13">
        <f>'Population by Age - Wikipedia'!D41</f>
        <v>3.6394890344941602E-2</v>
      </c>
      <c r="C398" s="12">
        <f>$B$348*B398</f>
        <v>12030895.124320794</v>
      </c>
      <c r="D398" s="22">
        <f>'AU Infection Rate by Age'!C4</f>
        <v>2.8847876724601325E-2</v>
      </c>
      <c r="E398" s="5"/>
      <c r="F398" s="16"/>
      <c r="G398" s="16"/>
      <c r="H398" s="16"/>
      <c r="I398" s="16"/>
      <c r="J398" s="16"/>
      <c r="K398" s="16"/>
      <c r="L398" s="16"/>
      <c r="M398" s="16"/>
      <c r="N398" s="16"/>
      <c r="O398" s="16"/>
      <c r="P398" s="16"/>
      <c r="Q398" s="16"/>
      <c r="R398" s="18">
        <f t="shared" ref="R398:BM398" si="78">R$367*$D$398</f>
        <v>0.90149614764379138</v>
      </c>
      <c r="S398" s="19">
        <f t="shared" si="78"/>
        <v>1.8029922952875828</v>
      </c>
      <c r="T398" s="19">
        <f t="shared" si="78"/>
        <v>3.6059845905751655</v>
      </c>
      <c r="U398" s="19">
        <f t="shared" si="78"/>
        <v>7.211969181150331</v>
      </c>
      <c r="V398" s="19">
        <f t="shared" si="78"/>
        <v>14.423938362300662</v>
      </c>
      <c r="W398" s="19">
        <f t="shared" si="78"/>
        <v>28.847876724601324</v>
      </c>
      <c r="X398" s="19">
        <f t="shared" si="78"/>
        <v>57.695753449202648</v>
      </c>
      <c r="Y398" s="19">
        <f t="shared" si="78"/>
        <v>115.3915068984053</v>
      </c>
      <c r="Z398" s="19">
        <f t="shared" si="78"/>
        <v>230.78301379681059</v>
      </c>
      <c r="AA398" s="19">
        <f t="shared" si="78"/>
        <v>461.56602759362119</v>
      </c>
      <c r="AB398" s="19">
        <f t="shared" si="78"/>
        <v>923.13205518724237</v>
      </c>
      <c r="AC398" s="19">
        <f t="shared" si="78"/>
        <v>1846.2641103744847</v>
      </c>
      <c r="AD398" s="19">
        <f t="shared" si="78"/>
        <v>3692.5282207489695</v>
      </c>
      <c r="AE398" s="19">
        <f t="shared" si="78"/>
        <v>7385.056441497939</v>
      </c>
      <c r="AF398" s="19">
        <f t="shared" si="78"/>
        <v>14770.112882995878</v>
      </c>
      <c r="AG398" s="19">
        <f t="shared" si="78"/>
        <v>18462.641103744849</v>
      </c>
      <c r="AH398" s="19">
        <f t="shared" si="78"/>
        <v>22155.169324493818</v>
      </c>
      <c r="AI398" s="19">
        <f t="shared" si="78"/>
        <v>25847.697545242787</v>
      </c>
      <c r="AJ398" s="19">
        <f t="shared" si="78"/>
        <v>29540.225765991756</v>
      </c>
      <c r="AK398" s="19">
        <f t="shared" si="78"/>
        <v>37811.488980469447</v>
      </c>
      <c r="AL398" s="19">
        <f t="shared" si="78"/>
        <v>44310.338648987636</v>
      </c>
      <c r="AM398" s="19">
        <f t="shared" si="78"/>
        <v>51695.395090485574</v>
      </c>
      <c r="AN398" s="19">
        <f t="shared" si="78"/>
        <v>59080.451531983512</v>
      </c>
      <c r="AO398" s="19">
        <f t="shared" si="78"/>
        <v>70896.541838380217</v>
      </c>
      <c r="AP398" s="19">
        <f t="shared" si="78"/>
        <v>82712.632144776915</v>
      </c>
      <c r="AQ398" s="19">
        <f t="shared" si="78"/>
        <v>94528.722451173628</v>
      </c>
      <c r="AR398" s="19">
        <f t="shared" si="78"/>
        <v>106344.81275757033</v>
      </c>
      <c r="AS398" s="19">
        <f t="shared" si="78"/>
        <v>118160.90306396702</v>
      </c>
      <c r="AT398" s="19">
        <f t="shared" si="78"/>
        <v>141793.08367676043</v>
      </c>
      <c r="AU398" s="19">
        <f t="shared" si="78"/>
        <v>165425.26428955383</v>
      </c>
      <c r="AV398" s="19">
        <f t="shared" si="78"/>
        <v>189057.44490234726</v>
      </c>
      <c r="AW398" s="19">
        <f t="shared" si="78"/>
        <v>212689.62551514065</v>
      </c>
      <c r="AX398" s="19">
        <f t="shared" si="78"/>
        <v>236321.80612793405</v>
      </c>
      <c r="AY398" s="19">
        <f t="shared" si="78"/>
        <v>283586.16735352087</v>
      </c>
      <c r="AZ398" s="19">
        <f t="shared" si="78"/>
        <v>330850.52857910766</v>
      </c>
      <c r="BA398" s="19">
        <f t="shared" si="78"/>
        <v>378114.88980469451</v>
      </c>
      <c r="BB398" s="19">
        <f t="shared" si="78"/>
        <v>425379.2510302813</v>
      </c>
      <c r="BC398" s="19">
        <f t="shared" si="78"/>
        <v>472643.61225586809</v>
      </c>
      <c r="BD398" s="19">
        <f t="shared" si="78"/>
        <v>567172.33470704174</v>
      </c>
      <c r="BE398" s="19">
        <f t="shared" si="78"/>
        <v>661701.05715821532</v>
      </c>
      <c r="BF398" s="19">
        <f t="shared" si="78"/>
        <v>756229.77960938902</v>
      </c>
      <c r="BG398" s="19">
        <f t="shared" si="78"/>
        <v>850758.50206056261</v>
      </c>
      <c r="BH398" s="18">
        <f t="shared" si="78"/>
        <v>945287.22451173619</v>
      </c>
      <c r="BI398" s="19">
        <f t="shared" si="78"/>
        <v>1890574.4490234724</v>
      </c>
      <c r="BJ398" s="19">
        <f t="shared" si="78"/>
        <v>3781148.8980469448</v>
      </c>
      <c r="BK398" s="19">
        <f t="shared" si="78"/>
        <v>7562297.7960938895</v>
      </c>
      <c r="BL398" s="19">
        <f t="shared" si="78"/>
        <v>9536112.7934061997</v>
      </c>
      <c r="BM398" s="60">
        <f t="shared" si="78"/>
        <v>9536112.7934061997</v>
      </c>
      <c r="BN398" s="45"/>
    </row>
    <row r="399" spans="1:68" x14ac:dyDescent="0.25">
      <c r="A399" s="41"/>
      <c r="B399" s="6"/>
      <c r="C399" s="10"/>
      <c r="D399" s="8"/>
      <c r="E399" s="27">
        <v>0.14799999999999999</v>
      </c>
      <c r="F399" s="10"/>
      <c r="G399" s="10"/>
      <c r="H399" s="10"/>
      <c r="I399" s="10"/>
      <c r="J399" s="10"/>
      <c r="K399" s="10"/>
      <c r="L399" s="10"/>
      <c r="M399" s="10"/>
      <c r="N399" s="10"/>
      <c r="O399" s="10"/>
      <c r="P399" s="10"/>
      <c r="Q399" s="10"/>
      <c r="R399" s="29">
        <f t="shared" ref="R399:BM399" si="79">R$367*$D$398*$E$399</f>
        <v>0.13342142985128111</v>
      </c>
      <c r="S399" s="30">
        <f t="shared" si="79"/>
        <v>0.26684285970256222</v>
      </c>
      <c r="T399" s="30">
        <f t="shared" si="79"/>
        <v>0.53368571940512444</v>
      </c>
      <c r="U399" s="30">
        <f t="shared" si="79"/>
        <v>1.0673714388102489</v>
      </c>
      <c r="V399" s="30">
        <f t="shared" si="79"/>
        <v>2.1347428776204977</v>
      </c>
      <c r="W399" s="30">
        <f t="shared" si="79"/>
        <v>4.2694857552409955</v>
      </c>
      <c r="X399" s="30">
        <f t="shared" si="79"/>
        <v>8.538971510481991</v>
      </c>
      <c r="Y399" s="30">
        <f t="shared" si="79"/>
        <v>17.077943020963982</v>
      </c>
      <c r="Z399" s="30">
        <f t="shared" si="79"/>
        <v>34.155886041927964</v>
      </c>
      <c r="AA399" s="30">
        <f t="shared" si="79"/>
        <v>68.311772083855928</v>
      </c>
      <c r="AB399" s="30">
        <f t="shared" si="79"/>
        <v>136.62354416771186</v>
      </c>
      <c r="AC399" s="30">
        <f t="shared" si="79"/>
        <v>273.24708833542371</v>
      </c>
      <c r="AD399" s="30">
        <f t="shared" si="79"/>
        <v>546.49417667084742</v>
      </c>
      <c r="AE399" s="30">
        <f t="shared" si="79"/>
        <v>1092.9883533416948</v>
      </c>
      <c r="AF399" s="30">
        <f t="shared" si="79"/>
        <v>2185.9767066833897</v>
      </c>
      <c r="AG399" s="30">
        <f t="shared" si="79"/>
        <v>2732.4708833542377</v>
      </c>
      <c r="AH399" s="30">
        <f t="shared" si="79"/>
        <v>3278.9650600250848</v>
      </c>
      <c r="AI399" s="30">
        <f t="shared" si="79"/>
        <v>3825.4592366959323</v>
      </c>
      <c r="AJ399" s="30">
        <f t="shared" si="79"/>
        <v>4371.9534133667794</v>
      </c>
      <c r="AK399" s="30">
        <f t="shared" si="79"/>
        <v>5596.1003691094775</v>
      </c>
      <c r="AL399" s="30">
        <f t="shared" si="79"/>
        <v>6557.9301200501695</v>
      </c>
      <c r="AM399" s="30">
        <f t="shared" si="79"/>
        <v>7650.9184733918646</v>
      </c>
      <c r="AN399" s="30">
        <f t="shared" si="79"/>
        <v>8743.9068267335588</v>
      </c>
      <c r="AO399" s="30">
        <f t="shared" si="79"/>
        <v>10492.688192080272</v>
      </c>
      <c r="AP399" s="30">
        <f t="shared" si="79"/>
        <v>12241.469557426983</v>
      </c>
      <c r="AQ399" s="30">
        <f t="shared" si="79"/>
        <v>13990.250922773695</v>
      </c>
      <c r="AR399" s="30">
        <f t="shared" si="79"/>
        <v>15739.032288120407</v>
      </c>
      <c r="AS399" s="30">
        <f t="shared" si="79"/>
        <v>17487.813653467118</v>
      </c>
      <c r="AT399" s="30">
        <f t="shared" si="79"/>
        <v>20985.376384160543</v>
      </c>
      <c r="AU399" s="30">
        <f t="shared" si="79"/>
        <v>24482.939114853965</v>
      </c>
      <c r="AV399" s="30">
        <f t="shared" si="79"/>
        <v>27980.501845547391</v>
      </c>
      <c r="AW399" s="30">
        <f t="shared" si="79"/>
        <v>31478.064576240813</v>
      </c>
      <c r="AX399" s="30">
        <f t="shared" si="79"/>
        <v>34975.627306934235</v>
      </c>
      <c r="AY399" s="30">
        <f t="shared" si="79"/>
        <v>41970.752768321086</v>
      </c>
      <c r="AZ399" s="30">
        <f t="shared" si="79"/>
        <v>48965.878229707931</v>
      </c>
      <c r="BA399" s="30">
        <f t="shared" si="79"/>
        <v>55961.003691094782</v>
      </c>
      <c r="BB399" s="30">
        <f t="shared" si="79"/>
        <v>62956.129152481626</v>
      </c>
      <c r="BC399" s="30">
        <f t="shared" si="79"/>
        <v>69951.25461386847</v>
      </c>
      <c r="BD399" s="30">
        <f t="shared" si="79"/>
        <v>83941.505536642173</v>
      </c>
      <c r="BE399" s="30">
        <f t="shared" si="79"/>
        <v>97931.756459415861</v>
      </c>
      <c r="BF399" s="30">
        <f t="shared" si="79"/>
        <v>111922.00738218956</v>
      </c>
      <c r="BG399" s="30">
        <f t="shared" si="79"/>
        <v>125912.25830496325</v>
      </c>
      <c r="BH399" s="29">
        <f t="shared" si="79"/>
        <v>139902.50922773694</v>
      </c>
      <c r="BI399" s="30">
        <f t="shared" si="79"/>
        <v>279805.01845547388</v>
      </c>
      <c r="BJ399" s="30">
        <f t="shared" si="79"/>
        <v>559610.03691094776</v>
      </c>
      <c r="BK399" s="30">
        <f t="shared" si="79"/>
        <v>1119220.0738218955</v>
      </c>
      <c r="BL399" s="30">
        <f t="shared" si="79"/>
        <v>1411344.6934241175</v>
      </c>
      <c r="BM399" s="71">
        <f t="shared" si="79"/>
        <v>1411344.6934241175</v>
      </c>
      <c r="BN399" s="45"/>
    </row>
    <row r="400" spans="1:68" x14ac:dyDescent="0.25">
      <c r="A400" s="41" t="s">
        <v>13</v>
      </c>
      <c r="B400" s="6">
        <f>'Population by Age - Wikipedia'!D37</f>
        <v>5.3752877231864643E-2</v>
      </c>
      <c r="C400" s="10">
        <f>$B$348*B400</f>
        <v>17768846.73858995</v>
      </c>
      <c r="D400" s="23">
        <f>'AU Infection Rate by Age'!C5</f>
        <v>0.10661171833004837</v>
      </c>
      <c r="E400" s="17"/>
      <c r="F400" s="16"/>
      <c r="G400" s="16"/>
      <c r="H400" s="16"/>
      <c r="I400" s="16"/>
      <c r="J400" s="16"/>
      <c r="K400" s="16"/>
      <c r="L400" s="16"/>
      <c r="M400" s="16"/>
      <c r="N400" s="16"/>
      <c r="O400" s="16"/>
      <c r="P400" s="16"/>
      <c r="Q400" s="16"/>
      <c r="R400" s="20">
        <f t="shared" ref="R400:BM400" si="80">R$367*$D$400</f>
        <v>3.3316161978140117</v>
      </c>
      <c r="S400" s="21">
        <f t="shared" si="80"/>
        <v>6.6632323956280235</v>
      </c>
      <c r="T400" s="21">
        <f t="shared" si="80"/>
        <v>13.326464791256047</v>
      </c>
      <c r="U400" s="21">
        <f t="shared" si="80"/>
        <v>26.652929582512094</v>
      </c>
      <c r="V400" s="21">
        <f t="shared" si="80"/>
        <v>53.305859165024188</v>
      </c>
      <c r="W400" s="21">
        <f t="shared" si="80"/>
        <v>106.61171833004838</v>
      </c>
      <c r="X400" s="21">
        <f t="shared" si="80"/>
        <v>213.22343666009675</v>
      </c>
      <c r="Y400" s="21">
        <f t="shared" si="80"/>
        <v>426.4468733201935</v>
      </c>
      <c r="Z400" s="21">
        <f t="shared" si="80"/>
        <v>852.89374664038701</v>
      </c>
      <c r="AA400" s="21">
        <f t="shared" si="80"/>
        <v>1705.787493280774</v>
      </c>
      <c r="AB400" s="21">
        <f t="shared" si="80"/>
        <v>3411.574986561548</v>
      </c>
      <c r="AC400" s="21">
        <f t="shared" si="80"/>
        <v>6823.1499731230961</v>
      </c>
      <c r="AD400" s="21">
        <f t="shared" si="80"/>
        <v>13646.299946246192</v>
      </c>
      <c r="AE400" s="21">
        <f t="shared" si="80"/>
        <v>27292.599892492384</v>
      </c>
      <c r="AF400" s="21">
        <f t="shared" si="80"/>
        <v>54585.199784984768</v>
      </c>
      <c r="AG400" s="21">
        <f t="shared" si="80"/>
        <v>68231.499731230957</v>
      </c>
      <c r="AH400" s="21">
        <f t="shared" si="80"/>
        <v>81877.799677477145</v>
      </c>
      <c r="AI400" s="21">
        <f t="shared" si="80"/>
        <v>95524.099623723334</v>
      </c>
      <c r="AJ400" s="21">
        <f t="shared" si="80"/>
        <v>109170.39956996954</v>
      </c>
      <c r="AK400" s="21">
        <f t="shared" si="80"/>
        <v>139738.11144956099</v>
      </c>
      <c r="AL400" s="21">
        <f t="shared" si="80"/>
        <v>163755.59935495429</v>
      </c>
      <c r="AM400" s="21">
        <f t="shared" si="80"/>
        <v>191048.19924744667</v>
      </c>
      <c r="AN400" s="21">
        <f t="shared" si="80"/>
        <v>218340.79913993907</v>
      </c>
      <c r="AO400" s="21">
        <f t="shared" si="80"/>
        <v>262008.95896792688</v>
      </c>
      <c r="AP400" s="21">
        <f t="shared" si="80"/>
        <v>305677.11879591469</v>
      </c>
      <c r="AQ400" s="21">
        <f t="shared" si="80"/>
        <v>349345.27862390253</v>
      </c>
      <c r="AR400" s="21">
        <f t="shared" si="80"/>
        <v>393013.43845189031</v>
      </c>
      <c r="AS400" s="21">
        <f t="shared" si="80"/>
        <v>436681.59827987815</v>
      </c>
      <c r="AT400" s="21">
        <f t="shared" si="80"/>
        <v>524017.91793585377</v>
      </c>
      <c r="AU400" s="21">
        <f t="shared" si="80"/>
        <v>611354.23759182938</v>
      </c>
      <c r="AV400" s="21">
        <f t="shared" si="80"/>
        <v>698690.55724780506</v>
      </c>
      <c r="AW400" s="21">
        <f t="shared" si="80"/>
        <v>786026.87690378062</v>
      </c>
      <c r="AX400" s="21">
        <f t="shared" si="80"/>
        <v>873363.1965597563</v>
      </c>
      <c r="AY400" s="21">
        <f t="shared" si="80"/>
        <v>1048035.8358717075</v>
      </c>
      <c r="AZ400" s="21">
        <f t="shared" si="80"/>
        <v>1222708.4751836588</v>
      </c>
      <c r="BA400" s="21">
        <f t="shared" si="80"/>
        <v>1397381.1144956101</v>
      </c>
      <c r="BB400" s="21">
        <f t="shared" si="80"/>
        <v>1572053.7538075612</v>
      </c>
      <c r="BC400" s="21">
        <f t="shared" si="80"/>
        <v>1746726.3931195126</v>
      </c>
      <c r="BD400" s="21">
        <f t="shared" si="80"/>
        <v>2096071.6717434151</v>
      </c>
      <c r="BE400" s="21">
        <f t="shared" si="80"/>
        <v>2445416.9503673175</v>
      </c>
      <c r="BF400" s="21">
        <f t="shared" si="80"/>
        <v>2794762.2289912202</v>
      </c>
      <c r="BG400" s="21">
        <f t="shared" si="80"/>
        <v>3144107.5076151225</v>
      </c>
      <c r="BH400" s="20">
        <f t="shared" si="80"/>
        <v>3493452.7862390252</v>
      </c>
      <c r="BI400" s="21">
        <f t="shared" si="80"/>
        <v>6986905.5724780504</v>
      </c>
      <c r="BJ400" s="21">
        <f t="shared" si="80"/>
        <v>13973811.144956101</v>
      </c>
      <c r="BK400" s="21">
        <f t="shared" si="80"/>
        <v>27947622.289912201</v>
      </c>
      <c r="BL400" s="21">
        <f t="shared" si="80"/>
        <v>35242155.975631602</v>
      </c>
      <c r="BM400" s="72">
        <f t="shared" si="80"/>
        <v>35242155.975631602</v>
      </c>
      <c r="BN400" s="45"/>
    </row>
    <row r="401" spans="1:66" x14ac:dyDescent="0.25">
      <c r="A401" s="41"/>
      <c r="B401" s="6"/>
      <c r="C401" s="10"/>
      <c r="D401" s="8"/>
      <c r="E401" s="27">
        <v>0.08</v>
      </c>
      <c r="F401" s="10"/>
      <c r="G401" s="10"/>
      <c r="H401" s="10"/>
      <c r="I401" s="10"/>
      <c r="J401" s="10"/>
      <c r="K401" s="10"/>
      <c r="L401" s="10"/>
      <c r="M401" s="10"/>
      <c r="N401" s="10"/>
      <c r="O401" s="10"/>
      <c r="P401" s="10"/>
      <c r="Q401" s="10"/>
      <c r="R401" s="29">
        <f t="shared" ref="R401:BM401" si="81">R$367*$D$400*$E$401</f>
        <v>0.26652929582512097</v>
      </c>
      <c r="S401" s="30">
        <f t="shared" si="81"/>
        <v>0.53305859165024194</v>
      </c>
      <c r="T401" s="30">
        <f t="shared" si="81"/>
        <v>1.0661171833004839</v>
      </c>
      <c r="U401" s="30">
        <f t="shared" si="81"/>
        <v>2.1322343666009678</v>
      </c>
      <c r="V401" s="30">
        <f t="shared" si="81"/>
        <v>4.2644687332019355</v>
      </c>
      <c r="W401" s="30">
        <f t="shared" si="81"/>
        <v>8.5289374664038711</v>
      </c>
      <c r="X401" s="30">
        <f t="shared" si="81"/>
        <v>17.057874932807742</v>
      </c>
      <c r="Y401" s="30">
        <f t="shared" si="81"/>
        <v>34.115749865615484</v>
      </c>
      <c r="Z401" s="30">
        <f t="shared" si="81"/>
        <v>68.231499731230969</v>
      </c>
      <c r="AA401" s="30">
        <f t="shared" si="81"/>
        <v>136.46299946246194</v>
      </c>
      <c r="AB401" s="30">
        <f t="shared" si="81"/>
        <v>272.92599892492387</v>
      </c>
      <c r="AC401" s="30">
        <f t="shared" si="81"/>
        <v>545.85199784984775</v>
      </c>
      <c r="AD401" s="30">
        <f t="shared" si="81"/>
        <v>1091.7039956996955</v>
      </c>
      <c r="AE401" s="30">
        <f t="shared" si="81"/>
        <v>2183.407991399391</v>
      </c>
      <c r="AF401" s="30">
        <f t="shared" si="81"/>
        <v>4366.815982798782</v>
      </c>
      <c r="AG401" s="30">
        <f t="shared" si="81"/>
        <v>5458.519978498477</v>
      </c>
      <c r="AH401" s="30">
        <f t="shared" si="81"/>
        <v>6550.2239741981721</v>
      </c>
      <c r="AI401" s="30">
        <f t="shared" si="81"/>
        <v>7641.9279698978671</v>
      </c>
      <c r="AJ401" s="30">
        <f t="shared" si="81"/>
        <v>8733.631965597564</v>
      </c>
      <c r="AK401" s="30">
        <f t="shared" si="81"/>
        <v>11179.048915964881</v>
      </c>
      <c r="AL401" s="30">
        <f t="shared" si="81"/>
        <v>13100.447948396344</v>
      </c>
      <c r="AM401" s="30">
        <f t="shared" si="81"/>
        <v>15283.855939795734</v>
      </c>
      <c r="AN401" s="30">
        <f t="shared" si="81"/>
        <v>17467.263931195128</v>
      </c>
      <c r="AO401" s="30">
        <f t="shared" si="81"/>
        <v>20960.716717434152</v>
      </c>
      <c r="AP401" s="30">
        <f t="shared" si="81"/>
        <v>24454.169503673176</v>
      </c>
      <c r="AQ401" s="30">
        <f t="shared" si="81"/>
        <v>27947.622289912204</v>
      </c>
      <c r="AR401" s="30">
        <f t="shared" si="81"/>
        <v>31441.075076151224</v>
      </c>
      <c r="AS401" s="30">
        <f t="shared" si="81"/>
        <v>34934.527862390256</v>
      </c>
      <c r="AT401" s="30">
        <f t="shared" si="81"/>
        <v>41921.433434868304</v>
      </c>
      <c r="AU401" s="30">
        <f t="shared" si="81"/>
        <v>48908.339007346352</v>
      </c>
      <c r="AV401" s="30">
        <f t="shared" si="81"/>
        <v>55895.244579824408</v>
      </c>
      <c r="AW401" s="30">
        <f t="shared" si="81"/>
        <v>62882.150152302449</v>
      </c>
      <c r="AX401" s="30">
        <f t="shared" si="81"/>
        <v>69869.055724780512</v>
      </c>
      <c r="AY401" s="30">
        <f t="shared" si="81"/>
        <v>83842.866869736608</v>
      </c>
      <c r="AZ401" s="30">
        <f t="shared" si="81"/>
        <v>97816.678014692705</v>
      </c>
      <c r="BA401" s="30">
        <f t="shared" si="81"/>
        <v>111790.48915964882</v>
      </c>
      <c r="BB401" s="30">
        <f t="shared" si="81"/>
        <v>125764.3003046049</v>
      </c>
      <c r="BC401" s="30">
        <f t="shared" si="81"/>
        <v>139738.11144956102</v>
      </c>
      <c r="BD401" s="30">
        <f t="shared" si="81"/>
        <v>167685.73373947322</v>
      </c>
      <c r="BE401" s="30">
        <f t="shared" si="81"/>
        <v>195633.35602938541</v>
      </c>
      <c r="BF401" s="30">
        <f t="shared" si="81"/>
        <v>223580.97831929763</v>
      </c>
      <c r="BG401" s="30">
        <f t="shared" si="81"/>
        <v>251528.6006092098</v>
      </c>
      <c r="BH401" s="29">
        <f t="shared" si="81"/>
        <v>279476.22289912205</v>
      </c>
      <c r="BI401" s="30">
        <f t="shared" si="81"/>
        <v>558952.44579824409</v>
      </c>
      <c r="BJ401" s="30">
        <f t="shared" si="81"/>
        <v>1117904.8915964882</v>
      </c>
      <c r="BK401" s="30">
        <f t="shared" si="81"/>
        <v>2235809.7831929764</v>
      </c>
      <c r="BL401" s="30">
        <f t="shared" si="81"/>
        <v>2819372.4780505281</v>
      </c>
      <c r="BM401" s="71">
        <f t="shared" si="81"/>
        <v>2819372.4780505281</v>
      </c>
      <c r="BN401" s="45"/>
    </row>
    <row r="402" spans="1:66" x14ac:dyDescent="0.25">
      <c r="A402" s="41" t="s">
        <v>14</v>
      </c>
      <c r="B402" s="6">
        <f>'Population by Age - Wikipedia'!D33</f>
        <v>9.4748533661399834E-2</v>
      </c>
      <c r="C402" s="10">
        <f>$B$348*B402</f>
        <v>31320596.404047467</v>
      </c>
      <c r="D402" s="23">
        <f>'AU Infection Rate by Age'!C6</f>
        <v>0.16735352087439526</v>
      </c>
      <c r="E402" s="17"/>
      <c r="F402" s="10"/>
      <c r="G402" s="10"/>
      <c r="H402" s="10"/>
      <c r="I402" s="10"/>
      <c r="J402" s="10"/>
      <c r="K402" s="10"/>
      <c r="L402" s="10"/>
      <c r="M402" s="10"/>
      <c r="N402" s="10"/>
      <c r="O402" s="10"/>
      <c r="P402" s="10"/>
      <c r="Q402" s="10"/>
      <c r="R402" s="20">
        <f t="shared" ref="R402:BM402" si="82">R$367*$D$402</f>
        <v>5.2297975273248518</v>
      </c>
      <c r="S402" s="21">
        <f t="shared" si="82"/>
        <v>10.459595054649704</v>
      </c>
      <c r="T402" s="21">
        <f t="shared" si="82"/>
        <v>20.919190109299407</v>
      </c>
      <c r="U402" s="21">
        <f t="shared" si="82"/>
        <v>41.838380218598815</v>
      </c>
      <c r="V402" s="21">
        <f t="shared" si="82"/>
        <v>83.676760437197629</v>
      </c>
      <c r="W402" s="21">
        <f t="shared" si="82"/>
        <v>167.35352087439526</v>
      </c>
      <c r="X402" s="21">
        <f t="shared" si="82"/>
        <v>334.70704174879052</v>
      </c>
      <c r="Y402" s="21">
        <f t="shared" si="82"/>
        <v>669.41408349758103</v>
      </c>
      <c r="Z402" s="21">
        <f t="shared" si="82"/>
        <v>1338.8281669951621</v>
      </c>
      <c r="AA402" s="21">
        <f t="shared" si="82"/>
        <v>2677.6563339903241</v>
      </c>
      <c r="AB402" s="21">
        <f t="shared" si="82"/>
        <v>5355.3126679806483</v>
      </c>
      <c r="AC402" s="21">
        <f t="shared" si="82"/>
        <v>10710.625335961297</v>
      </c>
      <c r="AD402" s="21">
        <f t="shared" si="82"/>
        <v>21421.250671922593</v>
      </c>
      <c r="AE402" s="21">
        <f t="shared" si="82"/>
        <v>42842.501343845186</v>
      </c>
      <c r="AF402" s="21">
        <f t="shared" si="82"/>
        <v>85685.002687690372</v>
      </c>
      <c r="AG402" s="21">
        <f t="shared" si="82"/>
        <v>107106.25335961297</v>
      </c>
      <c r="AH402" s="21">
        <f t="shared" si="82"/>
        <v>128527.50403153556</v>
      </c>
      <c r="AI402" s="21">
        <f t="shared" si="82"/>
        <v>149948.75470345814</v>
      </c>
      <c r="AJ402" s="21">
        <f t="shared" si="82"/>
        <v>171370.00537538074</v>
      </c>
      <c r="AK402" s="21">
        <f t="shared" si="82"/>
        <v>219353.60688048735</v>
      </c>
      <c r="AL402" s="21">
        <f t="shared" si="82"/>
        <v>257055.00806307112</v>
      </c>
      <c r="AM402" s="21">
        <f t="shared" si="82"/>
        <v>299897.50940691627</v>
      </c>
      <c r="AN402" s="21">
        <f t="shared" si="82"/>
        <v>342740.01075076149</v>
      </c>
      <c r="AO402" s="21">
        <f t="shared" si="82"/>
        <v>411288.01290091377</v>
      </c>
      <c r="AP402" s="21">
        <f t="shared" si="82"/>
        <v>479836.01505106606</v>
      </c>
      <c r="AQ402" s="21">
        <f t="shared" si="82"/>
        <v>548384.0172012184</v>
      </c>
      <c r="AR402" s="21">
        <f t="shared" si="82"/>
        <v>616932.01935137063</v>
      </c>
      <c r="AS402" s="21">
        <f t="shared" si="82"/>
        <v>685480.02150152298</v>
      </c>
      <c r="AT402" s="21">
        <f t="shared" si="82"/>
        <v>822576.02580182755</v>
      </c>
      <c r="AU402" s="21">
        <f t="shared" si="82"/>
        <v>959672.03010213212</v>
      </c>
      <c r="AV402" s="21">
        <f t="shared" si="82"/>
        <v>1096768.0344024368</v>
      </c>
      <c r="AW402" s="21">
        <f t="shared" si="82"/>
        <v>1233864.0387027413</v>
      </c>
      <c r="AX402" s="21">
        <f t="shared" si="82"/>
        <v>1370960.043003046</v>
      </c>
      <c r="AY402" s="21">
        <f t="shared" si="82"/>
        <v>1645152.0516036551</v>
      </c>
      <c r="AZ402" s="21">
        <f t="shared" si="82"/>
        <v>1919344.0602042642</v>
      </c>
      <c r="BA402" s="21">
        <f t="shared" si="82"/>
        <v>2193536.0688048736</v>
      </c>
      <c r="BB402" s="21">
        <f t="shared" si="82"/>
        <v>2467728.0774054825</v>
      </c>
      <c r="BC402" s="21">
        <f t="shared" si="82"/>
        <v>2741920.0860060919</v>
      </c>
      <c r="BD402" s="21">
        <f t="shared" si="82"/>
        <v>3290304.1032073102</v>
      </c>
      <c r="BE402" s="21">
        <f t="shared" si="82"/>
        <v>3838688.1204085285</v>
      </c>
      <c r="BF402" s="21">
        <f t="shared" si="82"/>
        <v>4387072.1376097472</v>
      </c>
      <c r="BG402" s="21">
        <f t="shared" si="82"/>
        <v>4935456.1548109651</v>
      </c>
      <c r="BH402" s="20">
        <f t="shared" si="82"/>
        <v>5483840.1720121838</v>
      </c>
      <c r="BI402" s="21">
        <f t="shared" si="82"/>
        <v>10967680.344024368</v>
      </c>
      <c r="BJ402" s="21">
        <f t="shared" si="82"/>
        <v>21935360.688048735</v>
      </c>
      <c r="BK402" s="21">
        <f t="shared" si="82"/>
        <v>43870721.376097471</v>
      </c>
      <c r="BL402" s="21">
        <f t="shared" si="82"/>
        <v>55321300.304604903</v>
      </c>
      <c r="BM402" s="72">
        <f t="shared" si="82"/>
        <v>55321300.304604903</v>
      </c>
      <c r="BN402" s="45"/>
    </row>
    <row r="403" spans="1:66" x14ac:dyDescent="0.25">
      <c r="A403" s="41"/>
      <c r="B403" s="6"/>
      <c r="C403" s="10"/>
      <c r="D403" s="8"/>
      <c r="E403" s="27">
        <v>3.5999999999999997E-2</v>
      </c>
      <c r="F403" s="10"/>
      <c r="G403" s="10"/>
      <c r="H403" s="10"/>
      <c r="I403" s="10"/>
      <c r="J403" s="10"/>
      <c r="K403" s="10"/>
      <c r="L403" s="10"/>
      <c r="M403" s="10"/>
      <c r="N403" s="10"/>
      <c r="O403" s="10"/>
      <c r="P403" s="10"/>
      <c r="Q403" s="10"/>
      <c r="R403" s="29">
        <f t="shared" ref="R403:BM403" si="83">R$367*$D$402*$E$403</f>
        <v>0.18827271098369466</v>
      </c>
      <c r="S403" s="30">
        <f t="shared" si="83"/>
        <v>0.37654542196738933</v>
      </c>
      <c r="T403" s="30">
        <f t="shared" si="83"/>
        <v>0.75309084393477865</v>
      </c>
      <c r="U403" s="30">
        <f t="shared" si="83"/>
        <v>1.5061816878695573</v>
      </c>
      <c r="V403" s="30">
        <f t="shared" si="83"/>
        <v>3.0123633757391146</v>
      </c>
      <c r="W403" s="30">
        <f t="shared" si="83"/>
        <v>6.0247267514782292</v>
      </c>
      <c r="X403" s="30">
        <f t="shared" si="83"/>
        <v>12.049453502956458</v>
      </c>
      <c r="Y403" s="30">
        <f t="shared" si="83"/>
        <v>24.098907005912917</v>
      </c>
      <c r="Z403" s="30">
        <f t="shared" si="83"/>
        <v>48.197814011825834</v>
      </c>
      <c r="AA403" s="30">
        <f t="shared" si="83"/>
        <v>96.395628023651668</v>
      </c>
      <c r="AB403" s="30">
        <f t="shared" si="83"/>
        <v>192.79125604730334</v>
      </c>
      <c r="AC403" s="30">
        <f t="shared" si="83"/>
        <v>385.58251209460667</v>
      </c>
      <c r="AD403" s="30">
        <f t="shared" si="83"/>
        <v>771.16502418921334</v>
      </c>
      <c r="AE403" s="30">
        <f t="shared" si="83"/>
        <v>1542.3300483784267</v>
      </c>
      <c r="AF403" s="30">
        <f t="shared" si="83"/>
        <v>3084.6600967568534</v>
      </c>
      <c r="AG403" s="30">
        <f t="shared" si="83"/>
        <v>3855.8251209460664</v>
      </c>
      <c r="AH403" s="30">
        <f t="shared" si="83"/>
        <v>4626.9901451352798</v>
      </c>
      <c r="AI403" s="30">
        <f t="shared" si="83"/>
        <v>5398.1551693244928</v>
      </c>
      <c r="AJ403" s="30">
        <f t="shared" si="83"/>
        <v>6169.3201935137067</v>
      </c>
      <c r="AK403" s="30">
        <f t="shared" si="83"/>
        <v>7896.7298476975438</v>
      </c>
      <c r="AL403" s="30">
        <f t="shared" si="83"/>
        <v>9253.9802902705596</v>
      </c>
      <c r="AM403" s="30">
        <f t="shared" si="83"/>
        <v>10796.310338648986</v>
      </c>
      <c r="AN403" s="30">
        <f t="shared" si="83"/>
        <v>12338.640387027413</v>
      </c>
      <c r="AO403" s="30">
        <f t="shared" si="83"/>
        <v>14806.368464432895</v>
      </c>
      <c r="AP403" s="30">
        <f t="shared" si="83"/>
        <v>17274.096541838378</v>
      </c>
      <c r="AQ403" s="30">
        <f t="shared" si="83"/>
        <v>19741.82461924386</v>
      </c>
      <c r="AR403" s="30">
        <f t="shared" si="83"/>
        <v>22209.552696649342</v>
      </c>
      <c r="AS403" s="30">
        <f t="shared" si="83"/>
        <v>24677.280774054827</v>
      </c>
      <c r="AT403" s="30">
        <f t="shared" si="83"/>
        <v>29612.73692886579</v>
      </c>
      <c r="AU403" s="30">
        <f t="shared" si="83"/>
        <v>34548.193083676757</v>
      </c>
      <c r="AV403" s="30">
        <f t="shared" si="83"/>
        <v>39483.64923848772</v>
      </c>
      <c r="AW403" s="30">
        <f t="shared" si="83"/>
        <v>44419.105393298683</v>
      </c>
      <c r="AX403" s="30">
        <f t="shared" si="83"/>
        <v>49354.561548109654</v>
      </c>
      <c r="AY403" s="30">
        <f t="shared" si="83"/>
        <v>59225.47385773158</v>
      </c>
      <c r="AZ403" s="30">
        <f t="shared" si="83"/>
        <v>69096.386167353514</v>
      </c>
      <c r="BA403" s="30">
        <f t="shared" si="83"/>
        <v>78967.29847697544</v>
      </c>
      <c r="BB403" s="30">
        <f t="shared" si="83"/>
        <v>88838.210786597367</v>
      </c>
      <c r="BC403" s="30">
        <f t="shared" si="83"/>
        <v>98709.123096219308</v>
      </c>
      <c r="BD403" s="30">
        <f t="shared" si="83"/>
        <v>118450.94771546316</v>
      </c>
      <c r="BE403" s="30">
        <f t="shared" si="83"/>
        <v>138192.77233470703</v>
      </c>
      <c r="BF403" s="30">
        <f t="shared" si="83"/>
        <v>157934.59695395088</v>
      </c>
      <c r="BG403" s="30">
        <f t="shared" si="83"/>
        <v>177676.42157319473</v>
      </c>
      <c r="BH403" s="29">
        <f t="shared" si="83"/>
        <v>197418.24619243862</v>
      </c>
      <c r="BI403" s="30">
        <f t="shared" si="83"/>
        <v>394836.49238487723</v>
      </c>
      <c r="BJ403" s="30">
        <f t="shared" si="83"/>
        <v>789672.98476975446</v>
      </c>
      <c r="BK403" s="30">
        <f t="shared" si="83"/>
        <v>1579345.9695395089</v>
      </c>
      <c r="BL403" s="30">
        <f t="shared" si="83"/>
        <v>1991566.8109657764</v>
      </c>
      <c r="BM403" s="71">
        <f t="shared" si="83"/>
        <v>1991566.8109657764</v>
      </c>
      <c r="BN403" s="45"/>
    </row>
    <row r="404" spans="1:66" x14ac:dyDescent="0.25">
      <c r="A404" s="41" t="s">
        <v>15</v>
      </c>
      <c r="B404" s="6">
        <f>'Population by Age - Wikipedia'!D29</f>
        <v>0.13591428809571979</v>
      </c>
      <c r="C404" s="10">
        <f>$B$348*B404</f>
        <v>44928574.60150566</v>
      </c>
      <c r="D404" s="23">
        <f>'AU Infection Rate by Age'!C7</f>
        <v>0.15534850385235621</v>
      </c>
      <c r="E404" s="17"/>
      <c r="F404" s="10"/>
      <c r="G404" s="10"/>
      <c r="H404" s="10"/>
      <c r="I404" s="10"/>
      <c r="J404" s="10"/>
      <c r="K404" s="10"/>
      <c r="L404" s="10"/>
      <c r="M404" s="10"/>
      <c r="N404" s="10"/>
      <c r="O404" s="10"/>
      <c r="P404" s="10"/>
      <c r="Q404" s="10"/>
      <c r="R404" s="20">
        <f t="shared" ref="R404:BM404" si="84">R$367*$D$404</f>
        <v>4.8546407453861313</v>
      </c>
      <c r="S404" s="21">
        <f t="shared" si="84"/>
        <v>9.7092814907722627</v>
      </c>
      <c r="T404" s="21">
        <f t="shared" si="84"/>
        <v>19.418562981544525</v>
      </c>
      <c r="U404" s="21">
        <f t="shared" si="84"/>
        <v>38.837125963089051</v>
      </c>
      <c r="V404" s="21">
        <f t="shared" si="84"/>
        <v>77.674251926178101</v>
      </c>
      <c r="W404" s="21">
        <f t="shared" si="84"/>
        <v>155.3485038523562</v>
      </c>
      <c r="X404" s="21">
        <f t="shared" si="84"/>
        <v>310.69700770471241</v>
      </c>
      <c r="Y404" s="21">
        <f t="shared" si="84"/>
        <v>621.39401540942481</v>
      </c>
      <c r="Z404" s="21">
        <f t="shared" si="84"/>
        <v>1242.7880308188496</v>
      </c>
      <c r="AA404" s="21">
        <f t="shared" si="84"/>
        <v>2485.5760616376992</v>
      </c>
      <c r="AB404" s="21">
        <f t="shared" si="84"/>
        <v>4971.1521232753985</v>
      </c>
      <c r="AC404" s="21">
        <f t="shared" si="84"/>
        <v>9942.304246550797</v>
      </c>
      <c r="AD404" s="21">
        <f t="shared" si="84"/>
        <v>19884.608493101594</v>
      </c>
      <c r="AE404" s="21">
        <f t="shared" si="84"/>
        <v>39769.216986203188</v>
      </c>
      <c r="AF404" s="21">
        <f t="shared" si="84"/>
        <v>79538.433972406376</v>
      </c>
      <c r="AG404" s="21">
        <f t="shared" si="84"/>
        <v>99423.04246550797</v>
      </c>
      <c r="AH404" s="21">
        <f t="shared" si="84"/>
        <v>119307.65095860958</v>
      </c>
      <c r="AI404" s="21">
        <f t="shared" si="84"/>
        <v>139192.25945171117</v>
      </c>
      <c r="AJ404" s="21">
        <f t="shared" si="84"/>
        <v>159076.86794481275</v>
      </c>
      <c r="AK404" s="21">
        <f t="shared" si="84"/>
        <v>203618.39096936033</v>
      </c>
      <c r="AL404" s="21">
        <f t="shared" si="84"/>
        <v>238615.30191721916</v>
      </c>
      <c r="AM404" s="21">
        <f t="shared" si="84"/>
        <v>278384.51890342234</v>
      </c>
      <c r="AN404" s="21">
        <f t="shared" si="84"/>
        <v>318153.7358896255</v>
      </c>
      <c r="AO404" s="21">
        <f t="shared" si="84"/>
        <v>381784.48306755064</v>
      </c>
      <c r="AP404" s="21">
        <f t="shared" si="84"/>
        <v>445415.23024547572</v>
      </c>
      <c r="AQ404" s="21">
        <f t="shared" si="84"/>
        <v>509045.97742340085</v>
      </c>
      <c r="AR404" s="21">
        <f t="shared" si="84"/>
        <v>572676.72460132593</v>
      </c>
      <c r="AS404" s="21">
        <f t="shared" si="84"/>
        <v>636307.47177925101</v>
      </c>
      <c r="AT404" s="21">
        <f t="shared" si="84"/>
        <v>763568.96613510128</v>
      </c>
      <c r="AU404" s="21">
        <f t="shared" si="84"/>
        <v>890830.46049095143</v>
      </c>
      <c r="AV404" s="21">
        <f t="shared" si="84"/>
        <v>1018091.9548468017</v>
      </c>
      <c r="AW404" s="21">
        <f t="shared" si="84"/>
        <v>1145353.4492026519</v>
      </c>
      <c r="AX404" s="21">
        <f t="shared" si="84"/>
        <v>1272614.943558502</v>
      </c>
      <c r="AY404" s="21">
        <f t="shared" si="84"/>
        <v>1527137.9322702026</v>
      </c>
      <c r="AZ404" s="21">
        <f t="shared" si="84"/>
        <v>1781660.9209819029</v>
      </c>
      <c r="BA404" s="21">
        <f t="shared" si="84"/>
        <v>2036183.9096936034</v>
      </c>
      <c r="BB404" s="21">
        <f t="shared" si="84"/>
        <v>2290706.8984053037</v>
      </c>
      <c r="BC404" s="21">
        <f t="shared" si="84"/>
        <v>2545229.887117004</v>
      </c>
      <c r="BD404" s="21">
        <f t="shared" si="84"/>
        <v>3054275.8645404051</v>
      </c>
      <c r="BE404" s="21">
        <f t="shared" si="84"/>
        <v>3563321.8419638057</v>
      </c>
      <c r="BF404" s="21">
        <f t="shared" si="84"/>
        <v>4072367.8193872068</v>
      </c>
      <c r="BG404" s="21">
        <f t="shared" si="84"/>
        <v>4581413.7968106074</v>
      </c>
      <c r="BH404" s="20">
        <f t="shared" si="84"/>
        <v>5090459.774234008</v>
      </c>
      <c r="BI404" s="21">
        <f t="shared" si="84"/>
        <v>10180919.548468016</v>
      </c>
      <c r="BJ404" s="21">
        <f t="shared" si="84"/>
        <v>20361839.096936032</v>
      </c>
      <c r="BK404" s="21">
        <f t="shared" si="84"/>
        <v>40723678.193872064</v>
      </c>
      <c r="BL404" s="21">
        <f t="shared" si="84"/>
        <v>51352855.850206055</v>
      </c>
      <c r="BM404" s="72">
        <f t="shared" si="84"/>
        <v>51352855.850206055</v>
      </c>
      <c r="BN404" s="45"/>
    </row>
    <row r="405" spans="1:66" x14ac:dyDescent="0.25">
      <c r="A405" s="41"/>
      <c r="B405" s="6"/>
      <c r="C405" s="10"/>
      <c r="D405" s="8"/>
      <c r="E405" s="27">
        <v>1.2999999999999999E-2</v>
      </c>
      <c r="F405" s="10"/>
      <c r="G405" s="10"/>
      <c r="H405" s="10"/>
      <c r="I405" s="10"/>
      <c r="J405" s="10"/>
      <c r="K405" s="10"/>
      <c r="L405" s="10"/>
      <c r="M405" s="10"/>
      <c r="N405" s="10"/>
      <c r="O405" s="10"/>
      <c r="P405" s="10"/>
      <c r="Q405" s="10"/>
      <c r="R405" s="29">
        <f t="shared" ref="R405:BM405" si="85">R$367*$D$404*$E$405</f>
        <v>6.3110329690019701E-2</v>
      </c>
      <c r="S405" s="30">
        <f t="shared" si="85"/>
        <v>0.1262206593800394</v>
      </c>
      <c r="T405" s="30">
        <f t="shared" si="85"/>
        <v>0.2524413187600788</v>
      </c>
      <c r="U405" s="30">
        <f t="shared" si="85"/>
        <v>0.50488263752015761</v>
      </c>
      <c r="V405" s="30">
        <f t="shared" si="85"/>
        <v>1.0097652750403152</v>
      </c>
      <c r="W405" s="30">
        <f t="shared" si="85"/>
        <v>2.0195305500806304</v>
      </c>
      <c r="X405" s="30">
        <f t="shared" si="85"/>
        <v>4.0390611001612609</v>
      </c>
      <c r="Y405" s="30">
        <f t="shared" si="85"/>
        <v>8.0781222003225217</v>
      </c>
      <c r="Z405" s="30">
        <f t="shared" si="85"/>
        <v>16.156244400645043</v>
      </c>
      <c r="AA405" s="30">
        <f t="shared" si="85"/>
        <v>32.312488801290087</v>
      </c>
      <c r="AB405" s="30">
        <f t="shared" si="85"/>
        <v>64.624977602580174</v>
      </c>
      <c r="AC405" s="30">
        <f t="shared" si="85"/>
        <v>129.24995520516035</v>
      </c>
      <c r="AD405" s="30">
        <f t="shared" si="85"/>
        <v>258.49991041032069</v>
      </c>
      <c r="AE405" s="30">
        <f t="shared" si="85"/>
        <v>516.99982082064139</v>
      </c>
      <c r="AF405" s="30">
        <f t="shared" si="85"/>
        <v>1033.9996416412828</v>
      </c>
      <c r="AG405" s="30">
        <f t="shared" si="85"/>
        <v>1292.4995520516036</v>
      </c>
      <c r="AH405" s="30">
        <f t="shared" si="85"/>
        <v>1550.9994624619244</v>
      </c>
      <c r="AI405" s="30">
        <f t="shared" si="85"/>
        <v>1809.4993728722452</v>
      </c>
      <c r="AJ405" s="30">
        <f t="shared" si="85"/>
        <v>2067.9992832825656</v>
      </c>
      <c r="AK405" s="30">
        <f t="shared" si="85"/>
        <v>2647.0390826016842</v>
      </c>
      <c r="AL405" s="30">
        <f t="shared" si="85"/>
        <v>3101.9989249238488</v>
      </c>
      <c r="AM405" s="30">
        <f t="shared" si="85"/>
        <v>3618.9987457444904</v>
      </c>
      <c r="AN405" s="30">
        <f t="shared" si="85"/>
        <v>4135.9985665651311</v>
      </c>
      <c r="AO405" s="30">
        <f t="shared" si="85"/>
        <v>4963.1982798781582</v>
      </c>
      <c r="AP405" s="30">
        <f t="shared" si="85"/>
        <v>5790.3979931911845</v>
      </c>
      <c r="AQ405" s="30">
        <f t="shared" si="85"/>
        <v>6617.5977065042107</v>
      </c>
      <c r="AR405" s="30">
        <f t="shared" si="85"/>
        <v>7444.7974198172369</v>
      </c>
      <c r="AS405" s="30">
        <f t="shared" si="85"/>
        <v>8271.9971331302622</v>
      </c>
      <c r="AT405" s="30">
        <f t="shared" si="85"/>
        <v>9926.3965597563165</v>
      </c>
      <c r="AU405" s="30">
        <f t="shared" si="85"/>
        <v>11580.795986382369</v>
      </c>
      <c r="AV405" s="30">
        <f t="shared" si="85"/>
        <v>13235.195413008421</v>
      </c>
      <c r="AW405" s="30">
        <f t="shared" si="85"/>
        <v>14889.594839634474</v>
      </c>
      <c r="AX405" s="30">
        <f t="shared" si="85"/>
        <v>16543.994266260524</v>
      </c>
      <c r="AY405" s="30">
        <f t="shared" si="85"/>
        <v>19852.793119512633</v>
      </c>
      <c r="AZ405" s="30">
        <f t="shared" si="85"/>
        <v>23161.591972764738</v>
      </c>
      <c r="BA405" s="30">
        <f t="shared" si="85"/>
        <v>26470.390826016843</v>
      </c>
      <c r="BB405" s="30">
        <f t="shared" si="85"/>
        <v>29779.189679268948</v>
      </c>
      <c r="BC405" s="30">
        <f t="shared" si="85"/>
        <v>33087.988532521049</v>
      </c>
      <c r="BD405" s="30">
        <f t="shared" si="85"/>
        <v>39705.586239025266</v>
      </c>
      <c r="BE405" s="30">
        <f t="shared" si="85"/>
        <v>46323.183945529476</v>
      </c>
      <c r="BF405" s="30">
        <f t="shared" si="85"/>
        <v>52940.781652033686</v>
      </c>
      <c r="BG405" s="30">
        <f t="shared" si="85"/>
        <v>59558.379358537895</v>
      </c>
      <c r="BH405" s="29">
        <f t="shared" si="85"/>
        <v>66175.977065042098</v>
      </c>
      <c r="BI405" s="30">
        <f t="shared" si="85"/>
        <v>132351.9541300842</v>
      </c>
      <c r="BJ405" s="30">
        <f t="shared" si="85"/>
        <v>264703.90826016839</v>
      </c>
      <c r="BK405" s="30">
        <f t="shared" si="85"/>
        <v>529407.81652033678</v>
      </c>
      <c r="BL405" s="30">
        <f t="shared" si="85"/>
        <v>667587.12605267868</v>
      </c>
      <c r="BM405" s="71">
        <f t="shared" si="85"/>
        <v>667587.12605267868</v>
      </c>
      <c r="BN405" s="45"/>
    </row>
    <row r="406" spans="1:66" x14ac:dyDescent="0.25">
      <c r="A406" s="41" t="s">
        <v>16</v>
      </c>
      <c r="B406" s="6">
        <f>'Population by Age - Wikipedia'!D25</f>
        <v>0.14121517441978385</v>
      </c>
      <c r="C406" s="10">
        <f>$B$348*B406</f>
        <v>46680864.739663057</v>
      </c>
      <c r="D406" s="23">
        <f>'AU Infection Rate by Age'!C8</f>
        <v>0.12972585558143701</v>
      </c>
      <c r="E406" s="17"/>
      <c r="F406" s="10"/>
      <c r="G406" s="10"/>
      <c r="H406" s="10"/>
      <c r="I406" s="10"/>
      <c r="J406" s="10"/>
      <c r="K406" s="10"/>
      <c r="L406" s="10"/>
      <c r="M406" s="10"/>
      <c r="N406" s="10"/>
      <c r="O406" s="10"/>
      <c r="P406" s="10"/>
      <c r="Q406" s="10"/>
      <c r="R406" s="20">
        <f t="shared" ref="R406:BM406" si="86">R$367*$D$406</f>
        <v>4.0539329869199063</v>
      </c>
      <c r="S406" s="21">
        <f t="shared" si="86"/>
        <v>8.1078659738398127</v>
      </c>
      <c r="T406" s="21">
        <f t="shared" si="86"/>
        <v>16.215731947679625</v>
      </c>
      <c r="U406" s="21">
        <f t="shared" si="86"/>
        <v>32.431463895359251</v>
      </c>
      <c r="V406" s="21">
        <f t="shared" si="86"/>
        <v>64.862927790718501</v>
      </c>
      <c r="W406" s="21">
        <f t="shared" si="86"/>
        <v>129.725855581437</v>
      </c>
      <c r="X406" s="21">
        <f t="shared" si="86"/>
        <v>259.45171116287401</v>
      </c>
      <c r="Y406" s="21">
        <f t="shared" si="86"/>
        <v>518.90342232574801</v>
      </c>
      <c r="Z406" s="21">
        <f t="shared" si="86"/>
        <v>1037.806844651496</v>
      </c>
      <c r="AA406" s="21">
        <f t="shared" si="86"/>
        <v>2075.613689302992</v>
      </c>
      <c r="AB406" s="21">
        <f t="shared" si="86"/>
        <v>4151.2273786059841</v>
      </c>
      <c r="AC406" s="21">
        <f t="shared" si="86"/>
        <v>8302.4547572119682</v>
      </c>
      <c r="AD406" s="21">
        <f t="shared" si="86"/>
        <v>16604.909514423936</v>
      </c>
      <c r="AE406" s="21">
        <f t="shared" si="86"/>
        <v>33209.819028847873</v>
      </c>
      <c r="AF406" s="21">
        <f t="shared" si="86"/>
        <v>66419.638057695745</v>
      </c>
      <c r="AG406" s="21">
        <f t="shared" si="86"/>
        <v>83024.547572119685</v>
      </c>
      <c r="AH406" s="21">
        <f t="shared" si="86"/>
        <v>99629.457086543625</v>
      </c>
      <c r="AI406" s="21">
        <f t="shared" si="86"/>
        <v>116234.36660096757</v>
      </c>
      <c r="AJ406" s="21">
        <f t="shared" si="86"/>
        <v>132839.27611539149</v>
      </c>
      <c r="AK406" s="21">
        <f t="shared" si="86"/>
        <v>170034.27342770112</v>
      </c>
      <c r="AL406" s="21">
        <f t="shared" si="86"/>
        <v>199258.91417308725</v>
      </c>
      <c r="AM406" s="21">
        <f t="shared" si="86"/>
        <v>232468.73320193513</v>
      </c>
      <c r="AN406" s="21">
        <f t="shared" si="86"/>
        <v>265678.55223078298</v>
      </c>
      <c r="AO406" s="21">
        <f t="shared" si="86"/>
        <v>318814.2626769396</v>
      </c>
      <c r="AP406" s="21">
        <f t="shared" si="86"/>
        <v>371949.97312309622</v>
      </c>
      <c r="AQ406" s="21">
        <f t="shared" si="86"/>
        <v>425085.68356925278</v>
      </c>
      <c r="AR406" s="21">
        <f t="shared" si="86"/>
        <v>478221.3940154094</v>
      </c>
      <c r="AS406" s="21">
        <f t="shared" si="86"/>
        <v>531357.10446156596</v>
      </c>
      <c r="AT406" s="21">
        <f t="shared" si="86"/>
        <v>637628.5253538792</v>
      </c>
      <c r="AU406" s="21">
        <f t="shared" si="86"/>
        <v>743899.94624619244</v>
      </c>
      <c r="AV406" s="21">
        <f t="shared" si="86"/>
        <v>850171.36713850556</v>
      </c>
      <c r="AW406" s="21">
        <f t="shared" si="86"/>
        <v>956442.7880308188</v>
      </c>
      <c r="AX406" s="21">
        <f t="shared" si="86"/>
        <v>1062714.2089231319</v>
      </c>
      <c r="AY406" s="21">
        <f t="shared" si="86"/>
        <v>1275257.0507077584</v>
      </c>
      <c r="AZ406" s="21">
        <f t="shared" si="86"/>
        <v>1487799.8924923849</v>
      </c>
      <c r="BA406" s="21">
        <f t="shared" si="86"/>
        <v>1700342.7342770111</v>
      </c>
      <c r="BB406" s="21">
        <f t="shared" si="86"/>
        <v>1912885.5760616376</v>
      </c>
      <c r="BC406" s="21">
        <f t="shared" si="86"/>
        <v>2125428.4178462639</v>
      </c>
      <c r="BD406" s="21">
        <f t="shared" si="86"/>
        <v>2550514.1014155168</v>
      </c>
      <c r="BE406" s="21">
        <f t="shared" si="86"/>
        <v>2975599.7849847698</v>
      </c>
      <c r="BF406" s="21">
        <f t="shared" si="86"/>
        <v>3400685.4685540223</v>
      </c>
      <c r="BG406" s="21">
        <f t="shared" si="86"/>
        <v>3825771.1521232752</v>
      </c>
      <c r="BH406" s="20">
        <f t="shared" si="86"/>
        <v>4250856.8356925277</v>
      </c>
      <c r="BI406" s="21">
        <f t="shared" si="86"/>
        <v>8501713.6713850554</v>
      </c>
      <c r="BJ406" s="21">
        <f t="shared" si="86"/>
        <v>17003427.342770111</v>
      </c>
      <c r="BK406" s="21">
        <f t="shared" si="86"/>
        <v>34006854.685540222</v>
      </c>
      <c r="BL406" s="21">
        <f t="shared" si="86"/>
        <v>42882892.313205518</v>
      </c>
      <c r="BM406" s="72">
        <f t="shared" si="86"/>
        <v>42882892.313205518</v>
      </c>
      <c r="BN406" s="45"/>
    </row>
    <row r="407" spans="1:66" x14ac:dyDescent="0.25">
      <c r="A407" s="41"/>
      <c r="B407" s="6"/>
      <c r="C407" s="10"/>
      <c r="D407" s="8"/>
      <c r="E407" s="27">
        <v>4.0000000000000001E-3</v>
      </c>
      <c r="F407" s="10"/>
      <c r="G407" s="10"/>
      <c r="H407" s="10"/>
      <c r="I407" s="10"/>
      <c r="J407" s="10"/>
      <c r="K407" s="10"/>
      <c r="L407" s="10"/>
      <c r="M407" s="10"/>
      <c r="N407" s="10"/>
      <c r="O407" s="10"/>
      <c r="P407" s="10"/>
      <c r="Q407" s="10"/>
      <c r="R407" s="29">
        <f t="shared" ref="R407:BM407" si="87">R$367*$D$406*$E$407</f>
        <v>1.6215731947679626E-2</v>
      </c>
      <c r="S407" s="30">
        <f t="shared" si="87"/>
        <v>3.2431463895359253E-2</v>
      </c>
      <c r="T407" s="30">
        <f t="shared" si="87"/>
        <v>6.4862927790718505E-2</v>
      </c>
      <c r="U407" s="30">
        <f t="shared" si="87"/>
        <v>0.12972585558143701</v>
      </c>
      <c r="V407" s="30">
        <f t="shared" si="87"/>
        <v>0.25945171116287402</v>
      </c>
      <c r="W407" s="30">
        <f t="shared" si="87"/>
        <v>0.51890342232574804</v>
      </c>
      <c r="X407" s="30">
        <f t="shared" si="87"/>
        <v>1.0378068446514961</v>
      </c>
      <c r="Y407" s="30">
        <f t="shared" si="87"/>
        <v>2.0756136893029922</v>
      </c>
      <c r="Z407" s="30">
        <f t="shared" si="87"/>
        <v>4.1512273786059843</v>
      </c>
      <c r="AA407" s="30">
        <f t="shared" si="87"/>
        <v>8.3024547572119687</v>
      </c>
      <c r="AB407" s="30">
        <f t="shared" si="87"/>
        <v>16.604909514423937</v>
      </c>
      <c r="AC407" s="30">
        <f t="shared" si="87"/>
        <v>33.209819028847875</v>
      </c>
      <c r="AD407" s="30">
        <f t="shared" si="87"/>
        <v>66.419638057695749</v>
      </c>
      <c r="AE407" s="30">
        <f t="shared" si="87"/>
        <v>132.8392761153915</v>
      </c>
      <c r="AF407" s="30">
        <f t="shared" si="87"/>
        <v>265.678552230783</v>
      </c>
      <c r="AG407" s="30">
        <f t="shared" si="87"/>
        <v>332.09819028847875</v>
      </c>
      <c r="AH407" s="30">
        <f t="shared" si="87"/>
        <v>398.5178283461745</v>
      </c>
      <c r="AI407" s="30">
        <f t="shared" si="87"/>
        <v>464.93746640387025</v>
      </c>
      <c r="AJ407" s="30">
        <f t="shared" si="87"/>
        <v>531.357104461566</v>
      </c>
      <c r="AK407" s="30">
        <f t="shared" si="87"/>
        <v>680.13709371080449</v>
      </c>
      <c r="AL407" s="30">
        <f t="shared" si="87"/>
        <v>797.03565669234899</v>
      </c>
      <c r="AM407" s="30">
        <f t="shared" si="87"/>
        <v>929.87493280774049</v>
      </c>
      <c r="AN407" s="30">
        <f t="shared" si="87"/>
        <v>1062.714208923132</v>
      </c>
      <c r="AO407" s="30">
        <f t="shared" si="87"/>
        <v>1275.2570507077585</v>
      </c>
      <c r="AP407" s="30">
        <f t="shared" si="87"/>
        <v>1487.799892492385</v>
      </c>
      <c r="AQ407" s="30">
        <f t="shared" si="87"/>
        <v>1700.3427342770112</v>
      </c>
      <c r="AR407" s="30">
        <f t="shared" si="87"/>
        <v>1912.8855760616377</v>
      </c>
      <c r="AS407" s="30">
        <f t="shared" si="87"/>
        <v>2125.428417846264</v>
      </c>
      <c r="AT407" s="30">
        <f t="shared" si="87"/>
        <v>2550.514101415517</v>
      </c>
      <c r="AU407" s="30">
        <f t="shared" si="87"/>
        <v>2975.5997849847699</v>
      </c>
      <c r="AV407" s="30">
        <f t="shared" si="87"/>
        <v>3400.6854685540225</v>
      </c>
      <c r="AW407" s="30">
        <f t="shared" si="87"/>
        <v>3825.7711521232754</v>
      </c>
      <c r="AX407" s="30">
        <f t="shared" si="87"/>
        <v>4250.856835692528</v>
      </c>
      <c r="AY407" s="30">
        <f t="shared" si="87"/>
        <v>5101.0282028310339</v>
      </c>
      <c r="AZ407" s="30">
        <f t="shared" si="87"/>
        <v>5951.1995699695399</v>
      </c>
      <c r="BA407" s="30">
        <f t="shared" si="87"/>
        <v>6801.3709371080449</v>
      </c>
      <c r="BB407" s="30">
        <f t="shared" si="87"/>
        <v>7651.5423042465509</v>
      </c>
      <c r="BC407" s="30">
        <f t="shared" si="87"/>
        <v>8501.7136713850559</v>
      </c>
      <c r="BD407" s="30">
        <f t="shared" si="87"/>
        <v>10202.056405662068</v>
      </c>
      <c r="BE407" s="30">
        <f t="shared" si="87"/>
        <v>11902.39913993908</v>
      </c>
      <c r="BF407" s="30">
        <f t="shared" si="87"/>
        <v>13602.74187421609</v>
      </c>
      <c r="BG407" s="30">
        <f t="shared" si="87"/>
        <v>15303.084608493102</v>
      </c>
      <c r="BH407" s="29">
        <f t="shared" si="87"/>
        <v>17003.427342770112</v>
      </c>
      <c r="BI407" s="30">
        <f t="shared" si="87"/>
        <v>34006.854685540224</v>
      </c>
      <c r="BJ407" s="30">
        <f t="shared" si="87"/>
        <v>68013.709371080447</v>
      </c>
      <c r="BK407" s="30">
        <f t="shared" si="87"/>
        <v>136027.41874216089</v>
      </c>
      <c r="BL407" s="30">
        <f t="shared" si="87"/>
        <v>171531.56925282208</v>
      </c>
      <c r="BM407" s="71">
        <f t="shared" si="87"/>
        <v>171531.56925282208</v>
      </c>
      <c r="BN407" s="45"/>
    </row>
    <row r="408" spans="1:66" x14ac:dyDescent="0.25">
      <c r="A408" s="41" t="s">
        <v>17</v>
      </c>
      <c r="B408" s="6">
        <f>'Population by Age - Wikipedia'!D21</f>
        <v>0.13001561499489589</v>
      </c>
      <c r="C408" s="10">
        <f>$B$348*B408</f>
        <v>42978676.778595254</v>
      </c>
      <c r="D408" s="23">
        <f>'AU Infection Rate by Age'!C9</f>
        <v>0.15731947679627306</v>
      </c>
      <c r="E408" s="17"/>
      <c r="F408" s="10"/>
      <c r="G408" s="14"/>
      <c r="H408" s="14"/>
      <c r="I408" s="14"/>
      <c r="J408" s="14"/>
      <c r="K408" s="14"/>
      <c r="L408" s="14"/>
      <c r="M408" s="14"/>
      <c r="N408" s="14"/>
      <c r="O408" s="14"/>
      <c r="P408" s="10"/>
      <c r="Q408" s="10"/>
      <c r="R408" s="20">
        <f t="shared" ref="R408:BM408" si="88">R$367*$D$408</f>
        <v>4.9162336498835328</v>
      </c>
      <c r="S408" s="21">
        <f t="shared" si="88"/>
        <v>9.8324672997670657</v>
      </c>
      <c r="T408" s="21">
        <f t="shared" si="88"/>
        <v>19.664934599534131</v>
      </c>
      <c r="U408" s="21">
        <f t="shared" si="88"/>
        <v>39.329869199068263</v>
      </c>
      <c r="V408" s="21">
        <f t="shared" si="88"/>
        <v>78.659738398136525</v>
      </c>
      <c r="W408" s="21">
        <f t="shared" si="88"/>
        <v>157.31947679627305</v>
      </c>
      <c r="X408" s="21">
        <f t="shared" si="88"/>
        <v>314.6389535925461</v>
      </c>
      <c r="Y408" s="21">
        <f t="shared" si="88"/>
        <v>629.2779071850922</v>
      </c>
      <c r="Z408" s="21">
        <f t="shared" si="88"/>
        <v>1258.5558143701844</v>
      </c>
      <c r="AA408" s="21">
        <f t="shared" si="88"/>
        <v>2517.1116287403688</v>
      </c>
      <c r="AB408" s="21">
        <f t="shared" si="88"/>
        <v>5034.2232574807376</v>
      </c>
      <c r="AC408" s="21">
        <f t="shared" si="88"/>
        <v>10068.446514961475</v>
      </c>
      <c r="AD408" s="21">
        <f t="shared" si="88"/>
        <v>20136.893029922951</v>
      </c>
      <c r="AE408" s="21">
        <f t="shared" si="88"/>
        <v>40273.786059845901</v>
      </c>
      <c r="AF408" s="21">
        <f t="shared" si="88"/>
        <v>80547.572119691802</v>
      </c>
      <c r="AG408" s="21">
        <f t="shared" si="88"/>
        <v>100684.46514961476</v>
      </c>
      <c r="AH408" s="21">
        <f t="shared" si="88"/>
        <v>120821.35817953771</v>
      </c>
      <c r="AI408" s="21">
        <f t="shared" si="88"/>
        <v>140958.25120946066</v>
      </c>
      <c r="AJ408" s="21">
        <f t="shared" si="88"/>
        <v>161095.1442393836</v>
      </c>
      <c r="AK408" s="21">
        <f t="shared" si="88"/>
        <v>206201.78462641104</v>
      </c>
      <c r="AL408" s="21">
        <f t="shared" si="88"/>
        <v>241642.71635907542</v>
      </c>
      <c r="AM408" s="21">
        <f t="shared" si="88"/>
        <v>281916.50241892133</v>
      </c>
      <c r="AN408" s="21">
        <f t="shared" si="88"/>
        <v>322190.28847876721</v>
      </c>
      <c r="AO408" s="21">
        <f t="shared" si="88"/>
        <v>386628.34617452067</v>
      </c>
      <c r="AP408" s="21">
        <f t="shared" si="88"/>
        <v>451066.40387027414</v>
      </c>
      <c r="AQ408" s="21">
        <f t="shared" si="88"/>
        <v>515504.46156602754</v>
      </c>
      <c r="AR408" s="21">
        <f t="shared" si="88"/>
        <v>579942.51926178101</v>
      </c>
      <c r="AS408" s="21">
        <f t="shared" si="88"/>
        <v>644380.57695753442</v>
      </c>
      <c r="AT408" s="21">
        <f t="shared" si="88"/>
        <v>773256.69234904135</v>
      </c>
      <c r="AU408" s="21">
        <f t="shared" si="88"/>
        <v>902132.80774054828</v>
      </c>
      <c r="AV408" s="21">
        <f t="shared" si="88"/>
        <v>1031008.9231320551</v>
      </c>
      <c r="AW408" s="21">
        <f t="shared" si="88"/>
        <v>1159885.038523562</v>
      </c>
      <c r="AX408" s="21">
        <f t="shared" si="88"/>
        <v>1288761.1539150688</v>
      </c>
      <c r="AY408" s="21">
        <f t="shared" si="88"/>
        <v>1546513.3846980827</v>
      </c>
      <c r="AZ408" s="21">
        <f t="shared" si="88"/>
        <v>1804265.6154810966</v>
      </c>
      <c r="BA408" s="21">
        <f t="shared" si="88"/>
        <v>2062017.8462641102</v>
      </c>
      <c r="BB408" s="21">
        <f t="shared" si="88"/>
        <v>2319770.077047124</v>
      </c>
      <c r="BC408" s="21">
        <f t="shared" si="88"/>
        <v>2577522.3078301377</v>
      </c>
      <c r="BD408" s="21">
        <f t="shared" si="88"/>
        <v>3093026.7693961654</v>
      </c>
      <c r="BE408" s="21">
        <f t="shared" si="88"/>
        <v>3608531.2309621931</v>
      </c>
      <c r="BF408" s="21">
        <f t="shared" si="88"/>
        <v>4124035.6925282204</v>
      </c>
      <c r="BG408" s="21">
        <f t="shared" si="88"/>
        <v>4639540.1540942481</v>
      </c>
      <c r="BH408" s="20">
        <f t="shared" si="88"/>
        <v>5155044.6156602753</v>
      </c>
      <c r="BI408" s="21">
        <f t="shared" si="88"/>
        <v>10310089.231320551</v>
      </c>
      <c r="BJ408" s="21">
        <f t="shared" si="88"/>
        <v>20620178.462641101</v>
      </c>
      <c r="BK408" s="21">
        <f t="shared" si="88"/>
        <v>41240356.925282203</v>
      </c>
      <c r="BL408" s="21">
        <f t="shared" si="88"/>
        <v>52004391.506898403</v>
      </c>
      <c r="BM408" s="72">
        <f t="shared" si="88"/>
        <v>52004391.506898403</v>
      </c>
      <c r="BN408" s="45"/>
    </row>
    <row r="409" spans="1:66" x14ac:dyDescent="0.25">
      <c r="A409" s="41"/>
      <c r="B409" s="6"/>
      <c r="C409" s="10"/>
      <c r="D409" s="8"/>
      <c r="E409" s="27">
        <v>2E-3</v>
      </c>
      <c r="F409" s="10"/>
      <c r="G409" s="10"/>
      <c r="H409" s="10"/>
      <c r="I409" s="10"/>
      <c r="J409" s="10"/>
      <c r="K409" s="10"/>
      <c r="L409" s="10"/>
      <c r="M409" s="10"/>
      <c r="N409" s="10"/>
      <c r="O409" s="10"/>
      <c r="P409" s="10"/>
      <c r="Q409" s="10"/>
      <c r="R409" s="29">
        <f t="shared" ref="R409:BM409" si="89">R$367*$D$408*$E$409</f>
        <v>9.8324672997670663E-3</v>
      </c>
      <c r="S409" s="30">
        <f t="shared" si="89"/>
        <v>1.9664934599534133E-2</v>
      </c>
      <c r="T409" s="30">
        <f t="shared" si="89"/>
        <v>3.9329869199068265E-2</v>
      </c>
      <c r="U409" s="30">
        <f t="shared" si="89"/>
        <v>7.8659738398136531E-2</v>
      </c>
      <c r="V409" s="30">
        <f t="shared" si="89"/>
        <v>0.15731947679627306</v>
      </c>
      <c r="W409" s="30">
        <f t="shared" si="89"/>
        <v>0.31463895359254612</v>
      </c>
      <c r="X409" s="30">
        <f t="shared" si="89"/>
        <v>0.62927790718509224</v>
      </c>
      <c r="Y409" s="30">
        <f t="shared" si="89"/>
        <v>1.2585558143701845</v>
      </c>
      <c r="Z409" s="30">
        <f t="shared" si="89"/>
        <v>2.517111628740369</v>
      </c>
      <c r="AA409" s="30">
        <f t="shared" si="89"/>
        <v>5.034223257480738</v>
      </c>
      <c r="AB409" s="30">
        <f t="shared" si="89"/>
        <v>10.068446514961476</v>
      </c>
      <c r="AC409" s="30">
        <f t="shared" si="89"/>
        <v>20.136893029922952</v>
      </c>
      <c r="AD409" s="30">
        <f t="shared" si="89"/>
        <v>40.273786059845904</v>
      </c>
      <c r="AE409" s="30">
        <f t="shared" si="89"/>
        <v>80.547572119691807</v>
      </c>
      <c r="AF409" s="30">
        <f t="shared" si="89"/>
        <v>161.09514423938361</v>
      </c>
      <c r="AG409" s="30">
        <f t="shared" si="89"/>
        <v>201.3689302992295</v>
      </c>
      <c r="AH409" s="30">
        <f t="shared" si="89"/>
        <v>241.64271635907542</v>
      </c>
      <c r="AI409" s="30">
        <f t="shared" si="89"/>
        <v>281.91650241892131</v>
      </c>
      <c r="AJ409" s="30">
        <f t="shared" si="89"/>
        <v>322.19028847876723</v>
      </c>
      <c r="AK409" s="30">
        <f t="shared" si="89"/>
        <v>412.40356925282208</v>
      </c>
      <c r="AL409" s="30">
        <f t="shared" si="89"/>
        <v>483.28543271815084</v>
      </c>
      <c r="AM409" s="30">
        <f t="shared" si="89"/>
        <v>563.83300483784262</v>
      </c>
      <c r="AN409" s="30">
        <f t="shared" si="89"/>
        <v>644.38057695753446</v>
      </c>
      <c r="AO409" s="30">
        <f t="shared" si="89"/>
        <v>773.25669234904137</v>
      </c>
      <c r="AP409" s="30">
        <f t="shared" si="89"/>
        <v>902.13280774054829</v>
      </c>
      <c r="AQ409" s="30">
        <f t="shared" si="89"/>
        <v>1031.0089231320551</v>
      </c>
      <c r="AR409" s="30">
        <f t="shared" si="89"/>
        <v>1159.8850385235621</v>
      </c>
      <c r="AS409" s="30">
        <f t="shared" si="89"/>
        <v>1288.7611539150689</v>
      </c>
      <c r="AT409" s="30">
        <f t="shared" si="89"/>
        <v>1546.5133846980827</v>
      </c>
      <c r="AU409" s="30">
        <f t="shared" si="89"/>
        <v>1804.2656154810966</v>
      </c>
      <c r="AV409" s="30">
        <f t="shared" si="89"/>
        <v>2062.0178462641102</v>
      </c>
      <c r="AW409" s="30">
        <f t="shared" si="89"/>
        <v>2319.7700770471242</v>
      </c>
      <c r="AX409" s="30">
        <f t="shared" si="89"/>
        <v>2577.5223078301378</v>
      </c>
      <c r="AY409" s="30">
        <f t="shared" si="89"/>
        <v>3093.0267693961655</v>
      </c>
      <c r="AZ409" s="30">
        <f t="shared" si="89"/>
        <v>3608.5312309621931</v>
      </c>
      <c r="BA409" s="30">
        <f t="shared" si="89"/>
        <v>4124.0356925282204</v>
      </c>
      <c r="BB409" s="30">
        <f t="shared" si="89"/>
        <v>4639.5401540942485</v>
      </c>
      <c r="BC409" s="30">
        <f t="shared" si="89"/>
        <v>5155.0446156602757</v>
      </c>
      <c r="BD409" s="30">
        <f t="shared" si="89"/>
        <v>6186.053538792331</v>
      </c>
      <c r="BE409" s="30">
        <f t="shared" si="89"/>
        <v>7217.0624619243863</v>
      </c>
      <c r="BF409" s="30">
        <f t="shared" si="89"/>
        <v>8248.0713850564407</v>
      </c>
      <c r="BG409" s="30">
        <f t="shared" si="89"/>
        <v>9279.0803081884969</v>
      </c>
      <c r="BH409" s="29">
        <f t="shared" si="89"/>
        <v>10310.089231320551</v>
      </c>
      <c r="BI409" s="30">
        <f t="shared" si="89"/>
        <v>20620.178462641103</v>
      </c>
      <c r="BJ409" s="30">
        <f t="shared" si="89"/>
        <v>41240.356925282205</v>
      </c>
      <c r="BK409" s="30">
        <f t="shared" si="89"/>
        <v>82480.713850564411</v>
      </c>
      <c r="BL409" s="30">
        <f t="shared" si="89"/>
        <v>104008.78301379681</v>
      </c>
      <c r="BM409" s="71">
        <f t="shared" si="89"/>
        <v>104008.78301379681</v>
      </c>
      <c r="BN409" s="45"/>
    </row>
    <row r="410" spans="1:66" x14ac:dyDescent="0.25">
      <c r="A410" s="41" t="s">
        <v>18</v>
      </c>
      <c r="B410" s="6">
        <f>'Population by Age - Wikipedia'!D17</f>
        <v>0.13826223457843137</v>
      </c>
      <c r="C410" s="10">
        <f>$B$348*B410</f>
        <v>45704724.704536453</v>
      </c>
      <c r="D410" s="23">
        <f>'AU Infection Rate by Age'!C10</f>
        <v>0.2160903063967031</v>
      </c>
      <c r="E410" s="17"/>
      <c r="F410" s="10"/>
      <c r="G410" s="10"/>
      <c r="H410" s="10"/>
      <c r="I410" s="10"/>
      <c r="J410" s="10"/>
      <c r="K410" s="10"/>
      <c r="L410" s="10"/>
      <c r="M410" s="10"/>
      <c r="N410" s="10"/>
      <c r="O410" s="10"/>
      <c r="P410" s="10"/>
      <c r="Q410" s="10"/>
      <c r="R410" s="20">
        <f t="shared" ref="R410:BM410" si="90">R$367*$D$410</f>
        <v>6.7528220748969714</v>
      </c>
      <c r="S410" s="21">
        <f t="shared" si="90"/>
        <v>13.505644149793943</v>
      </c>
      <c r="T410" s="21">
        <f t="shared" si="90"/>
        <v>27.011288299587886</v>
      </c>
      <c r="U410" s="21">
        <f t="shared" si="90"/>
        <v>54.022576599175771</v>
      </c>
      <c r="V410" s="21">
        <f t="shared" si="90"/>
        <v>108.04515319835154</v>
      </c>
      <c r="W410" s="21">
        <f t="shared" si="90"/>
        <v>216.09030639670308</v>
      </c>
      <c r="X410" s="21">
        <f t="shared" si="90"/>
        <v>432.18061279340617</v>
      </c>
      <c r="Y410" s="21">
        <f t="shared" si="90"/>
        <v>864.36122558681234</v>
      </c>
      <c r="Z410" s="21">
        <f t="shared" si="90"/>
        <v>1728.7224511736247</v>
      </c>
      <c r="AA410" s="21">
        <f t="shared" si="90"/>
        <v>3457.4449023472494</v>
      </c>
      <c r="AB410" s="21">
        <f t="shared" si="90"/>
        <v>6914.8898046944987</v>
      </c>
      <c r="AC410" s="21">
        <f t="shared" si="90"/>
        <v>13829.779609388997</v>
      </c>
      <c r="AD410" s="21">
        <f t="shared" si="90"/>
        <v>27659.559218777995</v>
      </c>
      <c r="AE410" s="21">
        <f t="shared" si="90"/>
        <v>55319.11843755599</v>
      </c>
      <c r="AF410" s="21">
        <f t="shared" si="90"/>
        <v>110638.23687511198</v>
      </c>
      <c r="AG410" s="21">
        <f t="shared" si="90"/>
        <v>138297.79609388998</v>
      </c>
      <c r="AH410" s="21">
        <f t="shared" si="90"/>
        <v>165957.35531266799</v>
      </c>
      <c r="AI410" s="21">
        <f t="shared" si="90"/>
        <v>193616.91453144597</v>
      </c>
      <c r="AJ410" s="21">
        <f t="shared" si="90"/>
        <v>221276.47375022396</v>
      </c>
      <c r="AK410" s="21">
        <f t="shared" si="90"/>
        <v>283233.88640028669</v>
      </c>
      <c r="AL410" s="21">
        <f t="shared" si="90"/>
        <v>331914.71062533598</v>
      </c>
      <c r="AM410" s="21">
        <f t="shared" si="90"/>
        <v>387233.82906289195</v>
      </c>
      <c r="AN410" s="21">
        <f t="shared" si="90"/>
        <v>442552.94750044792</v>
      </c>
      <c r="AO410" s="21">
        <f t="shared" si="90"/>
        <v>531063.5370005375</v>
      </c>
      <c r="AP410" s="21">
        <f t="shared" si="90"/>
        <v>619574.12650062714</v>
      </c>
      <c r="AQ410" s="21">
        <f t="shared" si="90"/>
        <v>708084.71600071667</v>
      </c>
      <c r="AR410" s="21">
        <f t="shared" si="90"/>
        <v>796595.30550080631</v>
      </c>
      <c r="AS410" s="21">
        <f t="shared" si="90"/>
        <v>885105.89500089583</v>
      </c>
      <c r="AT410" s="21">
        <f t="shared" si="90"/>
        <v>1062127.074001075</v>
      </c>
      <c r="AU410" s="21">
        <f t="shared" si="90"/>
        <v>1239148.2530012543</v>
      </c>
      <c r="AV410" s="21">
        <f t="shared" si="90"/>
        <v>1416169.4320014333</v>
      </c>
      <c r="AW410" s="21">
        <f t="shared" si="90"/>
        <v>1593190.6110016126</v>
      </c>
      <c r="AX410" s="21">
        <f t="shared" si="90"/>
        <v>1770211.7900017917</v>
      </c>
      <c r="AY410" s="21">
        <f t="shared" si="90"/>
        <v>2124254.14800215</v>
      </c>
      <c r="AZ410" s="21">
        <f t="shared" si="90"/>
        <v>2478296.5060025086</v>
      </c>
      <c r="BA410" s="21">
        <f t="shared" si="90"/>
        <v>2832338.8640028667</v>
      </c>
      <c r="BB410" s="21">
        <f t="shared" si="90"/>
        <v>3186381.2220032252</v>
      </c>
      <c r="BC410" s="21">
        <f t="shared" si="90"/>
        <v>3540423.5800035833</v>
      </c>
      <c r="BD410" s="21">
        <f t="shared" si="90"/>
        <v>4248508.2960043</v>
      </c>
      <c r="BE410" s="21">
        <f t="shared" si="90"/>
        <v>4956593.0120050171</v>
      </c>
      <c r="BF410" s="21">
        <f t="shared" si="90"/>
        <v>5664677.7280057333</v>
      </c>
      <c r="BG410" s="21">
        <f t="shared" si="90"/>
        <v>6372762.4440064505</v>
      </c>
      <c r="BH410" s="20">
        <f t="shared" si="90"/>
        <v>7080847.1600071667</v>
      </c>
      <c r="BI410" s="21">
        <f t="shared" si="90"/>
        <v>14161694.320014333</v>
      </c>
      <c r="BJ410" s="21">
        <f t="shared" si="90"/>
        <v>28323388.640028667</v>
      </c>
      <c r="BK410" s="21">
        <f t="shared" si="90"/>
        <v>56646777.280057333</v>
      </c>
      <c r="BL410" s="21">
        <f t="shared" si="90"/>
        <v>71432000.179179356</v>
      </c>
      <c r="BM410" s="72">
        <f t="shared" si="90"/>
        <v>71432000.179179356</v>
      </c>
      <c r="BN410" s="45"/>
    </row>
    <row r="411" spans="1:66" x14ac:dyDescent="0.25">
      <c r="A411" s="41"/>
      <c r="B411" s="6"/>
      <c r="C411" s="10"/>
      <c r="D411" s="8"/>
      <c r="E411" s="27">
        <v>2E-3</v>
      </c>
      <c r="F411" s="10"/>
      <c r="G411" s="10"/>
      <c r="H411" s="10"/>
      <c r="I411" s="10"/>
      <c r="J411" s="10"/>
      <c r="K411" s="10"/>
      <c r="L411" s="10"/>
      <c r="M411" s="10"/>
      <c r="N411" s="10"/>
      <c r="O411" s="10"/>
      <c r="P411" s="10"/>
      <c r="Q411" s="10"/>
      <c r="R411" s="29">
        <f t="shared" ref="R411:BM411" si="91">R$367*$D$410*$E$411</f>
        <v>1.3505644149793944E-2</v>
      </c>
      <c r="S411" s="30">
        <f t="shared" si="91"/>
        <v>2.7011288299587887E-2</v>
      </c>
      <c r="T411" s="30">
        <f t="shared" si="91"/>
        <v>5.4022576599175774E-2</v>
      </c>
      <c r="U411" s="30">
        <f t="shared" si="91"/>
        <v>0.10804515319835155</v>
      </c>
      <c r="V411" s="30">
        <f t="shared" si="91"/>
        <v>0.2160903063967031</v>
      </c>
      <c r="W411" s="30">
        <f t="shared" si="91"/>
        <v>0.43218061279340619</v>
      </c>
      <c r="X411" s="30">
        <f t="shared" si="91"/>
        <v>0.86436122558681239</v>
      </c>
      <c r="Y411" s="30">
        <f t="shared" si="91"/>
        <v>1.7287224511736248</v>
      </c>
      <c r="Z411" s="30">
        <f t="shared" si="91"/>
        <v>3.4574449023472495</v>
      </c>
      <c r="AA411" s="30">
        <f t="shared" si="91"/>
        <v>6.9148898046944991</v>
      </c>
      <c r="AB411" s="30">
        <f t="shared" si="91"/>
        <v>13.829779609388998</v>
      </c>
      <c r="AC411" s="30">
        <f t="shared" si="91"/>
        <v>27.659559218777996</v>
      </c>
      <c r="AD411" s="30">
        <f t="shared" si="91"/>
        <v>55.319118437555993</v>
      </c>
      <c r="AE411" s="30">
        <f t="shared" si="91"/>
        <v>110.63823687511199</v>
      </c>
      <c r="AF411" s="30">
        <f t="shared" si="91"/>
        <v>221.27647375022397</v>
      </c>
      <c r="AG411" s="30">
        <f t="shared" si="91"/>
        <v>276.59559218777997</v>
      </c>
      <c r="AH411" s="30">
        <f t="shared" si="91"/>
        <v>331.914710625336</v>
      </c>
      <c r="AI411" s="30">
        <f t="shared" si="91"/>
        <v>387.23382906289197</v>
      </c>
      <c r="AJ411" s="30">
        <f t="shared" si="91"/>
        <v>442.55294750044794</v>
      </c>
      <c r="AK411" s="30">
        <f t="shared" si="91"/>
        <v>566.46777280057336</v>
      </c>
      <c r="AL411" s="30">
        <f t="shared" si="91"/>
        <v>663.829421250672</v>
      </c>
      <c r="AM411" s="30">
        <f t="shared" si="91"/>
        <v>774.46765812578394</v>
      </c>
      <c r="AN411" s="30">
        <f t="shared" si="91"/>
        <v>885.10589500089588</v>
      </c>
      <c r="AO411" s="30">
        <f t="shared" si="91"/>
        <v>1062.127074001075</v>
      </c>
      <c r="AP411" s="30">
        <f t="shared" si="91"/>
        <v>1239.1482530012543</v>
      </c>
      <c r="AQ411" s="30">
        <f t="shared" si="91"/>
        <v>1416.1694320014333</v>
      </c>
      <c r="AR411" s="30">
        <f t="shared" si="91"/>
        <v>1593.1906110016128</v>
      </c>
      <c r="AS411" s="30">
        <f t="shared" si="91"/>
        <v>1770.2117900017918</v>
      </c>
      <c r="AT411" s="30">
        <f t="shared" si="91"/>
        <v>2124.25414800215</v>
      </c>
      <c r="AU411" s="30">
        <f t="shared" si="91"/>
        <v>2478.2965060025085</v>
      </c>
      <c r="AV411" s="30">
        <f t="shared" si="91"/>
        <v>2832.3388640028666</v>
      </c>
      <c r="AW411" s="30">
        <f t="shared" si="91"/>
        <v>3186.3812220032255</v>
      </c>
      <c r="AX411" s="30">
        <f t="shared" si="91"/>
        <v>3540.4235800035835</v>
      </c>
      <c r="AY411" s="30">
        <f t="shared" si="91"/>
        <v>4248.5082960043001</v>
      </c>
      <c r="AZ411" s="30">
        <f t="shared" si="91"/>
        <v>4956.593012005017</v>
      </c>
      <c r="BA411" s="30">
        <f t="shared" si="91"/>
        <v>5664.6777280057331</v>
      </c>
      <c r="BB411" s="30">
        <f t="shared" si="91"/>
        <v>6372.762444006451</v>
      </c>
      <c r="BC411" s="30">
        <f t="shared" si="91"/>
        <v>7080.8471600071671</v>
      </c>
      <c r="BD411" s="30">
        <f t="shared" si="91"/>
        <v>8497.0165920086001</v>
      </c>
      <c r="BE411" s="30">
        <f t="shared" si="91"/>
        <v>9913.1860240100341</v>
      </c>
      <c r="BF411" s="30">
        <f t="shared" si="91"/>
        <v>11329.355456011466</v>
      </c>
      <c r="BG411" s="30">
        <f t="shared" si="91"/>
        <v>12745.524888012902</v>
      </c>
      <c r="BH411" s="29">
        <f t="shared" si="91"/>
        <v>14161.694320014334</v>
      </c>
      <c r="BI411" s="30">
        <f t="shared" si="91"/>
        <v>28323.388640028668</v>
      </c>
      <c r="BJ411" s="30">
        <f t="shared" si="91"/>
        <v>56646.777280057337</v>
      </c>
      <c r="BK411" s="30">
        <f t="shared" si="91"/>
        <v>113293.55456011467</v>
      </c>
      <c r="BL411" s="30">
        <f t="shared" si="91"/>
        <v>142864.00035835872</v>
      </c>
      <c r="BM411" s="71">
        <f t="shared" si="91"/>
        <v>142864.00035835872</v>
      </c>
      <c r="BN411" s="45"/>
    </row>
    <row r="412" spans="1:66" x14ac:dyDescent="0.25">
      <c r="A412" s="42" t="s">
        <v>19</v>
      </c>
      <c r="B412" s="6">
        <f>'Population by Age - Wikipedia'!D13</f>
        <v>0.13835839467257338</v>
      </c>
      <c r="C412" s="10">
        <f>$B$348*B412</f>
        <v>45736511.914136559</v>
      </c>
      <c r="D412" s="23">
        <f>'AU Infection Rate by Age'!C11</f>
        <v>2.8847876724601325E-2</v>
      </c>
      <c r="E412" s="17"/>
      <c r="F412" s="10"/>
      <c r="G412" s="10"/>
      <c r="H412" s="10"/>
      <c r="I412" s="10"/>
      <c r="J412" s="10"/>
      <c r="K412" s="10"/>
      <c r="L412" s="10"/>
      <c r="M412" s="10"/>
      <c r="N412" s="10"/>
      <c r="O412" s="10"/>
      <c r="P412" s="10"/>
      <c r="Q412" s="10"/>
      <c r="R412" s="20">
        <f t="shared" ref="R412:BM412" si="92">R$367*$D$412</f>
        <v>0.90149614764379138</v>
      </c>
      <c r="S412" s="21">
        <f t="shared" si="92"/>
        <v>1.8029922952875828</v>
      </c>
      <c r="T412" s="21">
        <f t="shared" si="92"/>
        <v>3.6059845905751655</v>
      </c>
      <c r="U412" s="21">
        <f t="shared" si="92"/>
        <v>7.211969181150331</v>
      </c>
      <c r="V412" s="21">
        <f t="shared" si="92"/>
        <v>14.423938362300662</v>
      </c>
      <c r="W412" s="21">
        <f t="shared" si="92"/>
        <v>28.847876724601324</v>
      </c>
      <c r="X412" s="21">
        <f t="shared" si="92"/>
        <v>57.695753449202648</v>
      </c>
      <c r="Y412" s="21">
        <f t="shared" si="92"/>
        <v>115.3915068984053</v>
      </c>
      <c r="Z412" s="21">
        <f t="shared" si="92"/>
        <v>230.78301379681059</v>
      </c>
      <c r="AA412" s="21">
        <f t="shared" si="92"/>
        <v>461.56602759362119</v>
      </c>
      <c r="AB412" s="21">
        <f t="shared" si="92"/>
        <v>923.13205518724237</v>
      </c>
      <c r="AC412" s="21">
        <f t="shared" si="92"/>
        <v>1846.2641103744847</v>
      </c>
      <c r="AD412" s="21">
        <f t="shared" si="92"/>
        <v>3692.5282207489695</v>
      </c>
      <c r="AE412" s="21">
        <f t="shared" si="92"/>
        <v>7385.056441497939</v>
      </c>
      <c r="AF412" s="21">
        <f t="shared" si="92"/>
        <v>14770.112882995878</v>
      </c>
      <c r="AG412" s="21">
        <f t="shared" si="92"/>
        <v>18462.641103744849</v>
      </c>
      <c r="AH412" s="21">
        <f t="shared" si="92"/>
        <v>22155.169324493818</v>
      </c>
      <c r="AI412" s="21">
        <f t="shared" si="92"/>
        <v>25847.697545242787</v>
      </c>
      <c r="AJ412" s="21">
        <f t="shared" si="92"/>
        <v>29540.225765991756</v>
      </c>
      <c r="AK412" s="21">
        <f t="shared" si="92"/>
        <v>37811.488980469447</v>
      </c>
      <c r="AL412" s="21">
        <f t="shared" si="92"/>
        <v>44310.338648987636</v>
      </c>
      <c r="AM412" s="21">
        <f t="shared" si="92"/>
        <v>51695.395090485574</v>
      </c>
      <c r="AN412" s="21">
        <f t="shared" si="92"/>
        <v>59080.451531983512</v>
      </c>
      <c r="AO412" s="21">
        <f t="shared" si="92"/>
        <v>70896.541838380217</v>
      </c>
      <c r="AP412" s="21">
        <f t="shared" si="92"/>
        <v>82712.632144776915</v>
      </c>
      <c r="AQ412" s="21">
        <f t="shared" si="92"/>
        <v>94528.722451173628</v>
      </c>
      <c r="AR412" s="21">
        <f t="shared" si="92"/>
        <v>106344.81275757033</v>
      </c>
      <c r="AS412" s="21">
        <f t="shared" si="92"/>
        <v>118160.90306396702</v>
      </c>
      <c r="AT412" s="21">
        <f t="shared" si="92"/>
        <v>141793.08367676043</v>
      </c>
      <c r="AU412" s="21">
        <f t="shared" si="92"/>
        <v>165425.26428955383</v>
      </c>
      <c r="AV412" s="21">
        <f t="shared" si="92"/>
        <v>189057.44490234726</v>
      </c>
      <c r="AW412" s="21">
        <f t="shared" si="92"/>
        <v>212689.62551514065</v>
      </c>
      <c r="AX412" s="21">
        <f t="shared" si="92"/>
        <v>236321.80612793405</v>
      </c>
      <c r="AY412" s="21">
        <f t="shared" si="92"/>
        <v>283586.16735352087</v>
      </c>
      <c r="AZ412" s="21">
        <f t="shared" si="92"/>
        <v>330850.52857910766</v>
      </c>
      <c r="BA412" s="21">
        <f t="shared" si="92"/>
        <v>378114.88980469451</v>
      </c>
      <c r="BB412" s="21">
        <f t="shared" si="92"/>
        <v>425379.2510302813</v>
      </c>
      <c r="BC412" s="21">
        <f t="shared" si="92"/>
        <v>472643.61225586809</v>
      </c>
      <c r="BD412" s="21">
        <f t="shared" si="92"/>
        <v>567172.33470704174</v>
      </c>
      <c r="BE412" s="21">
        <f t="shared" si="92"/>
        <v>661701.05715821532</v>
      </c>
      <c r="BF412" s="21">
        <f t="shared" si="92"/>
        <v>756229.77960938902</v>
      </c>
      <c r="BG412" s="21">
        <f t="shared" si="92"/>
        <v>850758.50206056261</v>
      </c>
      <c r="BH412" s="20">
        <f t="shared" si="92"/>
        <v>945287.22451173619</v>
      </c>
      <c r="BI412" s="21">
        <f t="shared" si="92"/>
        <v>1890574.4490234724</v>
      </c>
      <c r="BJ412" s="21">
        <f t="shared" si="92"/>
        <v>3781148.8980469448</v>
      </c>
      <c r="BK412" s="21">
        <f t="shared" si="92"/>
        <v>7562297.7960938895</v>
      </c>
      <c r="BL412" s="21">
        <f t="shared" si="92"/>
        <v>9536112.7934061997</v>
      </c>
      <c r="BM412" s="72">
        <f t="shared" si="92"/>
        <v>9536112.7934061997</v>
      </c>
      <c r="BN412" s="45"/>
    </row>
    <row r="413" spans="1:66" x14ac:dyDescent="0.25">
      <c r="A413" s="42"/>
      <c r="B413" s="6"/>
      <c r="C413" s="10"/>
      <c r="D413" s="8"/>
      <c r="E413" s="27">
        <v>2E-3</v>
      </c>
      <c r="F413" s="10"/>
      <c r="G413" s="10"/>
      <c r="H413" s="10"/>
      <c r="I413" s="10"/>
      <c r="J413" s="10"/>
      <c r="K413" s="10"/>
      <c r="L413" s="10"/>
      <c r="M413" s="10"/>
      <c r="N413" s="10"/>
      <c r="O413" s="10"/>
      <c r="P413" s="10"/>
      <c r="Q413" s="10"/>
      <c r="R413" s="29">
        <f t="shared" ref="R413:BM413" si="93">R$367*$D$412*$E$413</f>
        <v>1.8029922952875828E-3</v>
      </c>
      <c r="S413" s="30">
        <f t="shared" si="93"/>
        <v>3.6059845905751656E-3</v>
      </c>
      <c r="T413" s="30">
        <f t="shared" si="93"/>
        <v>7.2119691811503312E-3</v>
      </c>
      <c r="U413" s="30">
        <f t="shared" si="93"/>
        <v>1.4423938362300662E-2</v>
      </c>
      <c r="V413" s="30">
        <f t="shared" si="93"/>
        <v>2.8847876724601325E-2</v>
      </c>
      <c r="W413" s="30">
        <f t="shared" si="93"/>
        <v>5.769575344920265E-2</v>
      </c>
      <c r="X413" s="30">
        <f t="shared" si="93"/>
        <v>0.1153915068984053</v>
      </c>
      <c r="Y413" s="30">
        <f t="shared" si="93"/>
        <v>0.2307830137968106</v>
      </c>
      <c r="Z413" s="30">
        <f t="shared" si="93"/>
        <v>0.4615660275936212</v>
      </c>
      <c r="AA413" s="30">
        <f t="shared" si="93"/>
        <v>0.9231320551872424</v>
      </c>
      <c r="AB413" s="30">
        <f t="shared" si="93"/>
        <v>1.8462641103744848</v>
      </c>
      <c r="AC413" s="30">
        <f t="shared" si="93"/>
        <v>3.6925282207489696</v>
      </c>
      <c r="AD413" s="30">
        <f t="shared" si="93"/>
        <v>7.3850564414979392</v>
      </c>
      <c r="AE413" s="30">
        <f t="shared" si="93"/>
        <v>14.770112882995878</v>
      </c>
      <c r="AF413" s="30">
        <f t="shared" si="93"/>
        <v>29.540225765991757</v>
      </c>
      <c r="AG413" s="30">
        <f t="shared" si="93"/>
        <v>36.925282207489701</v>
      </c>
      <c r="AH413" s="30">
        <f t="shared" si="93"/>
        <v>44.310338648987639</v>
      </c>
      <c r="AI413" s="30">
        <f t="shared" si="93"/>
        <v>51.695395090485576</v>
      </c>
      <c r="AJ413" s="30">
        <f t="shared" si="93"/>
        <v>59.080451531983513</v>
      </c>
      <c r="AK413" s="30">
        <f t="shared" si="93"/>
        <v>75.622977960938897</v>
      </c>
      <c r="AL413" s="30">
        <f t="shared" si="93"/>
        <v>88.620677297975277</v>
      </c>
      <c r="AM413" s="30">
        <f t="shared" si="93"/>
        <v>103.39079018097115</v>
      </c>
      <c r="AN413" s="30">
        <f t="shared" si="93"/>
        <v>118.16090306396703</v>
      </c>
      <c r="AO413" s="30">
        <f t="shared" si="93"/>
        <v>141.79308367676043</v>
      </c>
      <c r="AP413" s="30">
        <f t="shared" si="93"/>
        <v>165.42526428955384</v>
      </c>
      <c r="AQ413" s="30">
        <f t="shared" si="93"/>
        <v>189.05744490234727</v>
      </c>
      <c r="AR413" s="30">
        <f t="shared" si="93"/>
        <v>212.68962551514065</v>
      </c>
      <c r="AS413" s="30">
        <f t="shared" si="93"/>
        <v>236.32180612793405</v>
      </c>
      <c r="AT413" s="30">
        <f t="shared" si="93"/>
        <v>283.58616735352086</v>
      </c>
      <c r="AU413" s="30">
        <f t="shared" si="93"/>
        <v>330.85052857910767</v>
      </c>
      <c r="AV413" s="30">
        <f t="shared" si="93"/>
        <v>378.11488980469454</v>
      </c>
      <c r="AW413" s="30">
        <f t="shared" si="93"/>
        <v>425.3792510302813</v>
      </c>
      <c r="AX413" s="30">
        <f t="shared" si="93"/>
        <v>472.64361225586811</v>
      </c>
      <c r="AY413" s="30">
        <f t="shared" si="93"/>
        <v>567.17233470704173</v>
      </c>
      <c r="AZ413" s="30">
        <f t="shared" si="93"/>
        <v>661.70105715821535</v>
      </c>
      <c r="BA413" s="30">
        <f t="shared" si="93"/>
        <v>756.22977960938908</v>
      </c>
      <c r="BB413" s="30">
        <f t="shared" si="93"/>
        <v>850.75850206056259</v>
      </c>
      <c r="BC413" s="30">
        <f t="shared" si="93"/>
        <v>945.28722451173621</v>
      </c>
      <c r="BD413" s="30">
        <f t="shared" si="93"/>
        <v>1134.3446694140835</v>
      </c>
      <c r="BE413" s="30">
        <f t="shared" si="93"/>
        <v>1323.4021143164307</v>
      </c>
      <c r="BF413" s="30">
        <f t="shared" si="93"/>
        <v>1512.4595592187782</v>
      </c>
      <c r="BG413" s="30">
        <f t="shared" si="93"/>
        <v>1701.5170041211252</v>
      </c>
      <c r="BH413" s="29">
        <f t="shared" si="93"/>
        <v>1890.5744490234724</v>
      </c>
      <c r="BI413" s="30">
        <f t="shared" si="93"/>
        <v>3781.1488980469449</v>
      </c>
      <c r="BJ413" s="30">
        <f t="shared" si="93"/>
        <v>7562.2977960938897</v>
      </c>
      <c r="BK413" s="30">
        <f t="shared" si="93"/>
        <v>15124.595592187779</v>
      </c>
      <c r="BL413" s="30">
        <f t="shared" si="93"/>
        <v>19072.225586812401</v>
      </c>
      <c r="BM413" s="71">
        <f t="shared" si="93"/>
        <v>19072.225586812401</v>
      </c>
      <c r="BN413" s="45"/>
    </row>
    <row r="414" spans="1:66" x14ac:dyDescent="0.25">
      <c r="A414" s="42" t="s">
        <v>20</v>
      </c>
      <c r="B414" s="6">
        <f>'Population by Age - Wikipedia'!D9</f>
        <v>0.13133799200038965</v>
      </c>
      <c r="C414" s="10">
        <f>$B$348*B414</f>
        <v>43415808.994604804</v>
      </c>
      <c r="D414" s="23">
        <f>'AU Infection Rate by Age'!C12</f>
        <v>9.8548647195843032E-3</v>
      </c>
      <c r="E414" s="17"/>
      <c r="F414" s="10"/>
      <c r="G414" s="10"/>
      <c r="H414" s="10"/>
      <c r="I414" s="10"/>
      <c r="J414" s="10"/>
      <c r="K414" s="10"/>
      <c r="L414" s="10"/>
      <c r="M414" s="10"/>
      <c r="N414" s="10"/>
      <c r="O414" s="10"/>
      <c r="P414" s="10"/>
      <c r="Q414" s="10"/>
      <c r="R414" s="20">
        <f t="shared" ref="R414:BM414" si="94">R$367*$D$414</f>
        <v>0.30796452248700945</v>
      </c>
      <c r="S414" s="21">
        <f t="shared" si="94"/>
        <v>0.6159290449740189</v>
      </c>
      <c r="T414" s="21">
        <f t="shared" si="94"/>
        <v>1.2318580899480378</v>
      </c>
      <c r="U414" s="21">
        <f t="shared" si="94"/>
        <v>2.4637161798960756</v>
      </c>
      <c r="V414" s="21">
        <f t="shared" si="94"/>
        <v>4.9274323597921512</v>
      </c>
      <c r="W414" s="21">
        <f t="shared" si="94"/>
        <v>9.8548647195843024</v>
      </c>
      <c r="X414" s="21">
        <f t="shared" si="94"/>
        <v>19.709729439168605</v>
      </c>
      <c r="Y414" s="21">
        <f t="shared" si="94"/>
        <v>39.41945887833721</v>
      </c>
      <c r="Z414" s="21">
        <f t="shared" si="94"/>
        <v>78.838917756674419</v>
      </c>
      <c r="AA414" s="21">
        <f t="shared" si="94"/>
        <v>157.67783551334884</v>
      </c>
      <c r="AB414" s="21">
        <f t="shared" si="94"/>
        <v>315.35567102669768</v>
      </c>
      <c r="AC414" s="21">
        <f t="shared" si="94"/>
        <v>630.71134205339536</v>
      </c>
      <c r="AD414" s="21">
        <f t="shared" si="94"/>
        <v>1261.4226841067907</v>
      </c>
      <c r="AE414" s="21">
        <f t="shared" si="94"/>
        <v>2522.8453682135814</v>
      </c>
      <c r="AF414" s="21">
        <f t="shared" si="94"/>
        <v>5045.6907364271628</v>
      </c>
      <c r="AG414" s="21">
        <f t="shared" si="94"/>
        <v>6307.113420533954</v>
      </c>
      <c r="AH414" s="21">
        <f t="shared" si="94"/>
        <v>7568.5361046407452</v>
      </c>
      <c r="AI414" s="21">
        <f t="shared" si="94"/>
        <v>8829.9587887475354</v>
      </c>
      <c r="AJ414" s="21">
        <f t="shared" si="94"/>
        <v>10091.381472854326</v>
      </c>
      <c r="AK414" s="21">
        <f t="shared" si="94"/>
        <v>12916.968285253537</v>
      </c>
      <c r="AL414" s="21">
        <f t="shared" si="94"/>
        <v>15137.07220928149</v>
      </c>
      <c r="AM414" s="21">
        <f t="shared" si="94"/>
        <v>17659.917577495071</v>
      </c>
      <c r="AN414" s="21">
        <f t="shared" si="94"/>
        <v>20182.762945708651</v>
      </c>
      <c r="AO414" s="21">
        <f t="shared" si="94"/>
        <v>24219.315534850382</v>
      </c>
      <c r="AP414" s="21">
        <f t="shared" si="94"/>
        <v>28255.868123992113</v>
      </c>
      <c r="AQ414" s="21">
        <f t="shared" si="94"/>
        <v>32292.420713133844</v>
      </c>
      <c r="AR414" s="21">
        <f t="shared" si="94"/>
        <v>36328.973302275575</v>
      </c>
      <c r="AS414" s="21">
        <f t="shared" si="94"/>
        <v>40365.525891417303</v>
      </c>
      <c r="AT414" s="21">
        <f t="shared" si="94"/>
        <v>48438.631069700765</v>
      </c>
      <c r="AU414" s="21">
        <f t="shared" si="94"/>
        <v>56511.736247984227</v>
      </c>
      <c r="AV414" s="21">
        <f t="shared" si="94"/>
        <v>64584.841426267689</v>
      </c>
      <c r="AW414" s="21">
        <f t="shared" si="94"/>
        <v>72657.946604551151</v>
      </c>
      <c r="AX414" s="21">
        <f t="shared" si="94"/>
        <v>80731.051782834606</v>
      </c>
      <c r="AY414" s="21">
        <f t="shared" si="94"/>
        <v>96877.26213940153</v>
      </c>
      <c r="AZ414" s="21">
        <f t="shared" si="94"/>
        <v>113023.47249596845</v>
      </c>
      <c r="BA414" s="21">
        <f t="shared" si="94"/>
        <v>129169.68285253538</v>
      </c>
      <c r="BB414" s="21">
        <f t="shared" si="94"/>
        <v>145315.8932091023</v>
      </c>
      <c r="BC414" s="21">
        <f t="shared" si="94"/>
        <v>161462.10356566921</v>
      </c>
      <c r="BD414" s="21">
        <f t="shared" si="94"/>
        <v>193754.52427880306</v>
      </c>
      <c r="BE414" s="21">
        <f t="shared" si="94"/>
        <v>226046.94499193691</v>
      </c>
      <c r="BF414" s="21">
        <f t="shared" si="94"/>
        <v>258339.36570507076</v>
      </c>
      <c r="BG414" s="21">
        <f t="shared" si="94"/>
        <v>290631.7864182046</v>
      </c>
      <c r="BH414" s="20">
        <f t="shared" si="94"/>
        <v>322924.20713133842</v>
      </c>
      <c r="BI414" s="21">
        <f t="shared" si="94"/>
        <v>645848.41426267684</v>
      </c>
      <c r="BJ414" s="21">
        <f t="shared" si="94"/>
        <v>1291696.8285253537</v>
      </c>
      <c r="BK414" s="21">
        <f t="shared" si="94"/>
        <v>2583393.6570507074</v>
      </c>
      <c r="BL414" s="21">
        <f t="shared" si="94"/>
        <v>3257678.2834617449</v>
      </c>
      <c r="BM414" s="72">
        <f t="shared" si="94"/>
        <v>3257678.2834617449</v>
      </c>
      <c r="BN414" s="45"/>
    </row>
    <row r="415" spans="1:66" x14ac:dyDescent="0.25">
      <c r="A415" s="42"/>
      <c r="B415" s="7"/>
      <c r="C415" s="11"/>
      <c r="D415" s="26"/>
      <c r="E415" s="28">
        <v>0</v>
      </c>
      <c r="F415" s="10"/>
      <c r="G415" s="10"/>
      <c r="H415" s="10"/>
      <c r="I415" s="10"/>
      <c r="J415" s="10"/>
      <c r="K415" s="10"/>
      <c r="L415" s="10"/>
      <c r="M415" s="10"/>
      <c r="N415" s="10"/>
      <c r="O415" s="10"/>
      <c r="P415" s="10"/>
      <c r="Q415" s="10"/>
      <c r="R415" s="31">
        <f t="shared" ref="R415:BM415" si="95">R$367*$D$414*$E$415</f>
        <v>0</v>
      </c>
      <c r="S415" s="32">
        <f t="shared" si="95"/>
        <v>0</v>
      </c>
      <c r="T415" s="32">
        <f t="shared" si="95"/>
        <v>0</v>
      </c>
      <c r="U415" s="32">
        <f t="shared" si="95"/>
        <v>0</v>
      </c>
      <c r="V415" s="32">
        <f t="shared" si="95"/>
        <v>0</v>
      </c>
      <c r="W415" s="32">
        <f t="shared" si="95"/>
        <v>0</v>
      </c>
      <c r="X415" s="32">
        <f t="shared" si="95"/>
        <v>0</v>
      </c>
      <c r="Y415" s="32">
        <f t="shared" si="95"/>
        <v>0</v>
      </c>
      <c r="Z415" s="32">
        <f t="shared" si="95"/>
        <v>0</v>
      </c>
      <c r="AA415" s="32">
        <f t="shared" si="95"/>
        <v>0</v>
      </c>
      <c r="AB415" s="32">
        <f t="shared" si="95"/>
        <v>0</v>
      </c>
      <c r="AC415" s="32">
        <f t="shared" si="95"/>
        <v>0</v>
      </c>
      <c r="AD415" s="32">
        <f t="shared" si="95"/>
        <v>0</v>
      </c>
      <c r="AE415" s="32">
        <f t="shared" si="95"/>
        <v>0</v>
      </c>
      <c r="AF415" s="32">
        <f t="shared" si="95"/>
        <v>0</v>
      </c>
      <c r="AG415" s="32">
        <f t="shared" si="95"/>
        <v>0</v>
      </c>
      <c r="AH415" s="32">
        <f t="shared" si="95"/>
        <v>0</v>
      </c>
      <c r="AI415" s="32">
        <f t="shared" si="95"/>
        <v>0</v>
      </c>
      <c r="AJ415" s="32">
        <f t="shared" si="95"/>
        <v>0</v>
      </c>
      <c r="AK415" s="32">
        <f t="shared" si="95"/>
        <v>0</v>
      </c>
      <c r="AL415" s="32">
        <f t="shared" si="95"/>
        <v>0</v>
      </c>
      <c r="AM415" s="32">
        <f t="shared" si="95"/>
        <v>0</v>
      </c>
      <c r="AN415" s="32">
        <f t="shared" si="95"/>
        <v>0</v>
      </c>
      <c r="AO415" s="32">
        <f t="shared" si="95"/>
        <v>0</v>
      </c>
      <c r="AP415" s="32">
        <f t="shared" si="95"/>
        <v>0</v>
      </c>
      <c r="AQ415" s="32">
        <f t="shared" si="95"/>
        <v>0</v>
      </c>
      <c r="AR415" s="32">
        <f t="shared" si="95"/>
        <v>0</v>
      </c>
      <c r="AS415" s="32">
        <f t="shared" si="95"/>
        <v>0</v>
      </c>
      <c r="AT415" s="32">
        <f t="shared" si="95"/>
        <v>0</v>
      </c>
      <c r="AU415" s="32">
        <f t="shared" si="95"/>
        <v>0</v>
      </c>
      <c r="AV415" s="32">
        <f t="shared" si="95"/>
        <v>0</v>
      </c>
      <c r="AW415" s="32">
        <f t="shared" si="95"/>
        <v>0</v>
      </c>
      <c r="AX415" s="32">
        <f t="shared" si="95"/>
        <v>0</v>
      </c>
      <c r="AY415" s="32">
        <f t="shared" si="95"/>
        <v>0</v>
      </c>
      <c r="AZ415" s="32">
        <f t="shared" si="95"/>
        <v>0</v>
      </c>
      <c r="BA415" s="32">
        <f t="shared" si="95"/>
        <v>0</v>
      </c>
      <c r="BB415" s="32">
        <f t="shared" si="95"/>
        <v>0</v>
      </c>
      <c r="BC415" s="32">
        <f t="shared" si="95"/>
        <v>0</v>
      </c>
      <c r="BD415" s="32">
        <f t="shared" si="95"/>
        <v>0</v>
      </c>
      <c r="BE415" s="32">
        <f t="shared" si="95"/>
        <v>0</v>
      </c>
      <c r="BF415" s="32">
        <f t="shared" si="95"/>
        <v>0</v>
      </c>
      <c r="BG415" s="32">
        <f t="shared" si="95"/>
        <v>0</v>
      </c>
      <c r="BH415" s="29">
        <f t="shared" si="95"/>
        <v>0</v>
      </c>
      <c r="BI415" s="30">
        <f t="shared" si="95"/>
        <v>0</v>
      </c>
      <c r="BJ415" s="30">
        <f t="shared" si="95"/>
        <v>0</v>
      </c>
      <c r="BK415" s="30">
        <f t="shared" si="95"/>
        <v>0</v>
      </c>
      <c r="BL415" s="30">
        <f t="shared" si="95"/>
        <v>0</v>
      </c>
      <c r="BM415" s="71">
        <f t="shared" si="95"/>
        <v>0</v>
      </c>
      <c r="BN415" s="45"/>
    </row>
    <row r="416" spans="1:66" x14ac:dyDescent="0.25">
      <c r="A416" s="41" t="s">
        <v>39</v>
      </c>
      <c r="B416" s="14"/>
      <c r="C416" s="10"/>
      <c r="D416" s="10"/>
      <c r="E416" s="15"/>
      <c r="F416" s="10"/>
      <c r="G416" s="10"/>
      <c r="H416" s="10"/>
      <c r="I416" s="10"/>
      <c r="J416" s="10"/>
      <c r="K416" s="10"/>
      <c r="L416" s="10"/>
      <c r="M416" s="10"/>
      <c r="N416" s="10"/>
      <c r="O416" s="10"/>
      <c r="P416" s="10"/>
      <c r="Q416" s="10"/>
      <c r="R416" s="18">
        <f t="shared" ref="R416:AR416" si="96">SUM(R398,R400,R402,R404,R406,R408,R410,R412,R414)</f>
        <v>31.249999999999996</v>
      </c>
      <c r="S416" s="19">
        <f t="shared" si="96"/>
        <v>62.499999999999993</v>
      </c>
      <c r="T416" s="19">
        <f t="shared" si="96"/>
        <v>124.99999999999999</v>
      </c>
      <c r="U416" s="19">
        <f t="shared" si="96"/>
        <v>249.99999999999997</v>
      </c>
      <c r="V416" s="19">
        <f t="shared" si="96"/>
        <v>499.99999999999994</v>
      </c>
      <c r="W416" s="19">
        <f>SUM(W398,W400,W402,W404,W406,W408,W410,W412,W414)</f>
        <v>999.99999999999989</v>
      </c>
      <c r="X416" s="19">
        <f t="shared" si="96"/>
        <v>1999.9999999999998</v>
      </c>
      <c r="Y416" s="19">
        <f t="shared" si="96"/>
        <v>3999.9999999999995</v>
      </c>
      <c r="Z416" s="19">
        <f t="shared" si="96"/>
        <v>7999.9999999999991</v>
      </c>
      <c r="AA416" s="19">
        <f t="shared" si="96"/>
        <v>15999.999999999998</v>
      </c>
      <c r="AB416" s="19">
        <f t="shared" si="96"/>
        <v>31999.999999999996</v>
      </c>
      <c r="AC416" s="19">
        <f t="shared" si="96"/>
        <v>63999.999999999993</v>
      </c>
      <c r="AD416" s="19">
        <f t="shared" si="96"/>
        <v>127999.99999999999</v>
      </c>
      <c r="AE416" s="19">
        <f t="shared" si="96"/>
        <v>255999.99999999997</v>
      </c>
      <c r="AF416" s="19">
        <f t="shared" si="96"/>
        <v>511999.99999999994</v>
      </c>
      <c r="AG416" s="19">
        <f t="shared" ref="AG416:AI416" si="97">SUM(AG398,AG400,AG402,AG404,AG406,AG408,AG410,AG412,AG414)</f>
        <v>640000</v>
      </c>
      <c r="AH416" s="19">
        <f t="shared" si="97"/>
        <v>768000</v>
      </c>
      <c r="AI416" s="19">
        <f t="shared" si="97"/>
        <v>895999.99999999988</v>
      </c>
      <c r="AJ416" s="19">
        <f t="shared" si="96"/>
        <v>1023999.9999999999</v>
      </c>
      <c r="AK416" s="19">
        <f t="shared" ref="AK416:AM416" si="98">SUM(AK398,AK400,AK402,AK404,AK406,AK408,AK410,AK412,AK414)</f>
        <v>1310720</v>
      </c>
      <c r="AL416" s="19">
        <f t="shared" si="98"/>
        <v>1536000</v>
      </c>
      <c r="AM416" s="19">
        <f t="shared" si="98"/>
        <v>1791999.9999999998</v>
      </c>
      <c r="AN416" s="19">
        <f t="shared" si="96"/>
        <v>2047999.9999999998</v>
      </c>
      <c r="AO416" s="19">
        <f t="shared" si="96"/>
        <v>2457600</v>
      </c>
      <c r="AP416" s="19">
        <f t="shared" si="96"/>
        <v>2867200</v>
      </c>
      <c r="AQ416" s="19">
        <f t="shared" si="96"/>
        <v>3276799.9999999995</v>
      </c>
      <c r="AR416" s="19">
        <f t="shared" si="96"/>
        <v>3686400</v>
      </c>
      <c r="AS416" s="19">
        <f t="shared" ref="AS416:BC417" si="99">SUM(AS398,AS400,AS402,AS404,AS406,AS408,AS410,AS412,AS414)</f>
        <v>4095999.9999999995</v>
      </c>
      <c r="AT416" s="19">
        <f t="shared" ref="AT416:AW416" si="100">SUM(AT398,AT400,AT402,AT404,AT406,AT408,AT410,AT412,AT414)</f>
        <v>4915200</v>
      </c>
      <c r="AU416" s="19">
        <f t="shared" si="100"/>
        <v>5734400</v>
      </c>
      <c r="AV416" s="19">
        <f t="shared" si="100"/>
        <v>6553599.9999999991</v>
      </c>
      <c r="AW416" s="19">
        <f t="shared" si="100"/>
        <v>7372800</v>
      </c>
      <c r="AX416" s="19">
        <f t="shared" si="99"/>
        <v>8191999.9999999991</v>
      </c>
      <c r="AY416" s="19">
        <f t="shared" ref="AY416:BB416" si="101">SUM(AY398,AY400,AY402,AY404,AY406,AY408,AY410,AY412,AY414)</f>
        <v>9830400</v>
      </c>
      <c r="AZ416" s="19">
        <f t="shared" si="101"/>
        <v>11468800</v>
      </c>
      <c r="BA416" s="19">
        <f t="shared" si="101"/>
        <v>13107199.999999998</v>
      </c>
      <c r="BB416" s="19">
        <f t="shared" si="101"/>
        <v>14745600</v>
      </c>
      <c r="BC416" s="19">
        <f t="shared" si="99"/>
        <v>16383999.999999998</v>
      </c>
      <c r="BD416" s="19">
        <f t="shared" ref="BD416:BG416" si="102">SUM(BD398,BD400,BD402,BD404,BD406,BD408,BD410,BD412,BD414)</f>
        <v>19660800</v>
      </c>
      <c r="BE416" s="19">
        <f t="shared" si="102"/>
        <v>22937600</v>
      </c>
      <c r="BF416" s="19">
        <f t="shared" si="102"/>
        <v>26214399.999999996</v>
      </c>
      <c r="BG416" s="19">
        <f t="shared" si="102"/>
        <v>29491200</v>
      </c>
      <c r="BH416" s="18">
        <f t="shared" ref="BH416:BM416" si="103">SUM(BH398,BH400,BH402,BH404,BH406,BH408,BH410,BH412,BH414)</f>
        <v>32767999.999999996</v>
      </c>
      <c r="BI416" s="19">
        <f t="shared" si="103"/>
        <v>65535999.999999993</v>
      </c>
      <c r="BJ416" s="19">
        <f t="shared" si="103"/>
        <v>131071999.99999999</v>
      </c>
      <c r="BK416" s="19">
        <f t="shared" si="103"/>
        <v>262143999.99999997</v>
      </c>
      <c r="BL416" s="19">
        <f t="shared" si="103"/>
        <v>330565499.99999994</v>
      </c>
      <c r="BM416" s="60">
        <f t="shared" si="103"/>
        <v>330565499.99999994</v>
      </c>
      <c r="BN416" s="45"/>
    </row>
    <row r="417" spans="1:66" x14ac:dyDescent="0.25">
      <c r="A417" s="43" t="s">
        <v>38</v>
      </c>
      <c r="B417" s="44"/>
      <c r="C417" s="11"/>
      <c r="D417" s="11"/>
      <c r="E417" s="38"/>
      <c r="F417" s="11"/>
      <c r="G417" s="11"/>
      <c r="H417" s="11"/>
      <c r="I417" s="11"/>
      <c r="J417" s="11"/>
      <c r="K417" s="11"/>
      <c r="L417" s="11"/>
      <c r="M417" s="11"/>
      <c r="N417" s="11"/>
      <c r="O417" s="11"/>
      <c r="P417" s="11"/>
      <c r="Q417" s="11"/>
      <c r="R417" s="31">
        <f>SUM(R399,R401,R403,R405,R407,R409,R411,R413,R415)</f>
        <v>0.69269060204264477</v>
      </c>
      <c r="S417" s="32">
        <f>SUM(S399,S401,S403,S405,S407,S409,S411,S413,S415)</f>
        <v>1.3853812040852895</v>
      </c>
      <c r="T417" s="32">
        <f t="shared" ref="T417:AR417" si="104">SUM(T399,T401,T403,T405,T407,T409,T411,T413,T415)</f>
        <v>2.7707624081705791</v>
      </c>
      <c r="U417" s="32">
        <f t="shared" si="104"/>
        <v>5.5415248163411581</v>
      </c>
      <c r="V417" s="32">
        <f t="shared" si="104"/>
        <v>11.083049632682316</v>
      </c>
      <c r="W417" s="32">
        <f t="shared" si="104"/>
        <v>22.166099265364632</v>
      </c>
      <c r="X417" s="32">
        <f t="shared" si="104"/>
        <v>44.332198530729265</v>
      </c>
      <c r="Y417" s="32">
        <f t="shared" si="104"/>
        <v>88.66439706145853</v>
      </c>
      <c r="Z417" s="32">
        <f t="shared" si="104"/>
        <v>177.32879412291706</v>
      </c>
      <c r="AA417" s="32">
        <f t="shared" si="104"/>
        <v>354.65758824583412</v>
      </c>
      <c r="AB417" s="32">
        <f t="shared" si="104"/>
        <v>709.31517649166824</v>
      </c>
      <c r="AC417" s="32">
        <f t="shared" si="104"/>
        <v>1418.6303529833365</v>
      </c>
      <c r="AD417" s="32">
        <f t="shared" si="104"/>
        <v>2837.260705966673</v>
      </c>
      <c r="AE417" s="32">
        <f t="shared" si="104"/>
        <v>5674.5214119333459</v>
      </c>
      <c r="AF417" s="32">
        <f t="shared" si="104"/>
        <v>11349.042823866692</v>
      </c>
      <c r="AG417" s="32">
        <f t="shared" ref="AG417:AI417" si="105">SUM(AG399,AG401,AG403,AG405,AG407,AG409,AG411,AG413,AG415)</f>
        <v>14186.303529833365</v>
      </c>
      <c r="AH417" s="32">
        <f t="shared" si="105"/>
        <v>17023.564235800037</v>
      </c>
      <c r="AI417" s="32">
        <f t="shared" si="105"/>
        <v>19860.824941766703</v>
      </c>
      <c r="AJ417" s="32">
        <f t="shared" si="104"/>
        <v>22698.085647733384</v>
      </c>
      <c r="AK417" s="32">
        <f t="shared" ref="AK417:AM417" si="106">SUM(AK399,AK401,AK403,AK405,AK407,AK409,AK411,AK413,AK415)</f>
        <v>29053.549629098728</v>
      </c>
      <c r="AL417" s="32">
        <f t="shared" si="106"/>
        <v>34047.128471600074</v>
      </c>
      <c r="AM417" s="32">
        <f t="shared" si="106"/>
        <v>39721.649883533406</v>
      </c>
      <c r="AN417" s="32">
        <f t="shared" si="104"/>
        <v>45396.171295466767</v>
      </c>
      <c r="AO417" s="32">
        <f t="shared" si="104"/>
        <v>54475.405554560122</v>
      </c>
      <c r="AP417" s="32">
        <f t="shared" si="104"/>
        <v>63554.639813653455</v>
      </c>
      <c r="AQ417" s="32">
        <f t="shared" si="104"/>
        <v>72633.874072746825</v>
      </c>
      <c r="AR417" s="32">
        <f t="shared" si="104"/>
        <v>81713.108331840151</v>
      </c>
      <c r="AS417" s="32">
        <f t="shared" si="99"/>
        <v>90792.342590933535</v>
      </c>
      <c r="AT417" s="32">
        <f t="shared" ref="AT417:AW417" si="107">SUM(AT399,AT401,AT403,AT405,AT407,AT409,AT411,AT413,AT415)</f>
        <v>108950.81110912024</v>
      </c>
      <c r="AU417" s="32">
        <f t="shared" si="107"/>
        <v>127109.27962730691</v>
      </c>
      <c r="AV417" s="32">
        <f t="shared" si="107"/>
        <v>145267.74814549365</v>
      </c>
      <c r="AW417" s="32">
        <f t="shared" si="107"/>
        <v>163426.2166636803</v>
      </c>
      <c r="AX417" s="32">
        <f t="shared" si="99"/>
        <v>181584.68518186707</v>
      </c>
      <c r="AY417" s="32">
        <f t="shared" ref="AY417:BB417" si="108">SUM(AY399,AY401,AY403,AY405,AY407,AY409,AY411,AY413,AY415)</f>
        <v>217901.62221824049</v>
      </c>
      <c r="AZ417" s="32">
        <f t="shared" si="108"/>
        <v>254218.55925461382</v>
      </c>
      <c r="BA417" s="32">
        <f t="shared" si="108"/>
        <v>290535.4962909873</v>
      </c>
      <c r="BB417" s="32">
        <f t="shared" si="108"/>
        <v>326852.4333273606</v>
      </c>
      <c r="BC417" s="32">
        <f t="shared" si="99"/>
        <v>363169.37036373414</v>
      </c>
      <c r="BD417" s="32">
        <f t="shared" ref="BD417:BG417" si="109">SUM(BD399,BD401,BD403,BD405,BD407,BD409,BD411,BD413,BD415)</f>
        <v>435803.24443648098</v>
      </c>
      <c r="BE417" s="32">
        <f t="shared" si="109"/>
        <v>508437.11850922764</v>
      </c>
      <c r="BF417" s="32">
        <f t="shared" si="109"/>
        <v>581070.9925819746</v>
      </c>
      <c r="BG417" s="32">
        <f t="shared" si="109"/>
        <v>653704.86665472121</v>
      </c>
      <c r="BH417" s="31">
        <f t="shared" ref="BH417:BM417" si="110">SUM(BH399,BH401,BH403,BH405,BH407,BH409,BH411,BH413,BH415)</f>
        <v>726338.74072746828</v>
      </c>
      <c r="BI417" s="32">
        <f t="shared" si="110"/>
        <v>1452677.4814549366</v>
      </c>
      <c r="BJ417" s="32">
        <f t="shared" si="110"/>
        <v>2905354.9629098731</v>
      </c>
      <c r="BK417" s="32">
        <f t="shared" si="110"/>
        <v>5810709.9258197462</v>
      </c>
      <c r="BL417" s="32">
        <f t="shared" si="110"/>
        <v>7327347.6867048908</v>
      </c>
      <c r="BM417" s="73">
        <f t="shared" si="110"/>
        <v>7327347.6867048908</v>
      </c>
      <c r="BN417" s="45"/>
    </row>
    <row r="418" spans="1:66" x14ac:dyDescent="0.25">
      <c r="A418" s="42"/>
      <c r="B418" s="14"/>
      <c r="C418" s="10"/>
      <c r="D418" s="10"/>
      <c r="E418" s="15"/>
      <c r="F418" s="10"/>
      <c r="G418" s="10"/>
      <c r="H418" s="10"/>
      <c r="I418" s="10"/>
      <c r="J418" s="10"/>
      <c r="K418" s="10"/>
      <c r="L418" s="10"/>
      <c r="M418" s="10"/>
      <c r="N418" s="10"/>
      <c r="O418" s="10"/>
      <c r="P418" s="10"/>
      <c r="Q418" s="10"/>
      <c r="R418" s="45"/>
      <c r="S418" s="45"/>
      <c r="T418" s="45"/>
      <c r="U418" s="45"/>
      <c r="V418" s="45"/>
      <c r="W418" s="45"/>
      <c r="X418" s="45"/>
      <c r="Y418" s="45"/>
      <c r="Z418" s="45"/>
      <c r="AA418" s="45"/>
      <c r="AB418" s="45"/>
      <c r="AC418" s="45"/>
      <c r="AD418" s="45"/>
      <c r="AE418" s="45"/>
      <c r="AF418" s="45"/>
      <c r="AG418" s="45"/>
      <c r="AH418" s="45"/>
      <c r="AI418" s="45"/>
      <c r="AJ418" s="45"/>
      <c r="AK418" s="45"/>
      <c r="AL418" s="45"/>
      <c r="AM418" s="45"/>
      <c r="AN418" s="45"/>
      <c r="AO418" s="45"/>
      <c r="AP418" s="45"/>
      <c r="AQ418" s="45"/>
      <c r="AR418" s="45"/>
      <c r="AS418" s="45"/>
      <c r="AT418" s="45"/>
      <c r="AU418" s="45"/>
      <c r="AV418" s="45"/>
      <c r="AW418" s="45"/>
    </row>
    <row r="419" spans="1:66" x14ac:dyDescent="0.25">
      <c r="A419" s="54" t="s">
        <v>50</v>
      </c>
      <c r="B419" s="14"/>
      <c r="C419" s="10"/>
      <c r="D419" s="10"/>
      <c r="E419" s="15"/>
      <c r="F419" s="10"/>
      <c r="G419" s="10"/>
      <c r="H419" s="10"/>
      <c r="I419" s="10"/>
      <c r="J419" s="10"/>
      <c r="K419" s="10"/>
      <c r="L419" s="10"/>
      <c r="M419" s="10"/>
      <c r="N419" s="10"/>
      <c r="O419" s="10"/>
      <c r="P419" s="10"/>
      <c r="Q419" s="10"/>
      <c r="R419" s="45"/>
      <c r="S419" s="45"/>
      <c r="T419" s="45"/>
      <c r="U419" s="45"/>
      <c r="V419" s="45"/>
      <c r="W419" s="45"/>
      <c r="X419" s="45"/>
      <c r="Y419" s="45"/>
      <c r="Z419" s="45"/>
      <c r="AA419" s="45"/>
      <c r="AB419" s="45"/>
      <c r="AC419" s="45"/>
      <c r="AD419" s="45"/>
      <c r="AE419" s="45"/>
      <c r="AF419" s="45"/>
      <c r="AG419" s="45"/>
      <c r="AH419" s="45"/>
      <c r="AI419" s="45"/>
      <c r="AJ419" s="45"/>
      <c r="AK419" s="45"/>
      <c r="AL419" s="45"/>
      <c r="AM419" s="45"/>
      <c r="AN419" s="45"/>
      <c r="AO419" s="45"/>
      <c r="AP419" s="45"/>
      <c r="AQ419" s="45"/>
      <c r="AR419" s="45"/>
      <c r="AS419" s="45"/>
      <c r="AT419" s="45"/>
      <c r="AU419" s="45"/>
      <c r="AV419" s="45"/>
      <c r="AW419" s="45"/>
    </row>
    <row r="420" spans="1:66" x14ac:dyDescent="0.25">
      <c r="A420" s="4"/>
      <c r="B420" s="9" t="s">
        <v>5</v>
      </c>
      <c r="C420" s="9" t="s">
        <v>3</v>
      </c>
      <c r="D420" s="9"/>
      <c r="E420" s="59" t="s">
        <v>2</v>
      </c>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c r="AE420" s="9"/>
      <c r="AF420" s="9"/>
      <c r="AG420" s="9"/>
      <c r="AH420" s="9"/>
      <c r="AI420" s="9"/>
      <c r="AJ420" s="9"/>
      <c r="AK420" s="9"/>
      <c r="AL420" s="9"/>
      <c r="AM420" s="9"/>
      <c r="AN420" s="9"/>
      <c r="AO420" s="9"/>
      <c r="AP420" s="9"/>
      <c r="AQ420" s="9"/>
      <c r="AR420" s="9"/>
      <c r="AS420" s="9"/>
      <c r="AT420" s="9"/>
      <c r="AU420" s="9"/>
      <c r="AV420" s="9"/>
      <c r="AW420" s="9"/>
      <c r="AX420" s="9"/>
      <c r="AY420" s="9"/>
      <c r="AZ420" s="9"/>
      <c r="BA420" s="9"/>
      <c r="BB420" s="9"/>
      <c r="BC420" s="9"/>
      <c r="BD420" s="9"/>
      <c r="BE420" s="9"/>
      <c r="BF420" s="9"/>
      <c r="BG420" s="9"/>
      <c r="BH420" s="9"/>
      <c r="BI420" s="9"/>
      <c r="BJ420" s="9"/>
      <c r="BK420" s="9"/>
      <c r="BL420" s="9"/>
      <c r="BM420" s="5"/>
      <c r="BN420" s="47"/>
    </row>
    <row r="421" spans="1:66" x14ac:dyDescent="0.25">
      <c r="A421" s="48" t="s">
        <v>1</v>
      </c>
      <c r="B421" s="24">
        <v>0.36799999999999999</v>
      </c>
      <c r="C421" s="10">
        <f>$B$348 * B421</f>
        <v>121648104</v>
      </c>
      <c r="D421" s="16"/>
      <c r="E421" s="16"/>
      <c r="F421" s="16"/>
      <c r="G421" s="16"/>
      <c r="H421" s="16"/>
      <c r="I421" s="16"/>
      <c r="J421" s="16"/>
      <c r="K421" s="16"/>
      <c r="L421" s="16"/>
      <c r="M421" s="16"/>
      <c r="N421" s="16"/>
      <c r="O421" s="16"/>
      <c r="P421" s="16"/>
      <c r="Q421" s="16"/>
      <c r="R421" s="18">
        <f t="shared" ref="R421:BM421" si="111">R$367*$B$421</f>
        <v>11.5</v>
      </c>
      <c r="S421" s="19">
        <f t="shared" si="111"/>
        <v>23</v>
      </c>
      <c r="T421" s="19">
        <f t="shared" si="111"/>
        <v>46</v>
      </c>
      <c r="U421" s="19">
        <f t="shared" si="111"/>
        <v>92</v>
      </c>
      <c r="V421" s="19">
        <f t="shared" si="111"/>
        <v>184</v>
      </c>
      <c r="W421" s="19">
        <f t="shared" si="111"/>
        <v>368</v>
      </c>
      <c r="X421" s="19">
        <f t="shared" si="111"/>
        <v>736</v>
      </c>
      <c r="Y421" s="19">
        <f t="shared" si="111"/>
        <v>1472</v>
      </c>
      <c r="Z421" s="19">
        <f t="shared" si="111"/>
        <v>2944</v>
      </c>
      <c r="AA421" s="19">
        <f t="shared" si="111"/>
        <v>5888</v>
      </c>
      <c r="AB421" s="19">
        <f t="shared" si="111"/>
        <v>11776</v>
      </c>
      <c r="AC421" s="19">
        <f t="shared" si="111"/>
        <v>23552</v>
      </c>
      <c r="AD421" s="19">
        <f t="shared" si="111"/>
        <v>47104</v>
      </c>
      <c r="AE421" s="19">
        <f t="shared" si="111"/>
        <v>94208</v>
      </c>
      <c r="AF421" s="19">
        <f t="shared" si="111"/>
        <v>188416</v>
      </c>
      <c r="AG421" s="19">
        <f t="shared" si="111"/>
        <v>235520</v>
      </c>
      <c r="AH421" s="19">
        <f t="shared" si="111"/>
        <v>282624</v>
      </c>
      <c r="AI421" s="19">
        <f t="shared" si="111"/>
        <v>329728</v>
      </c>
      <c r="AJ421" s="19">
        <f t="shared" si="111"/>
        <v>376832</v>
      </c>
      <c r="AK421" s="19">
        <f t="shared" si="111"/>
        <v>482344.95999999996</v>
      </c>
      <c r="AL421" s="19">
        <f t="shared" si="111"/>
        <v>565248</v>
      </c>
      <c r="AM421" s="19">
        <f t="shared" si="111"/>
        <v>659456</v>
      </c>
      <c r="AN421" s="19">
        <f t="shared" si="111"/>
        <v>753664</v>
      </c>
      <c r="AO421" s="19">
        <f t="shared" si="111"/>
        <v>904396.79999999993</v>
      </c>
      <c r="AP421" s="19">
        <f t="shared" si="111"/>
        <v>1055129.6000000001</v>
      </c>
      <c r="AQ421" s="19">
        <f t="shared" si="111"/>
        <v>1205862.3999999999</v>
      </c>
      <c r="AR421" s="19">
        <f t="shared" si="111"/>
        <v>1356595.2</v>
      </c>
      <c r="AS421" s="19">
        <f t="shared" si="111"/>
        <v>1507328</v>
      </c>
      <c r="AT421" s="19">
        <f t="shared" si="111"/>
        <v>1808793.5999999999</v>
      </c>
      <c r="AU421" s="19">
        <f t="shared" si="111"/>
        <v>2110259.2000000002</v>
      </c>
      <c r="AV421" s="19">
        <f t="shared" si="111"/>
        <v>2411724.7999999998</v>
      </c>
      <c r="AW421" s="19">
        <f t="shared" si="111"/>
        <v>2713190.3999999999</v>
      </c>
      <c r="AX421" s="19">
        <f t="shared" si="111"/>
        <v>3014656</v>
      </c>
      <c r="AY421" s="19">
        <f t="shared" si="111"/>
        <v>3617587.1999999997</v>
      </c>
      <c r="AZ421" s="19">
        <f t="shared" si="111"/>
        <v>4220518.4000000004</v>
      </c>
      <c r="BA421" s="19">
        <f t="shared" si="111"/>
        <v>4823449.5999999996</v>
      </c>
      <c r="BB421" s="19">
        <f t="shared" si="111"/>
        <v>5426380.7999999998</v>
      </c>
      <c r="BC421" s="19">
        <f t="shared" si="111"/>
        <v>6029312</v>
      </c>
      <c r="BD421" s="19">
        <f t="shared" si="111"/>
        <v>7235174.3999999994</v>
      </c>
      <c r="BE421" s="19">
        <f t="shared" si="111"/>
        <v>8441036.8000000007</v>
      </c>
      <c r="BF421" s="19">
        <f t="shared" si="111"/>
        <v>9646899.1999999993</v>
      </c>
      <c r="BG421" s="19">
        <f t="shared" si="111"/>
        <v>10852761.6</v>
      </c>
      <c r="BH421" s="18">
        <f t="shared" si="111"/>
        <v>12058624</v>
      </c>
      <c r="BI421" s="19">
        <f t="shared" si="111"/>
        <v>24117248</v>
      </c>
      <c r="BJ421" s="19">
        <f t="shared" si="111"/>
        <v>48234496</v>
      </c>
      <c r="BK421" s="19">
        <f t="shared" si="111"/>
        <v>96468992</v>
      </c>
      <c r="BL421" s="19">
        <f t="shared" si="111"/>
        <v>121648104</v>
      </c>
      <c r="BM421" s="60">
        <f t="shared" si="111"/>
        <v>121648104</v>
      </c>
      <c r="BN421" s="45"/>
    </row>
    <row r="422" spans="1:66" x14ac:dyDescent="0.25">
      <c r="A422" s="48"/>
      <c r="B422" s="16"/>
      <c r="C422" s="16"/>
      <c r="D422" s="25"/>
      <c r="E422" s="46">
        <v>0.105</v>
      </c>
      <c r="F422" s="16"/>
      <c r="G422" s="16"/>
      <c r="H422" s="16"/>
      <c r="I422" s="16"/>
      <c r="J422" s="16"/>
      <c r="K422" s="16"/>
      <c r="L422" s="16"/>
      <c r="M422" s="16"/>
      <c r="N422" s="16"/>
      <c r="O422" s="16"/>
      <c r="P422" s="16"/>
      <c r="Q422" s="16"/>
      <c r="R422" s="29">
        <f>R421*$E$422</f>
        <v>1.2075</v>
      </c>
      <c r="S422" s="30">
        <f t="shared" ref="S422:AR422" si="112">S421*$E$422</f>
        <v>2.415</v>
      </c>
      <c r="T422" s="30">
        <f t="shared" si="112"/>
        <v>4.83</v>
      </c>
      <c r="U422" s="30">
        <f t="shared" si="112"/>
        <v>9.66</v>
      </c>
      <c r="V422" s="30">
        <f t="shared" si="112"/>
        <v>19.32</v>
      </c>
      <c r="W422" s="30">
        <f t="shared" si="112"/>
        <v>38.64</v>
      </c>
      <c r="X422" s="30">
        <f t="shared" si="112"/>
        <v>77.28</v>
      </c>
      <c r="Y422" s="30">
        <f t="shared" si="112"/>
        <v>154.56</v>
      </c>
      <c r="Z422" s="30">
        <f t="shared" si="112"/>
        <v>309.12</v>
      </c>
      <c r="AA422" s="30">
        <f t="shared" si="112"/>
        <v>618.24</v>
      </c>
      <c r="AB422" s="30">
        <f t="shared" si="112"/>
        <v>1236.48</v>
      </c>
      <c r="AC422" s="30">
        <f t="shared" si="112"/>
        <v>2472.96</v>
      </c>
      <c r="AD422" s="30">
        <f t="shared" si="112"/>
        <v>4945.92</v>
      </c>
      <c r="AE422" s="30">
        <f t="shared" si="112"/>
        <v>9891.84</v>
      </c>
      <c r="AF422" s="30">
        <f t="shared" si="112"/>
        <v>19783.68</v>
      </c>
      <c r="AG422" s="30">
        <f t="shared" ref="AG422:AI422" si="113">AG421*$E$422</f>
        <v>24729.599999999999</v>
      </c>
      <c r="AH422" s="30">
        <f t="shared" si="113"/>
        <v>29675.52</v>
      </c>
      <c r="AI422" s="30">
        <f t="shared" si="113"/>
        <v>34621.440000000002</v>
      </c>
      <c r="AJ422" s="30">
        <f t="shared" si="112"/>
        <v>39567.360000000001</v>
      </c>
      <c r="AK422" s="30">
        <f t="shared" ref="AK422:AM422" si="114">AK421*$E$422</f>
        <v>50646.220799999996</v>
      </c>
      <c r="AL422" s="30">
        <f t="shared" si="114"/>
        <v>59351.040000000001</v>
      </c>
      <c r="AM422" s="30">
        <f t="shared" si="114"/>
        <v>69242.880000000005</v>
      </c>
      <c r="AN422" s="30">
        <f t="shared" si="112"/>
        <v>79134.720000000001</v>
      </c>
      <c r="AO422" s="30">
        <f t="shared" si="112"/>
        <v>94961.66399999999</v>
      </c>
      <c r="AP422" s="30">
        <f t="shared" si="112"/>
        <v>110788.60800000001</v>
      </c>
      <c r="AQ422" s="30">
        <f t="shared" si="112"/>
        <v>126615.55199999998</v>
      </c>
      <c r="AR422" s="30">
        <f t="shared" si="112"/>
        <v>142442.49599999998</v>
      </c>
      <c r="AS422" s="30">
        <f>AS421*$E$422</f>
        <v>158269.44</v>
      </c>
      <c r="AT422" s="30">
        <f t="shared" ref="AT422:AW422" si="115">AT421*$E$422</f>
        <v>189923.32799999998</v>
      </c>
      <c r="AU422" s="30">
        <f t="shared" si="115"/>
        <v>221577.21600000001</v>
      </c>
      <c r="AV422" s="30">
        <f t="shared" si="115"/>
        <v>253231.10399999996</v>
      </c>
      <c r="AW422" s="30">
        <f t="shared" si="115"/>
        <v>284884.99199999997</v>
      </c>
      <c r="AX422" s="30">
        <f>AX421*$E$422</f>
        <v>316538.88</v>
      </c>
      <c r="AY422" s="30">
        <f t="shared" ref="AY422:BB422" si="116">AY421*$E$422</f>
        <v>379846.65599999996</v>
      </c>
      <c r="AZ422" s="30">
        <f t="shared" si="116"/>
        <v>443154.43200000003</v>
      </c>
      <c r="BA422" s="30">
        <f t="shared" si="116"/>
        <v>506462.20799999993</v>
      </c>
      <c r="BB422" s="30">
        <f t="shared" si="116"/>
        <v>569769.98399999994</v>
      </c>
      <c r="BC422" s="30">
        <f>BC421*$E$422</f>
        <v>633077.76000000001</v>
      </c>
      <c r="BD422" s="30">
        <f t="shared" ref="BD422:BG422" si="117">BD421*$E$422</f>
        <v>759693.31199999992</v>
      </c>
      <c r="BE422" s="30">
        <f t="shared" si="117"/>
        <v>886308.86400000006</v>
      </c>
      <c r="BF422" s="30">
        <f t="shared" si="117"/>
        <v>1012924.4159999999</v>
      </c>
      <c r="BG422" s="30">
        <f t="shared" si="117"/>
        <v>1139539.9679999999</v>
      </c>
      <c r="BH422" s="29">
        <f t="shared" ref="BH422:BM422" si="118">BH421*$E$422</f>
        <v>1266155.52</v>
      </c>
      <c r="BI422" s="30">
        <f t="shared" si="118"/>
        <v>2532311.04</v>
      </c>
      <c r="BJ422" s="30">
        <f t="shared" si="118"/>
        <v>5064622.0800000001</v>
      </c>
      <c r="BK422" s="30">
        <f t="shared" si="118"/>
        <v>10129244.16</v>
      </c>
      <c r="BL422" s="30">
        <f t="shared" si="118"/>
        <v>12773050.92</v>
      </c>
      <c r="BM422" s="71">
        <f t="shared" si="118"/>
        <v>12773050.92</v>
      </c>
      <c r="BN422" s="45"/>
    </row>
    <row r="423" spans="1:66" x14ac:dyDescent="0.25">
      <c r="A423" s="48" t="s">
        <v>4</v>
      </c>
      <c r="B423" s="24">
        <v>9.8000000000000004E-2</v>
      </c>
      <c r="C423" s="10">
        <f>$B$348 * B423</f>
        <v>32395419</v>
      </c>
      <c r="D423" s="47"/>
      <c r="E423" s="16"/>
      <c r="F423" s="16"/>
      <c r="G423" s="16"/>
      <c r="H423" s="16"/>
      <c r="I423" s="16"/>
      <c r="J423" s="16"/>
      <c r="K423" s="16"/>
      <c r="L423" s="16"/>
      <c r="M423" s="16"/>
      <c r="N423" s="16"/>
      <c r="O423" s="16"/>
      <c r="P423" s="16"/>
      <c r="Q423" s="16"/>
      <c r="R423" s="20">
        <f t="shared" ref="R423:BM423" si="119">R$367*$B$423</f>
        <v>3.0625</v>
      </c>
      <c r="S423" s="21">
        <f t="shared" si="119"/>
        <v>6.125</v>
      </c>
      <c r="T423" s="21">
        <f t="shared" si="119"/>
        <v>12.25</v>
      </c>
      <c r="U423" s="21">
        <f t="shared" si="119"/>
        <v>24.5</v>
      </c>
      <c r="V423" s="21">
        <f t="shared" si="119"/>
        <v>49</v>
      </c>
      <c r="W423" s="21">
        <f t="shared" si="119"/>
        <v>98</v>
      </c>
      <c r="X423" s="21">
        <f t="shared" si="119"/>
        <v>196</v>
      </c>
      <c r="Y423" s="21">
        <f t="shared" si="119"/>
        <v>392</v>
      </c>
      <c r="Z423" s="21">
        <f t="shared" si="119"/>
        <v>784</v>
      </c>
      <c r="AA423" s="21">
        <f t="shared" si="119"/>
        <v>1568</v>
      </c>
      <c r="AB423" s="21">
        <f t="shared" si="119"/>
        <v>3136</v>
      </c>
      <c r="AC423" s="21">
        <f t="shared" si="119"/>
        <v>6272</v>
      </c>
      <c r="AD423" s="21">
        <f t="shared" si="119"/>
        <v>12544</v>
      </c>
      <c r="AE423" s="21">
        <f t="shared" si="119"/>
        <v>25088</v>
      </c>
      <c r="AF423" s="21">
        <f t="shared" si="119"/>
        <v>50176</v>
      </c>
      <c r="AG423" s="21">
        <f t="shared" si="119"/>
        <v>62720</v>
      </c>
      <c r="AH423" s="21">
        <f t="shared" si="119"/>
        <v>75264</v>
      </c>
      <c r="AI423" s="21">
        <f t="shared" si="119"/>
        <v>87808</v>
      </c>
      <c r="AJ423" s="21">
        <f t="shared" si="119"/>
        <v>100352</v>
      </c>
      <c r="AK423" s="21">
        <f t="shared" si="119"/>
        <v>128450.56</v>
      </c>
      <c r="AL423" s="21">
        <f t="shared" si="119"/>
        <v>150528</v>
      </c>
      <c r="AM423" s="21">
        <f t="shared" si="119"/>
        <v>175616</v>
      </c>
      <c r="AN423" s="21">
        <f t="shared" si="119"/>
        <v>200704</v>
      </c>
      <c r="AO423" s="21">
        <f t="shared" si="119"/>
        <v>240844.80000000002</v>
      </c>
      <c r="AP423" s="21">
        <f t="shared" si="119"/>
        <v>280985.60000000003</v>
      </c>
      <c r="AQ423" s="21">
        <f t="shared" si="119"/>
        <v>321126.40000000002</v>
      </c>
      <c r="AR423" s="21">
        <f t="shared" si="119"/>
        <v>361267.20000000001</v>
      </c>
      <c r="AS423" s="21">
        <f t="shared" si="119"/>
        <v>401408</v>
      </c>
      <c r="AT423" s="21">
        <f t="shared" si="119"/>
        <v>481689.60000000003</v>
      </c>
      <c r="AU423" s="21">
        <f t="shared" si="119"/>
        <v>561971.20000000007</v>
      </c>
      <c r="AV423" s="21">
        <f t="shared" si="119"/>
        <v>642252.80000000005</v>
      </c>
      <c r="AW423" s="21">
        <f t="shared" si="119"/>
        <v>722534.40000000002</v>
      </c>
      <c r="AX423" s="21">
        <f t="shared" si="119"/>
        <v>802816</v>
      </c>
      <c r="AY423" s="21">
        <f t="shared" si="119"/>
        <v>963379.20000000007</v>
      </c>
      <c r="AZ423" s="21">
        <f t="shared" si="119"/>
        <v>1123942.4000000001</v>
      </c>
      <c r="BA423" s="21">
        <f t="shared" si="119"/>
        <v>1284505.6000000001</v>
      </c>
      <c r="BB423" s="21">
        <f t="shared" si="119"/>
        <v>1445068.8</v>
      </c>
      <c r="BC423" s="21">
        <f t="shared" si="119"/>
        <v>1605632</v>
      </c>
      <c r="BD423" s="21">
        <f t="shared" si="119"/>
        <v>1926758.4000000001</v>
      </c>
      <c r="BE423" s="21">
        <f t="shared" si="119"/>
        <v>2247884.8000000003</v>
      </c>
      <c r="BF423" s="21">
        <f t="shared" si="119"/>
        <v>2569011.2000000002</v>
      </c>
      <c r="BG423" s="21">
        <f t="shared" si="119"/>
        <v>2890137.6000000001</v>
      </c>
      <c r="BH423" s="20">
        <f t="shared" si="119"/>
        <v>3211264</v>
      </c>
      <c r="BI423" s="21">
        <f t="shared" si="119"/>
        <v>6422528</v>
      </c>
      <c r="BJ423" s="21">
        <f t="shared" si="119"/>
        <v>12845056</v>
      </c>
      <c r="BK423" s="21">
        <f t="shared" si="119"/>
        <v>25690112</v>
      </c>
      <c r="BL423" s="21">
        <f t="shared" si="119"/>
        <v>32395419</v>
      </c>
      <c r="BM423" s="72">
        <f t="shared" si="119"/>
        <v>32395419</v>
      </c>
      <c r="BN423" s="45"/>
    </row>
    <row r="424" spans="1:66" x14ac:dyDescent="0.25">
      <c r="A424" s="48"/>
      <c r="B424" s="16"/>
      <c r="C424" s="16"/>
      <c r="D424" s="25"/>
      <c r="E424" s="46">
        <v>7.2999999999999995E-2</v>
      </c>
      <c r="F424" s="16"/>
      <c r="G424" s="16"/>
      <c r="H424" s="16"/>
      <c r="I424" s="16"/>
      <c r="J424" s="16"/>
      <c r="K424" s="16"/>
      <c r="L424" s="16"/>
      <c r="M424" s="16"/>
      <c r="N424" s="16"/>
      <c r="O424" s="16"/>
      <c r="P424" s="16"/>
      <c r="Q424" s="16"/>
      <c r="R424" s="29">
        <f t="shared" ref="R424:AR424" si="120">R423*$E$424</f>
        <v>0.2235625</v>
      </c>
      <c r="S424" s="30">
        <f t="shared" si="120"/>
        <v>0.44712499999999999</v>
      </c>
      <c r="T424" s="30">
        <f t="shared" si="120"/>
        <v>0.89424999999999999</v>
      </c>
      <c r="U424" s="30">
        <f t="shared" si="120"/>
        <v>1.7885</v>
      </c>
      <c r="V424" s="30">
        <f t="shared" si="120"/>
        <v>3.577</v>
      </c>
      <c r="W424" s="30">
        <f t="shared" si="120"/>
        <v>7.1539999999999999</v>
      </c>
      <c r="X424" s="30">
        <f t="shared" si="120"/>
        <v>14.308</v>
      </c>
      <c r="Y424" s="30">
        <f t="shared" si="120"/>
        <v>28.616</v>
      </c>
      <c r="Z424" s="30">
        <f t="shared" si="120"/>
        <v>57.231999999999999</v>
      </c>
      <c r="AA424" s="30">
        <f t="shared" si="120"/>
        <v>114.464</v>
      </c>
      <c r="AB424" s="30">
        <f t="shared" si="120"/>
        <v>228.928</v>
      </c>
      <c r="AC424" s="30">
        <f t="shared" si="120"/>
        <v>457.85599999999999</v>
      </c>
      <c r="AD424" s="30">
        <f t="shared" si="120"/>
        <v>915.71199999999999</v>
      </c>
      <c r="AE424" s="30">
        <f t="shared" si="120"/>
        <v>1831.424</v>
      </c>
      <c r="AF424" s="30">
        <f t="shared" si="120"/>
        <v>3662.848</v>
      </c>
      <c r="AG424" s="30">
        <f t="shared" ref="AG424:AI424" si="121">AG423*$E$424</f>
        <v>4578.5599999999995</v>
      </c>
      <c r="AH424" s="30">
        <f t="shared" si="121"/>
        <v>5494.2719999999999</v>
      </c>
      <c r="AI424" s="30">
        <f t="shared" si="121"/>
        <v>6409.9839999999995</v>
      </c>
      <c r="AJ424" s="30">
        <f t="shared" si="120"/>
        <v>7325.6959999999999</v>
      </c>
      <c r="AK424" s="30">
        <f t="shared" ref="AK424:AM424" si="122">AK423*$E$424</f>
        <v>9376.890879999999</v>
      </c>
      <c r="AL424" s="30">
        <f t="shared" si="122"/>
        <v>10988.544</v>
      </c>
      <c r="AM424" s="30">
        <f t="shared" si="122"/>
        <v>12819.967999999999</v>
      </c>
      <c r="AN424" s="30">
        <f t="shared" si="120"/>
        <v>14651.392</v>
      </c>
      <c r="AO424" s="30">
        <f t="shared" si="120"/>
        <v>17581.670399999999</v>
      </c>
      <c r="AP424" s="30">
        <f t="shared" si="120"/>
        <v>20511.948800000002</v>
      </c>
      <c r="AQ424" s="30">
        <f t="shared" si="120"/>
        <v>23442.227200000001</v>
      </c>
      <c r="AR424" s="30">
        <f t="shared" si="120"/>
        <v>26372.5056</v>
      </c>
      <c r="AS424" s="30">
        <f>AS423*$E$424</f>
        <v>29302.784</v>
      </c>
      <c r="AT424" s="30">
        <f t="shared" ref="AT424:AW424" si="123">AT423*$E$424</f>
        <v>35163.340799999998</v>
      </c>
      <c r="AU424" s="30">
        <f t="shared" si="123"/>
        <v>41023.897600000004</v>
      </c>
      <c r="AV424" s="30">
        <f t="shared" si="123"/>
        <v>46884.454400000002</v>
      </c>
      <c r="AW424" s="30">
        <f t="shared" si="123"/>
        <v>52745.011200000001</v>
      </c>
      <c r="AX424" s="30">
        <f>AX423*$E$424</f>
        <v>58605.567999999999</v>
      </c>
      <c r="AY424" s="30">
        <f t="shared" ref="AY424:BB424" si="124">AY423*$E$424</f>
        <v>70326.681599999996</v>
      </c>
      <c r="AZ424" s="30">
        <f t="shared" si="124"/>
        <v>82047.795200000008</v>
      </c>
      <c r="BA424" s="30">
        <f t="shared" si="124"/>
        <v>93768.908800000005</v>
      </c>
      <c r="BB424" s="30">
        <f t="shared" si="124"/>
        <v>105490.0224</v>
      </c>
      <c r="BC424" s="30">
        <f>BC423*$E$424</f>
        <v>117211.136</v>
      </c>
      <c r="BD424" s="30">
        <f t="shared" ref="BD424:BG424" si="125">BD423*$E$424</f>
        <v>140653.36319999999</v>
      </c>
      <c r="BE424" s="30">
        <f t="shared" si="125"/>
        <v>164095.59040000002</v>
      </c>
      <c r="BF424" s="30">
        <f t="shared" si="125"/>
        <v>187537.81760000001</v>
      </c>
      <c r="BG424" s="30">
        <f t="shared" si="125"/>
        <v>210980.0448</v>
      </c>
      <c r="BH424" s="29">
        <f t="shared" ref="BH424:BM424" si="126">BH423*$E$424</f>
        <v>234422.272</v>
      </c>
      <c r="BI424" s="30">
        <f t="shared" si="126"/>
        <v>468844.54399999999</v>
      </c>
      <c r="BJ424" s="30">
        <f t="shared" si="126"/>
        <v>937689.08799999999</v>
      </c>
      <c r="BK424" s="30">
        <f t="shared" si="126"/>
        <v>1875378.176</v>
      </c>
      <c r="BL424" s="30">
        <f t="shared" si="126"/>
        <v>2364865.5869999998</v>
      </c>
      <c r="BM424" s="71">
        <f t="shared" si="126"/>
        <v>2364865.5869999998</v>
      </c>
      <c r="BN424" s="45"/>
    </row>
    <row r="425" spans="1:66" x14ac:dyDescent="0.25">
      <c r="A425" s="48" t="s">
        <v>6</v>
      </c>
      <c r="B425" s="24">
        <v>0.13400000000000001</v>
      </c>
      <c r="C425" s="10">
        <f>$B$348 * B425</f>
        <v>44295777</v>
      </c>
      <c r="D425" s="47"/>
      <c r="E425" s="16"/>
      <c r="F425" s="16"/>
      <c r="G425" s="16"/>
      <c r="H425" s="16"/>
      <c r="I425" s="16"/>
      <c r="J425" s="16"/>
      <c r="K425" s="16"/>
      <c r="L425" s="16"/>
      <c r="M425" s="16"/>
      <c r="N425" s="16"/>
      <c r="O425" s="16"/>
      <c r="P425" s="16"/>
      <c r="Q425" s="16"/>
      <c r="R425" s="20">
        <f t="shared" ref="R425:BM425" si="127">R$367*$B$425</f>
        <v>4.1875</v>
      </c>
      <c r="S425" s="21">
        <f t="shared" si="127"/>
        <v>8.375</v>
      </c>
      <c r="T425" s="21">
        <f t="shared" si="127"/>
        <v>16.75</v>
      </c>
      <c r="U425" s="21">
        <f t="shared" si="127"/>
        <v>33.5</v>
      </c>
      <c r="V425" s="21">
        <f t="shared" si="127"/>
        <v>67</v>
      </c>
      <c r="W425" s="21">
        <f t="shared" si="127"/>
        <v>134</v>
      </c>
      <c r="X425" s="21">
        <f t="shared" si="127"/>
        <v>268</v>
      </c>
      <c r="Y425" s="21">
        <f t="shared" si="127"/>
        <v>536</v>
      </c>
      <c r="Z425" s="21">
        <f t="shared" si="127"/>
        <v>1072</v>
      </c>
      <c r="AA425" s="21">
        <f t="shared" si="127"/>
        <v>2144</v>
      </c>
      <c r="AB425" s="21">
        <f t="shared" si="127"/>
        <v>4288</v>
      </c>
      <c r="AC425" s="21">
        <f t="shared" si="127"/>
        <v>8576</v>
      </c>
      <c r="AD425" s="21">
        <f t="shared" si="127"/>
        <v>17152</v>
      </c>
      <c r="AE425" s="21">
        <f t="shared" si="127"/>
        <v>34304</v>
      </c>
      <c r="AF425" s="21">
        <f t="shared" si="127"/>
        <v>68608</v>
      </c>
      <c r="AG425" s="21">
        <f t="shared" si="127"/>
        <v>85760</v>
      </c>
      <c r="AH425" s="21">
        <f t="shared" si="127"/>
        <v>102912</v>
      </c>
      <c r="AI425" s="21">
        <f t="shared" si="127"/>
        <v>120064</v>
      </c>
      <c r="AJ425" s="21">
        <f t="shared" si="127"/>
        <v>137216</v>
      </c>
      <c r="AK425" s="21">
        <f t="shared" si="127"/>
        <v>175636.48000000001</v>
      </c>
      <c r="AL425" s="21">
        <f t="shared" si="127"/>
        <v>205824</v>
      </c>
      <c r="AM425" s="21">
        <f t="shared" si="127"/>
        <v>240128</v>
      </c>
      <c r="AN425" s="21">
        <f t="shared" si="127"/>
        <v>274432</v>
      </c>
      <c r="AO425" s="21">
        <f t="shared" si="127"/>
        <v>329318.40000000002</v>
      </c>
      <c r="AP425" s="21">
        <f t="shared" si="127"/>
        <v>384204.80000000005</v>
      </c>
      <c r="AQ425" s="21">
        <f t="shared" si="127"/>
        <v>439091.20000000001</v>
      </c>
      <c r="AR425" s="21">
        <f t="shared" si="127"/>
        <v>493977.60000000003</v>
      </c>
      <c r="AS425" s="21">
        <f t="shared" si="127"/>
        <v>548864</v>
      </c>
      <c r="AT425" s="21">
        <f t="shared" si="127"/>
        <v>658636.80000000005</v>
      </c>
      <c r="AU425" s="21">
        <f t="shared" si="127"/>
        <v>768409.60000000009</v>
      </c>
      <c r="AV425" s="21">
        <f t="shared" si="127"/>
        <v>878182.40000000002</v>
      </c>
      <c r="AW425" s="21">
        <f t="shared" si="127"/>
        <v>987955.20000000007</v>
      </c>
      <c r="AX425" s="21">
        <f t="shared" si="127"/>
        <v>1097728</v>
      </c>
      <c r="AY425" s="21">
        <f t="shared" si="127"/>
        <v>1317273.6000000001</v>
      </c>
      <c r="AZ425" s="21">
        <f t="shared" si="127"/>
        <v>1536819.2000000002</v>
      </c>
      <c r="BA425" s="21">
        <f t="shared" si="127"/>
        <v>1756364.8</v>
      </c>
      <c r="BB425" s="21">
        <f t="shared" si="127"/>
        <v>1975910.4000000001</v>
      </c>
      <c r="BC425" s="21">
        <f t="shared" si="127"/>
        <v>2195456</v>
      </c>
      <c r="BD425" s="21">
        <f t="shared" si="127"/>
        <v>2634547.2000000002</v>
      </c>
      <c r="BE425" s="21">
        <f t="shared" si="127"/>
        <v>3073638.4000000004</v>
      </c>
      <c r="BF425" s="21">
        <f t="shared" si="127"/>
        <v>3512729.6000000001</v>
      </c>
      <c r="BG425" s="21">
        <f t="shared" si="127"/>
        <v>3951820.8000000003</v>
      </c>
      <c r="BH425" s="20">
        <f t="shared" si="127"/>
        <v>4390912</v>
      </c>
      <c r="BI425" s="21">
        <f t="shared" si="127"/>
        <v>8781824</v>
      </c>
      <c r="BJ425" s="21">
        <f t="shared" si="127"/>
        <v>17563648</v>
      </c>
      <c r="BK425" s="21">
        <f t="shared" si="127"/>
        <v>35127296</v>
      </c>
      <c r="BL425" s="21">
        <f t="shared" si="127"/>
        <v>44295777</v>
      </c>
      <c r="BM425" s="72">
        <f t="shared" si="127"/>
        <v>44295777</v>
      </c>
      <c r="BN425" s="45"/>
    </row>
    <row r="426" spans="1:66" x14ac:dyDescent="0.25">
      <c r="A426" s="48"/>
      <c r="B426" s="16"/>
      <c r="C426" s="16"/>
      <c r="D426" s="25"/>
      <c r="E426" s="46">
        <v>6.3E-2</v>
      </c>
      <c r="F426" s="16"/>
      <c r="G426" s="16"/>
      <c r="H426" s="16"/>
      <c r="I426" s="16"/>
      <c r="J426" s="16"/>
      <c r="K426" s="16"/>
      <c r="L426" s="16"/>
      <c r="M426" s="16"/>
      <c r="N426" s="16"/>
      <c r="O426" s="16"/>
      <c r="P426" s="16"/>
      <c r="Q426" s="16"/>
      <c r="R426" s="29">
        <f t="shared" ref="R426:AR426" si="128">R425*$E$426</f>
        <v>0.26381250000000001</v>
      </c>
      <c r="S426" s="30">
        <f t="shared" si="128"/>
        <v>0.52762500000000001</v>
      </c>
      <c r="T426" s="30">
        <f t="shared" si="128"/>
        <v>1.05525</v>
      </c>
      <c r="U426" s="30">
        <f t="shared" si="128"/>
        <v>2.1105</v>
      </c>
      <c r="V426" s="30">
        <f t="shared" si="128"/>
        <v>4.2210000000000001</v>
      </c>
      <c r="W426" s="30">
        <f t="shared" si="128"/>
        <v>8.4420000000000002</v>
      </c>
      <c r="X426" s="30">
        <f t="shared" si="128"/>
        <v>16.884</v>
      </c>
      <c r="Y426" s="30">
        <f t="shared" si="128"/>
        <v>33.768000000000001</v>
      </c>
      <c r="Z426" s="30">
        <f t="shared" si="128"/>
        <v>67.536000000000001</v>
      </c>
      <c r="AA426" s="30">
        <f t="shared" si="128"/>
        <v>135.072</v>
      </c>
      <c r="AB426" s="30">
        <f t="shared" si="128"/>
        <v>270.14400000000001</v>
      </c>
      <c r="AC426" s="30">
        <f t="shared" si="128"/>
        <v>540.28800000000001</v>
      </c>
      <c r="AD426" s="30">
        <f t="shared" si="128"/>
        <v>1080.576</v>
      </c>
      <c r="AE426" s="30">
        <f t="shared" si="128"/>
        <v>2161.152</v>
      </c>
      <c r="AF426" s="30">
        <f t="shared" si="128"/>
        <v>4322.3040000000001</v>
      </c>
      <c r="AG426" s="30">
        <f t="shared" ref="AG426:AI426" si="129">AG425*$E$426</f>
        <v>5402.88</v>
      </c>
      <c r="AH426" s="30">
        <f t="shared" si="129"/>
        <v>6483.4560000000001</v>
      </c>
      <c r="AI426" s="30">
        <f t="shared" si="129"/>
        <v>7564.0320000000002</v>
      </c>
      <c r="AJ426" s="30">
        <f t="shared" si="128"/>
        <v>8644.6080000000002</v>
      </c>
      <c r="AK426" s="30">
        <f t="shared" ref="AK426:AM426" si="130">AK425*$E$426</f>
        <v>11065.098240000001</v>
      </c>
      <c r="AL426" s="30">
        <f t="shared" si="130"/>
        <v>12966.912</v>
      </c>
      <c r="AM426" s="30">
        <f t="shared" si="130"/>
        <v>15128.064</v>
      </c>
      <c r="AN426" s="30">
        <f t="shared" si="128"/>
        <v>17289.216</v>
      </c>
      <c r="AO426" s="30">
        <f t="shared" si="128"/>
        <v>20747.059200000003</v>
      </c>
      <c r="AP426" s="30">
        <f t="shared" si="128"/>
        <v>24204.902400000003</v>
      </c>
      <c r="AQ426" s="30">
        <f t="shared" si="128"/>
        <v>27662.745600000002</v>
      </c>
      <c r="AR426" s="30">
        <f t="shared" si="128"/>
        <v>31120.588800000001</v>
      </c>
      <c r="AS426" s="30">
        <f>AS425*$E$426</f>
        <v>34578.432000000001</v>
      </c>
      <c r="AT426" s="30">
        <f t="shared" ref="AT426:AW426" si="131">AT425*$E$426</f>
        <v>41494.118400000007</v>
      </c>
      <c r="AU426" s="30">
        <f t="shared" si="131"/>
        <v>48409.804800000005</v>
      </c>
      <c r="AV426" s="30">
        <f t="shared" si="131"/>
        <v>55325.491200000004</v>
      </c>
      <c r="AW426" s="30">
        <f t="shared" si="131"/>
        <v>62241.177600000003</v>
      </c>
      <c r="AX426" s="30">
        <f>AX425*$E$426</f>
        <v>69156.864000000001</v>
      </c>
      <c r="AY426" s="30">
        <f t="shared" ref="AY426:BB426" si="132">AY425*$E$426</f>
        <v>82988.236800000013</v>
      </c>
      <c r="AZ426" s="30">
        <f t="shared" si="132"/>
        <v>96819.609600000011</v>
      </c>
      <c r="BA426" s="30">
        <f t="shared" si="132"/>
        <v>110650.98240000001</v>
      </c>
      <c r="BB426" s="30">
        <f t="shared" si="132"/>
        <v>124482.35520000001</v>
      </c>
      <c r="BC426" s="30">
        <f>BC425*$E$426</f>
        <v>138313.728</v>
      </c>
      <c r="BD426" s="30">
        <f t="shared" ref="BD426:BG426" si="133">BD425*$E$426</f>
        <v>165976.47360000003</v>
      </c>
      <c r="BE426" s="30">
        <f t="shared" si="133"/>
        <v>193639.21920000002</v>
      </c>
      <c r="BF426" s="30">
        <f t="shared" si="133"/>
        <v>221301.96480000002</v>
      </c>
      <c r="BG426" s="30">
        <f t="shared" si="133"/>
        <v>248964.71040000001</v>
      </c>
      <c r="BH426" s="29">
        <f t="shared" ref="BH426:BM426" si="134">BH425*$E$426</f>
        <v>276627.45600000001</v>
      </c>
      <c r="BI426" s="30">
        <f t="shared" si="134"/>
        <v>553254.91200000001</v>
      </c>
      <c r="BJ426" s="30">
        <f t="shared" si="134"/>
        <v>1106509.824</v>
      </c>
      <c r="BK426" s="30">
        <f t="shared" si="134"/>
        <v>2213019.648</v>
      </c>
      <c r="BL426" s="30">
        <f t="shared" si="134"/>
        <v>2790633.9509999999</v>
      </c>
      <c r="BM426" s="71">
        <f t="shared" si="134"/>
        <v>2790633.9509999999</v>
      </c>
      <c r="BN426" s="45"/>
    </row>
    <row r="427" spans="1:66" x14ac:dyDescent="0.25">
      <c r="A427" s="48" t="s">
        <v>7</v>
      </c>
      <c r="B427" s="24">
        <v>0.46</v>
      </c>
      <c r="C427" s="10">
        <f>$B$348 * B427</f>
        <v>152060130</v>
      </c>
      <c r="D427" s="47"/>
      <c r="E427" s="16"/>
      <c r="F427" s="16"/>
      <c r="G427" s="16"/>
      <c r="H427" s="16"/>
      <c r="I427" s="16"/>
      <c r="J427" s="16"/>
      <c r="K427" s="16"/>
      <c r="L427" s="16"/>
      <c r="M427" s="16"/>
      <c r="N427" s="16"/>
      <c r="O427" s="16"/>
      <c r="P427" s="16"/>
      <c r="Q427" s="16"/>
      <c r="R427" s="20">
        <f t="shared" ref="R427:BM427" si="135">R$367*$B$427</f>
        <v>14.375</v>
      </c>
      <c r="S427" s="21">
        <f t="shared" si="135"/>
        <v>28.75</v>
      </c>
      <c r="T427" s="21">
        <f t="shared" si="135"/>
        <v>57.5</v>
      </c>
      <c r="U427" s="21">
        <f t="shared" si="135"/>
        <v>115</v>
      </c>
      <c r="V427" s="21">
        <f t="shared" si="135"/>
        <v>230</v>
      </c>
      <c r="W427" s="21">
        <f t="shared" si="135"/>
        <v>460</v>
      </c>
      <c r="X427" s="21">
        <f t="shared" si="135"/>
        <v>920</v>
      </c>
      <c r="Y427" s="21">
        <f t="shared" si="135"/>
        <v>1840</v>
      </c>
      <c r="Z427" s="21">
        <f t="shared" si="135"/>
        <v>3680</v>
      </c>
      <c r="AA427" s="21">
        <f t="shared" si="135"/>
        <v>7360</v>
      </c>
      <c r="AB427" s="21">
        <f t="shared" si="135"/>
        <v>14720</v>
      </c>
      <c r="AC427" s="21">
        <f t="shared" si="135"/>
        <v>29440</v>
      </c>
      <c r="AD427" s="21">
        <f t="shared" si="135"/>
        <v>58880</v>
      </c>
      <c r="AE427" s="21">
        <f t="shared" si="135"/>
        <v>117760</v>
      </c>
      <c r="AF427" s="21">
        <f t="shared" si="135"/>
        <v>235520</v>
      </c>
      <c r="AG427" s="21">
        <f t="shared" si="135"/>
        <v>294400</v>
      </c>
      <c r="AH427" s="21">
        <f t="shared" si="135"/>
        <v>353280</v>
      </c>
      <c r="AI427" s="21">
        <f t="shared" si="135"/>
        <v>412160</v>
      </c>
      <c r="AJ427" s="21">
        <f t="shared" si="135"/>
        <v>471040</v>
      </c>
      <c r="AK427" s="21">
        <f t="shared" si="135"/>
        <v>602931.20000000007</v>
      </c>
      <c r="AL427" s="21">
        <f t="shared" si="135"/>
        <v>706560</v>
      </c>
      <c r="AM427" s="21">
        <f t="shared" si="135"/>
        <v>824320</v>
      </c>
      <c r="AN427" s="21">
        <f t="shared" si="135"/>
        <v>942080</v>
      </c>
      <c r="AO427" s="21">
        <f t="shared" si="135"/>
        <v>1130496</v>
      </c>
      <c r="AP427" s="21">
        <f t="shared" si="135"/>
        <v>1318912</v>
      </c>
      <c r="AQ427" s="21">
        <f t="shared" si="135"/>
        <v>1507328</v>
      </c>
      <c r="AR427" s="21">
        <f t="shared" si="135"/>
        <v>1695744</v>
      </c>
      <c r="AS427" s="21">
        <f t="shared" si="135"/>
        <v>1884160</v>
      </c>
      <c r="AT427" s="21">
        <f t="shared" si="135"/>
        <v>2260992</v>
      </c>
      <c r="AU427" s="21">
        <f t="shared" si="135"/>
        <v>2637824</v>
      </c>
      <c r="AV427" s="21">
        <f t="shared" si="135"/>
        <v>3014656</v>
      </c>
      <c r="AW427" s="21">
        <f t="shared" si="135"/>
        <v>3391488</v>
      </c>
      <c r="AX427" s="21">
        <f t="shared" si="135"/>
        <v>3768320</v>
      </c>
      <c r="AY427" s="21">
        <f t="shared" si="135"/>
        <v>4521984</v>
      </c>
      <c r="AZ427" s="21">
        <f t="shared" si="135"/>
        <v>5275648</v>
      </c>
      <c r="BA427" s="21">
        <f t="shared" si="135"/>
        <v>6029312</v>
      </c>
      <c r="BB427" s="21">
        <f t="shared" si="135"/>
        <v>6782976</v>
      </c>
      <c r="BC427" s="21">
        <f t="shared" si="135"/>
        <v>7536640</v>
      </c>
      <c r="BD427" s="21">
        <f t="shared" si="135"/>
        <v>9043968</v>
      </c>
      <c r="BE427" s="21">
        <f t="shared" si="135"/>
        <v>10551296</v>
      </c>
      <c r="BF427" s="21">
        <f t="shared" si="135"/>
        <v>12058624</v>
      </c>
      <c r="BG427" s="21">
        <f t="shared" si="135"/>
        <v>13565952</v>
      </c>
      <c r="BH427" s="20">
        <f t="shared" si="135"/>
        <v>15073280</v>
      </c>
      <c r="BI427" s="21">
        <f t="shared" si="135"/>
        <v>30146560</v>
      </c>
      <c r="BJ427" s="21">
        <f t="shared" si="135"/>
        <v>60293120</v>
      </c>
      <c r="BK427" s="21">
        <f t="shared" si="135"/>
        <v>120586240</v>
      </c>
      <c r="BL427" s="21">
        <f t="shared" si="135"/>
        <v>152060130</v>
      </c>
      <c r="BM427" s="72">
        <f t="shared" si="135"/>
        <v>152060130</v>
      </c>
      <c r="BN427" s="45"/>
    </row>
    <row r="428" spans="1:66" x14ac:dyDescent="0.25">
      <c r="A428" s="48"/>
      <c r="B428" s="16"/>
      <c r="C428" s="16"/>
      <c r="D428" s="25"/>
      <c r="E428" s="46">
        <v>0.06</v>
      </c>
      <c r="F428" s="16"/>
      <c r="G428" s="16"/>
      <c r="H428" s="16"/>
      <c r="I428" s="16"/>
      <c r="J428" s="16"/>
      <c r="K428" s="16"/>
      <c r="L428" s="16"/>
      <c r="M428" s="16"/>
      <c r="N428" s="16"/>
      <c r="O428" s="16"/>
      <c r="P428" s="16"/>
      <c r="Q428" s="16"/>
      <c r="R428" s="29">
        <f t="shared" ref="R428:AR428" si="136">R427*$E$428</f>
        <v>0.86249999999999993</v>
      </c>
      <c r="S428" s="30">
        <f t="shared" si="136"/>
        <v>1.7249999999999999</v>
      </c>
      <c r="T428" s="30">
        <f t="shared" si="136"/>
        <v>3.4499999999999997</v>
      </c>
      <c r="U428" s="30">
        <f t="shared" si="136"/>
        <v>6.8999999999999995</v>
      </c>
      <c r="V428" s="30">
        <f t="shared" si="136"/>
        <v>13.799999999999999</v>
      </c>
      <c r="W428" s="30">
        <f t="shared" si="136"/>
        <v>27.599999999999998</v>
      </c>
      <c r="X428" s="30">
        <f t="shared" si="136"/>
        <v>55.199999999999996</v>
      </c>
      <c r="Y428" s="30">
        <f t="shared" si="136"/>
        <v>110.39999999999999</v>
      </c>
      <c r="Z428" s="30">
        <f t="shared" si="136"/>
        <v>220.79999999999998</v>
      </c>
      <c r="AA428" s="30">
        <f t="shared" si="136"/>
        <v>441.59999999999997</v>
      </c>
      <c r="AB428" s="30">
        <f t="shared" si="136"/>
        <v>883.19999999999993</v>
      </c>
      <c r="AC428" s="30">
        <f t="shared" si="136"/>
        <v>1766.3999999999999</v>
      </c>
      <c r="AD428" s="30">
        <f t="shared" si="136"/>
        <v>3532.7999999999997</v>
      </c>
      <c r="AE428" s="30">
        <f t="shared" si="136"/>
        <v>7065.5999999999995</v>
      </c>
      <c r="AF428" s="30">
        <f t="shared" si="136"/>
        <v>14131.199999999999</v>
      </c>
      <c r="AG428" s="30">
        <f t="shared" ref="AG428:AI428" si="137">AG427*$E$428</f>
        <v>17664</v>
      </c>
      <c r="AH428" s="30">
        <f t="shared" si="137"/>
        <v>21196.799999999999</v>
      </c>
      <c r="AI428" s="30">
        <f t="shared" si="137"/>
        <v>24729.599999999999</v>
      </c>
      <c r="AJ428" s="30">
        <f t="shared" si="136"/>
        <v>28262.399999999998</v>
      </c>
      <c r="AK428" s="30">
        <f t="shared" ref="AK428:AM428" si="138">AK427*$E$428</f>
        <v>36175.872000000003</v>
      </c>
      <c r="AL428" s="30">
        <f t="shared" si="138"/>
        <v>42393.599999999999</v>
      </c>
      <c r="AM428" s="30">
        <f t="shared" si="138"/>
        <v>49459.199999999997</v>
      </c>
      <c r="AN428" s="30">
        <f t="shared" si="136"/>
        <v>56524.799999999996</v>
      </c>
      <c r="AO428" s="30">
        <f t="shared" si="136"/>
        <v>67829.759999999995</v>
      </c>
      <c r="AP428" s="30">
        <f t="shared" si="136"/>
        <v>79134.720000000001</v>
      </c>
      <c r="AQ428" s="30">
        <f t="shared" si="136"/>
        <v>90439.679999999993</v>
      </c>
      <c r="AR428" s="30">
        <f t="shared" si="136"/>
        <v>101744.64</v>
      </c>
      <c r="AS428" s="30">
        <f>AS427*$E$428</f>
        <v>113049.59999999999</v>
      </c>
      <c r="AT428" s="30">
        <f t="shared" ref="AT428:AW428" si="139">AT427*$E$428</f>
        <v>135659.51999999999</v>
      </c>
      <c r="AU428" s="30">
        <f t="shared" si="139"/>
        <v>158269.44</v>
      </c>
      <c r="AV428" s="30">
        <f t="shared" si="139"/>
        <v>180879.35999999999</v>
      </c>
      <c r="AW428" s="30">
        <f t="shared" si="139"/>
        <v>203489.28</v>
      </c>
      <c r="AX428" s="30">
        <f>AX427*$E$428</f>
        <v>226099.19999999998</v>
      </c>
      <c r="AY428" s="30">
        <f t="shared" ref="AY428:BB428" si="140">AY427*$E$428</f>
        <v>271319.03999999998</v>
      </c>
      <c r="AZ428" s="30">
        <f t="shared" si="140"/>
        <v>316538.88</v>
      </c>
      <c r="BA428" s="30">
        <f t="shared" si="140"/>
        <v>361758.71999999997</v>
      </c>
      <c r="BB428" s="30">
        <f t="shared" si="140"/>
        <v>406978.56</v>
      </c>
      <c r="BC428" s="30">
        <f>BC427*$E$428</f>
        <v>452198.39999999997</v>
      </c>
      <c r="BD428" s="30">
        <f t="shared" ref="BD428:BG428" si="141">BD427*$E$428</f>
        <v>542638.07999999996</v>
      </c>
      <c r="BE428" s="30">
        <f t="shared" si="141"/>
        <v>633077.76000000001</v>
      </c>
      <c r="BF428" s="30">
        <f t="shared" si="141"/>
        <v>723517.43999999994</v>
      </c>
      <c r="BG428" s="30">
        <f t="shared" si="141"/>
        <v>813957.12</v>
      </c>
      <c r="BH428" s="29">
        <f t="shared" ref="BH428:BM428" si="142">BH427*$E$428</f>
        <v>904396.79999999993</v>
      </c>
      <c r="BI428" s="30">
        <f t="shared" si="142"/>
        <v>1808793.5999999999</v>
      </c>
      <c r="BJ428" s="30">
        <f t="shared" si="142"/>
        <v>3617587.1999999997</v>
      </c>
      <c r="BK428" s="30">
        <f t="shared" si="142"/>
        <v>7235174.3999999994</v>
      </c>
      <c r="BL428" s="30">
        <f t="shared" si="142"/>
        <v>9123607.7999999989</v>
      </c>
      <c r="BM428" s="71">
        <f t="shared" si="142"/>
        <v>9123607.7999999989</v>
      </c>
      <c r="BN428" s="45"/>
    </row>
    <row r="429" spans="1:66" x14ac:dyDescent="0.25">
      <c r="A429" s="48" t="s">
        <v>8</v>
      </c>
      <c r="B429" s="24">
        <v>4.3899999999999998E-3</v>
      </c>
      <c r="C429" s="10">
        <f>$B$348 * B429</f>
        <v>1451182.5449999999</v>
      </c>
      <c r="D429" s="47"/>
      <c r="E429" s="16"/>
      <c r="F429" s="16"/>
      <c r="G429" s="16"/>
      <c r="H429" s="16"/>
      <c r="I429" s="16"/>
      <c r="J429" s="16"/>
      <c r="K429" s="16"/>
      <c r="L429" s="16"/>
      <c r="M429" s="16"/>
      <c r="N429" s="16"/>
      <c r="O429" s="16"/>
      <c r="P429" s="16"/>
      <c r="Q429" s="16"/>
      <c r="R429" s="20">
        <f t="shared" ref="R429:BM429" si="143">R$367*$B$429</f>
        <v>0.13718749999999999</v>
      </c>
      <c r="S429" s="21">
        <f t="shared" si="143"/>
        <v>0.27437499999999998</v>
      </c>
      <c r="T429" s="21">
        <f t="shared" si="143"/>
        <v>0.54874999999999996</v>
      </c>
      <c r="U429" s="21">
        <f t="shared" si="143"/>
        <v>1.0974999999999999</v>
      </c>
      <c r="V429" s="21">
        <f t="shared" si="143"/>
        <v>2.1949999999999998</v>
      </c>
      <c r="W429" s="21">
        <f t="shared" si="143"/>
        <v>4.3899999999999997</v>
      </c>
      <c r="X429" s="21">
        <f t="shared" si="143"/>
        <v>8.7799999999999994</v>
      </c>
      <c r="Y429" s="21">
        <f t="shared" si="143"/>
        <v>17.559999999999999</v>
      </c>
      <c r="Z429" s="21">
        <f t="shared" si="143"/>
        <v>35.119999999999997</v>
      </c>
      <c r="AA429" s="21">
        <f t="shared" si="143"/>
        <v>70.239999999999995</v>
      </c>
      <c r="AB429" s="21">
        <f t="shared" si="143"/>
        <v>140.47999999999999</v>
      </c>
      <c r="AC429" s="21">
        <f t="shared" si="143"/>
        <v>280.95999999999998</v>
      </c>
      <c r="AD429" s="21">
        <f t="shared" si="143"/>
        <v>561.91999999999996</v>
      </c>
      <c r="AE429" s="21">
        <f t="shared" si="143"/>
        <v>1123.8399999999999</v>
      </c>
      <c r="AF429" s="21">
        <f t="shared" si="143"/>
        <v>2247.6799999999998</v>
      </c>
      <c r="AG429" s="21">
        <f t="shared" si="143"/>
        <v>2809.6</v>
      </c>
      <c r="AH429" s="21">
        <f t="shared" si="143"/>
        <v>3371.52</v>
      </c>
      <c r="AI429" s="21">
        <f t="shared" si="143"/>
        <v>3933.4399999999996</v>
      </c>
      <c r="AJ429" s="21">
        <f t="shared" si="143"/>
        <v>4495.3599999999997</v>
      </c>
      <c r="AK429" s="21">
        <f t="shared" si="143"/>
        <v>5754.0607999999993</v>
      </c>
      <c r="AL429" s="21">
        <f t="shared" si="143"/>
        <v>6743.04</v>
      </c>
      <c r="AM429" s="21">
        <f t="shared" si="143"/>
        <v>7866.8799999999992</v>
      </c>
      <c r="AN429" s="21">
        <f t="shared" si="143"/>
        <v>8990.7199999999993</v>
      </c>
      <c r="AO429" s="21">
        <f t="shared" si="143"/>
        <v>10788.864</v>
      </c>
      <c r="AP429" s="21">
        <f t="shared" si="143"/>
        <v>12587.008</v>
      </c>
      <c r="AQ429" s="21">
        <f t="shared" si="143"/>
        <v>14385.152</v>
      </c>
      <c r="AR429" s="21">
        <f t="shared" si="143"/>
        <v>16183.295999999998</v>
      </c>
      <c r="AS429" s="21">
        <f t="shared" si="143"/>
        <v>17981.439999999999</v>
      </c>
      <c r="AT429" s="21">
        <f t="shared" si="143"/>
        <v>21577.727999999999</v>
      </c>
      <c r="AU429" s="21">
        <f t="shared" si="143"/>
        <v>25174.016</v>
      </c>
      <c r="AV429" s="21">
        <f t="shared" si="143"/>
        <v>28770.304</v>
      </c>
      <c r="AW429" s="21">
        <f t="shared" si="143"/>
        <v>32366.591999999997</v>
      </c>
      <c r="AX429" s="21">
        <f t="shared" si="143"/>
        <v>35962.879999999997</v>
      </c>
      <c r="AY429" s="21">
        <f t="shared" si="143"/>
        <v>43155.455999999998</v>
      </c>
      <c r="AZ429" s="21">
        <f t="shared" si="143"/>
        <v>50348.031999999999</v>
      </c>
      <c r="BA429" s="21">
        <f t="shared" si="143"/>
        <v>57540.608</v>
      </c>
      <c r="BB429" s="21">
        <f t="shared" si="143"/>
        <v>64733.183999999994</v>
      </c>
      <c r="BC429" s="21">
        <f t="shared" si="143"/>
        <v>71925.759999999995</v>
      </c>
      <c r="BD429" s="21">
        <f t="shared" si="143"/>
        <v>86310.911999999997</v>
      </c>
      <c r="BE429" s="21">
        <f t="shared" si="143"/>
        <v>100696.064</v>
      </c>
      <c r="BF429" s="21">
        <f t="shared" si="143"/>
        <v>115081.216</v>
      </c>
      <c r="BG429" s="21">
        <f t="shared" si="143"/>
        <v>129466.36799999999</v>
      </c>
      <c r="BH429" s="20">
        <f t="shared" si="143"/>
        <v>143851.51999999999</v>
      </c>
      <c r="BI429" s="21">
        <f t="shared" si="143"/>
        <v>287703.03999999998</v>
      </c>
      <c r="BJ429" s="21">
        <f t="shared" si="143"/>
        <v>575406.07999999996</v>
      </c>
      <c r="BK429" s="21">
        <f t="shared" si="143"/>
        <v>1150812.1599999999</v>
      </c>
      <c r="BL429" s="21">
        <f t="shared" si="143"/>
        <v>1451182.5449999999</v>
      </c>
      <c r="BM429" s="72">
        <f t="shared" si="143"/>
        <v>1451182.5449999999</v>
      </c>
      <c r="BN429" s="45"/>
    </row>
    <row r="430" spans="1:66" x14ac:dyDescent="0.25">
      <c r="A430" s="48"/>
      <c r="B430" s="16"/>
      <c r="C430" s="16"/>
      <c r="D430" s="25"/>
      <c r="E430" s="46">
        <v>5.6000000000000001E-2</v>
      </c>
      <c r="F430" s="16"/>
      <c r="G430" s="16"/>
      <c r="H430" s="16"/>
      <c r="I430" s="16"/>
      <c r="J430" s="16"/>
      <c r="K430" s="16"/>
      <c r="L430" s="16"/>
      <c r="M430" s="16"/>
      <c r="N430" s="16"/>
      <c r="O430" s="16"/>
      <c r="P430" s="16"/>
      <c r="Q430" s="16"/>
      <c r="R430" s="29">
        <f t="shared" ref="R430:AR430" si="144">R429*$E$430</f>
        <v>7.6824999999999992E-3</v>
      </c>
      <c r="S430" s="30">
        <f t="shared" si="144"/>
        <v>1.5364999999999998E-2</v>
      </c>
      <c r="T430" s="30">
        <f t="shared" si="144"/>
        <v>3.0729999999999997E-2</v>
      </c>
      <c r="U430" s="30">
        <f t="shared" si="144"/>
        <v>6.1459999999999994E-2</v>
      </c>
      <c r="V430" s="30">
        <f t="shared" si="144"/>
        <v>0.12291999999999999</v>
      </c>
      <c r="W430" s="30">
        <f t="shared" si="144"/>
        <v>0.24583999999999998</v>
      </c>
      <c r="X430" s="30">
        <f t="shared" si="144"/>
        <v>0.49167999999999995</v>
      </c>
      <c r="Y430" s="30">
        <f t="shared" si="144"/>
        <v>0.9833599999999999</v>
      </c>
      <c r="Z430" s="30">
        <f t="shared" si="144"/>
        <v>1.9667199999999998</v>
      </c>
      <c r="AA430" s="30">
        <f t="shared" si="144"/>
        <v>3.9334399999999996</v>
      </c>
      <c r="AB430" s="30">
        <f t="shared" si="144"/>
        <v>7.8668799999999992</v>
      </c>
      <c r="AC430" s="30">
        <f t="shared" si="144"/>
        <v>15.733759999999998</v>
      </c>
      <c r="AD430" s="30">
        <f t="shared" si="144"/>
        <v>31.467519999999997</v>
      </c>
      <c r="AE430" s="30">
        <f t="shared" si="144"/>
        <v>62.935039999999994</v>
      </c>
      <c r="AF430" s="30">
        <f t="shared" si="144"/>
        <v>125.87007999999999</v>
      </c>
      <c r="AG430" s="30">
        <f t="shared" ref="AG430:AI430" si="145">AG429*$E$430</f>
        <v>157.33760000000001</v>
      </c>
      <c r="AH430" s="30">
        <f t="shared" si="145"/>
        <v>188.80512000000002</v>
      </c>
      <c r="AI430" s="30">
        <f t="shared" si="145"/>
        <v>220.27264</v>
      </c>
      <c r="AJ430" s="30">
        <f t="shared" si="144"/>
        <v>251.74015999999997</v>
      </c>
      <c r="AK430" s="30">
        <f t="shared" ref="AK430:AM430" si="146">AK429*$E$430</f>
        <v>322.22740479999999</v>
      </c>
      <c r="AL430" s="30">
        <f t="shared" si="146"/>
        <v>377.61024000000003</v>
      </c>
      <c r="AM430" s="30">
        <f t="shared" si="146"/>
        <v>440.54527999999999</v>
      </c>
      <c r="AN430" s="30">
        <f t="shared" si="144"/>
        <v>503.48031999999995</v>
      </c>
      <c r="AO430" s="30">
        <f t="shared" si="144"/>
        <v>604.17638399999998</v>
      </c>
      <c r="AP430" s="30">
        <f t="shared" si="144"/>
        <v>704.87244799999996</v>
      </c>
      <c r="AQ430" s="30">
        <f t="shared" si="144"/>
        <v>805.56851200000006</v>
      </c>
      <c r="AR430" s="30">
        <f t="shared" si="144"/>
        <v>906.26457599999992</v>
      </c>
      <c r="AS430" s="30">
        <f>AS429*$E$430</f>
        <v>1006.9606399999999</v>
      </c>
      <c r="AT430" s="30">
        <f t="shared" ref="AT430:AW430" si="147">AT429*$E$430</f>
        <v>1208.352768</v>
      </c>
      <c r="AU430" s="30">
        <f t="shared" si="147"/>
        <v>1409.7448959999999</v>
      </c>
      <c r="AV430" s="30">
        <f t="shared" si="147"/>
        <v>1611.1370240000001</v>
      </c>
      <c r="AW430" s="30">
        <f t="shared" si="147"/>
        <v>1812.5291519999998</v>
      </c>
      <c r="AX430" s="30">
        <f>AX429*$E$430</f>
        <v>2013.9212799999998</v>
      </c>
      <c r="AY430" s="30">
        <f t="shared" ref="AY430:BB430" si="148">AY429*$E$430</f>
        <v>2416.7055359999999</v>
      </c>
      <c r="AZ430" s="30">
        <f t="shared" si="148"/>
        <v>2819.4897919999999</v>
      </c>
      <c r="BA430" s="30">
        <f t="shared" si="148"/>
        <v>3222.2740480000002</v>
      </c>
      <c r="BB430" s="30">
        <f t="shared" si="148"/>
        <v>3625.0583039999997</v>
      </c>
      <c r="BC430" s="30">
        <f>BC429*$E$430</f>
        <v>4027.8425599999996</v>
      </c>
      <c r="BD430" s="30">
        <f t="shared" ref="BD430:BG430" si="149">BD429*$E$430</f>
        <v>4833.4110719999999</v>
      </c>
      <c r="BE430" s="30">
        <f t="shared" si="149"/>
        <v>5638.9795839999997</v>
      </c>
      <c r="BF430" s="30">
        <f t="shared" si="149"/>
        <v>6444.5480960000004</v>
      </c>
      <c r="BG430" s="30">
        <f t="shared" si="149"/>
        <v>7250.1166079999994</v>
      </c>
      <c r="BH430" s="29">
        <f t="shared" ref="BH430:BM430" si="150">BH429*$E$430</f>
        <v>8055.6851199999992</v>
      </c>
      <c r="BI430" s="30">
        <f t="shared" si="150"/>
        <v>16111.370239999998</v>
      </c>
      <c r="BJ430" s="30">
        <f t="shared" si="150"/>
        <v>32222.740479999997</v>
      </c>
      <c r="BK430" s="30">
        <f t="shared" si="150"/>
        <v>64445.480959999994</v>
      </c>
      <c r="BL430" s="30">
        <f t="shared" si="150"/>
        <v>81266.222519999996</v>
      </c>
      <c r="BM430" s="71">
        <f t="shared" si="150"/>
        <v>81266.222519999996</v>
      </c>
      <c r="BN430" s="45"/>
    </row>
    <row r="431" spans="1:66" x14ac:dyDescent="0.25">
      <c r="A431" s="48" t="s">
        <v>9</v>
      </c>
      <c r="B431" s="24">
        <v>0.155</v>
      </c>
      <c r="C431" s="10">
        <f>$B$348 * B431</f>
        <v>51237652.5</v>
      </c>
      <c r="D431" s="47"/>
      <c r="E431" s="16"/>
      <c r="F431" s="16"/>
      <c r="G431" s="16"/>
      <c r="H431" s="16"/>
      <c r="I431" s="16"/>
      <c r="J431" s="16"/>
      <c r="K431" s="16"/>
      <c r="L431" s="16"/>
      <c r="M431" s="16"/>
      <c r="N431" s="16"/>
      <c r="O431" s="16"/>
      <c r="P431" s="16"/>
      <c r="Q431" s="16"/>
      <c r="R431" s="20">
        <f t="shared" ref="R431:BM431" si="151">R$367*$B$431</f>
        <v>4.84375</v>
      </c>
      <c r="S431" s="21">
        <f t="shared" si="151"/>
        <v>9.6875</v>
      </c>
      <c r="T431" s="21">
        <f t="shared" si="151"/>
        <v>19.375</v>
      </c>
      <c r="U431" s="21">
        <f t="shared" si="151"/>
        <v>38.75</v>
      </c>
      <c r="V431" s="21">
        <f t="shared" si="151"/>
        <v>77.5</v>
      </c>
      <c r="W431" s="21">
        <f t="shared" si="151"/>
        <v>155</v>
      </c>
      <c r="X431" s="21">
        <f t="shared" si="151"/>
        <v>310</v>
      </c>
      <c r="Y431" s="21">
        <f t="shared" si="151"/>
        <v>620</v>
      </c>
      <c r="Z431" s="21">
        <f t="shared" si="151"/>
        <v>1240</v>
      </c>
      <c r="AA431" s="21">
        <f t="shared" si="151"/>
        <v>2480</v>
      </c>
      <c r="AB431" s="21">
        <f t="shared" si="151"/>
        <v>4960</v>
      </c>
      <c r="AC431" s="21">
        <f t="shared" si="151"/>
        <v>9920</v>
      </c>
      <c r="AD431" s="21">
        <f t="shared" si="151"/>
        <v>19840</v>
      </c>
      <c r="AE431" s="21">
        <f t="shared" si="151"/>
        <v>39680</v>
      </c>
      <c r="AF431" s="21">
        <f t="shared" si="151"/>
        <v>79360</v>
      </c>
      <c r="AG431" s="21">
        <f t="shared" si="151"/>
        <v>99200</v>
      </c>
      <c r="AH431" s="21">
        <f t="shared" si="151"/>
        <v>119040</v>
      </c>
      <c r="AI431" s="21">
        <f t="shared" si="151"/>
        <v>138880</v>
      </c>
      <c r="AJ431" s="21">
        <f t="shared" si="151"/>
        <v>158720</v>
      </c>
      <c r="AK431" s="21">
        <f t="shared" si="151"/>
        <v>203161.60000000001</v>
      </c>
      <c r="AL431" s="21">
        <f t="shared" si="151"/>
        <v>238080</v>
      </c>
      <c r="AM431" s="21">
        <f t="shared" si="151"/>
        <v>277760</v>
      </c>
      <c r="AN431" s="21">
        <f t="shared" si="151"/>
        <v>317440</v>
      </c>
      <c r="AO431" s="21">
        <f t="shared" si="151"/>
        <v>380928</v>
      </c>
      <c r="AP431" s="21">
        <f t="shared" si="151"/>
        <v>444416</v>
      </c>
      <c r="AQ431" s="21">
        <f t="shared" si="151"/>
        <v>507904</v>
      </c>
      <c r="AR431" s="21">
        <f t="shared" si="151"/>
        <v>571392</v>
      </c>
      <c r="AS431" s="21">
        <f t="shared" si="151"/>
        <v>634880</v>
      </c>
      <c r="AT431" s="21">
        <f t="shared" si="151"/>
        <v>761856</v>
      </c>
      <c r="AU431" s="21">
        <f t="shared" si="151"/>
        <v>888832</v>
      </c>
      <c r="AV431" s="21">
        <f t="shared" si="151"/>
        <v>1015808</v>
      </c>
      <c r="AW431" s="21">
        <f t="shared" si="151"/>
        <v>1142784</v>
      </c>
      <c r="AX431" s="21">
        <f t="shared" si="151"/>
        <v>1269760</v>
      </c>
      <c r="AY431" s="21">
        <f t="shared" si="151"/>
        <v>1523712</v>
      </c>
      <c r="AZ431" s="21">
        <f t="shared" si="151"/>
        <v>1777664</v>
      </c>
      <c r="BA431" s="21">
        <f t="shared" si="151"/>
        <v>2031616</v>
      </c>
      <c r="BB431" s="21">
        <f t="shared" si="151"/>
        <v>2285568</v>
      </c>
      <c r="BC431" s="21">
        <f t="shared" si="151"/>
        <v>2539520</v>
      </c>
      <c r="BD431" s="21">
        <f t="shared" si="151"/>
        <v>3047424</v>
      </c>
      <c r="BE431" s="21">
        <f t="shared" si="151"/>
        <v>3555328</v>
      </c>
      <c r="BF431" s="21">
        <f t="shared" si="151"/>
        <v>4063232</v>
      </c>
      <c r="BG431" s="21">
        <f t="shared" si="151"/>
        <v>4571136</v>
      </c>
      <c r="BH431" s="20">
        <f t="shared" si="151"/>
        <v>5079040</v>
      </c>
      <c r="BI431" s="21">
        <f t="shared" si="151"/>
        <v>10158080</v>
      </c>
      <c r="BJ431" s="21">
        <f t="shared" si="151"/>
        <v>20316160</v>
      </c>
      <c r="BK431" s="21">
        <f t="shared" si="151"/>
        <v>40632320</v>
      </c>
      <c r="BL431" s="21">
        <f t="shared" si="151"/>
        <v>51237652.5</v>
      </c>
      <c r="BM431" s="72">
        <f t="shared" si="151"/>
        <v>51237652.5</v>
      </c>
      <c r="BN431" s="45"/>
    </row>
    <row r="432" spans="1:66" x14ac:dyDescent="0.25">
      <c r="A432" s="37"/>
      <c r="B432" s="39"/>
      <c r="C432" s="39"/>
      <c r="D432" s="55"/>
      <c r="E432" s="56" t="s">
        <v>10</v>
      </c>
      <c r="F432" s="39"/>
      <c r="G432" s="39"/>
      <c r="H432" s="39"/>
      <c r="I432" s="39"/>
      <c r="J432" s="39"/>
      <c r="K432" s="39"/>
      <c r="L432" s="39"/>
      <c r="M432" s="39"/>
      <c r="N432" s="39"/>
      <c r="O432" s="39"/>
      <c r="P432" s="39"/>
      <c r="Q432" s="39"/>
      <c r="R432" s="31" t="s">
        <v>10</v>
      </c>
      <c r="S432" s="32" t="s">
        <v>10</v>
      </c>
      <c r="T432" s="32" t="s">
        <v>10</v>
      </c>
      <c r="U432" s="32" t="s">
        <v>10</v>
      </c>
      <c r="V432" s="32" t="s">
        <v>10</v>
      </c>
      <c r="W432" s="32" t="s">
        <v>10</v>
      </c>
      <c r="X432" s="32" t="s">
        <v>10</v>
      </c>
      <c r="Y432" s="32" t="s">
        <v>10</v>
      </c>
      <c r="Z432" s="32" t="s">
        <v>10</v>
      </c>
      <c r="AA432" s="32" t="s">
        <v>10</v>
      </c>
      <c r="AB432" s="32" t="s">
        <v>10</v>
      </c>
      <c r="AC432" s="32" t="s">
        <v>10</v>
      </c>
      <c r="AD432" s="32" t="s">
        <v>10</v>
      </c>
      <c r="AE432" s="32" t="s">
        <v>10</v>
      </c>
      <c r="AF432" s="32" t="s">
        <v>10</v>
      </c>
      <c r="AG432" s="32" t="s">
        <v>10</v>
      </c>
      <c r="AH432" s="32" t="s">
        <v>10</v>
      </c>
      <c r="AI432" s="32" t="s">
        <v>10</v>
      </c>
      <c r="AJ432" s="32" t="s">
        <v>10</v>
      </c>
      <c r="AK432" s="32" t="s">
        <v>10</v>
      </c>
      <c r="AL432" s="32" t="s">
        <v>10</v>
      </c>
      <c r="AM432" s="32" t="s">
        <v>10</v>
      </c>
      <c r="AN432" s="32" t="s">
        <v>10</v>
      </c>
      <c r="AO432" s="32" t="s">
        <v>10</v>
      </c>
      <c r="AP432" s="32" t="s">
        <v>10</v>
      </c>
      <c r="AQ432" s="32" t="s">
        <v>10</v>
      </c>
      <c r="AR432" s="32" t="s">
        <v>10</v>
      </c>
      <c r="AS432" s="32" t="s">
        <v>10</v>
      </c>
      <c r="AT432" s="32" t="s">
        <v>10</v>
      </c>
      <c r="AU432" s="32" t="s">
        <v>10</v>
      </c>
      <c r="AV432" s="32" t="s">
        <v>10</v>
      </c>
      <c r="AW432" s="32" t="s">
        <v>10</v>
      </c>
      <c r="AX432" s="32" t="s">
        <v>10</v>
      </c>
      <c r="AY432" s="32" t="s">
        <v>10</v>
      </c>
      <c r="AZ432" s="32" t="s">
        <v>10</v>
      </c>
      <c r="BA432" s="32" t="s">
        <v>10</v>
      </c>
      <c r="BB432" s="32" t="s">
        <v>10</v>
      </c>
      <c r="BC432" s="32" t="s">
        <v>10</v>
      </c>
      <c r="BD432" s="32" t="s">
        <v>10</v>
      </c>
      <c r="BE432" s="32" t="s">
        <v>10</v>
      </c>
      <c r="BF432" s="32" t="s">
        <v>10</v>
      </c>
      <c r="BG432" s="32" t="s">
        <v>10</v>
      </c>
      <c r="BH432" s="29" t="s">
        <v>10</v>
      </c>
      <c r="BI432" s="30" t="s">
        <v>10</v>
      </c>
      <c r="BJ432" s="30" t="s">
        <v>10</v>
      </c>
      <c r="BK432" s="30" t="s">
        <v>10</v>
      </c>
      <c r="BL432" s="30" t="s">
        <v>10</v>
      </c>
      <c r="BM432" s="71" t="s">
        <v>10</v>
      </c>
      <c r="BN432" s="45"/>
    </row>
    <row r="433" spans="1:66" x14ac:dyDescent="0.25">
      <c r="A433" s="41"/>
      <c r="B433" s="16"/>
      <c r="C433" s="16"/>
      <c r="D433" s="47"/>
      <c r="E433" s="16"/>
      <c r="F433" s="16"/>
      <c r="G433" s="16"/>
      <c r="H433" s="16"/>
      <c r="I433" s="16"/>
      <c r="J433" s="16"/>
      <c r="K433" s="16"/>
      <c r="L433" s="16"/>
      <c r="M433" s="16"/>
      <c r="N433" s="16"/>
      <c r="O433" s="16"/>
      <c r="P433" s="16"/>
      <c r="Q433" s="16"/>
      <c r="R433" s="20">
        <f>SUM(R421,R423,R425,R427,R429,R431)</f>
        <v>38.105937500000003</v>
      </c>
      <c r="S433" s="21">
        <f t="shared" ref="S433:AR433" si="152">SUM(S421,S423,S425,S427,S429,S431)</f>
        <v>76.211875000000006</v>
      </c>
      <c r="T433" s="21">
        <f t="shared" si="152"/>
        <v>152.42375000000001</v>
      </c>
      <c r="U433" s="21">
        <f t="shared" si="152"/>
        <v>304.84750000000003</v>
      </c>
      <c r="V433" s="21">
        <f t="shared" si="152"/>
        <v>609.69500000000005</v>
      </c>
      <c r="W433" s="21">
        <f t="shared" si="152"/>
        <v>1219.3900000000001</v>
      </c>
      <c r="X433" s="21">
        <f>SUM(X421,X423,X425,X427,X429,X431)</f>
        <v>2438.7800000000002</v>
      </c>
      <c r="Y433" s="21">
        <f t="shared" si="152"/>
        <v>4877.5600000000004</v>
      </c>
      <c r="Z433" s="21">
        <f t="shared" si="152"/>
        <v>9755.1200000000008</v>
      </c>
      <c r="AA433" s="21">
        <f t="shared" si="152"/>
        <v>19510.240000000002</v>
      </c>
      <c r="AB433" s="21">
        <f t="shared" si="152"/>
        <v>39020.480000000003</v>
      </c>
      <c r="AC433" s="21">
        <f t="shared" si="152"/>
        <v>78040.960000000006</v>
      </c>
      <c r="AD433" s="21">
        <f t="shared" si="152"/>
        <v>156081.92000000001</v>
      </c>
      <c r="AE433" s="21">
        <f t="shared" si="152"/>
        <v>312163.84000000003</v>
      </c>
      <c r="AF433" s="21">
        <f t="shared" si="152"/>
        <v>624327.68000000005</v>
      </c>
      <c r="AG433" s="21">
        <f t="shared" ref="AG433:AI433" si="153">SUM(AG421,AG423,AG425,AG427,AG429,AG431)</f>
        <v>780409.6</v>
      </c>
      <c r="AH433" s="21">
        <f t="shared" si="153"/>
        <v>936491.52000000002</v>
      </c>
      <c r="AI433" s="21">
        <f t="shared" si="153"/>
        <v>1092573.44</v>
      </c>
      <c r="AJ433" s="21">
        <f t="shared" si="152"/>
        <v>1248655.3600000001</v>
      </c>
      <c r="AK433" s="21">
        <f t="shared" ref="AK433:AM433" si="154">SUM(AK421,AK423,AK425,AK427,AK429,AK431)</f>
        <v>1598278.8608000004</v>
      </c>
      <c r="AL433" s="21">
        <f t="shared" si="154"/>
        <v>1872983.04</v>
      </c>
      <c r="AM433" s="21">
        <f t="shared" si="154"/>
        <v>2185146.88</v>
      </c>
      <c r="AN433" s="21">
        <f t="shared" si="152"/>
        <v>2497310.7200000002</v>
      </c>
      <c r="AO433" s="21">
        <f t="shared" si="152"/>
        <v>2996772.8640000001</v>
      </c>
      <c r="AP433" s="21">
        <f t="shared" si="152"/>
        <v>3496235.0079999999</v>
      </c>
      <c r="AQ433" s="21">
        <f t="shared" si="152"/>
        <v>3995697.1519999998</v>
      </c>
      <c r="AR433" s="21">
        <f t="shared" si="152"/>
        <v>4495159.2960000001</v>
      </c>
      <c r="AS433" s="21">
        <f t="shared" ref="AS433:BC434" si="155">SUM(AS421,AS423,AS425,AS427,AS429,AS431)</f>
        <v>4994621.4400000004</v>
      </c>
      <c r="AT433" s="21">
        <f t="shared" ref="AT433:AW433" si="156">SUM(AT421,AT423,AT425,AT427,AT429,AT431)</f>
        <v>5993545.7280000001</v>
      </c>
      <c r="AU433" s="21">
        <f t="shared" si="156"/>
        <v>6992470.0159999998</v>
      </c>
      <c r="AV433" s="21">
        <f t="shared" si="156"/>
        <v>7991394.3039999995</v>
      </c>
      <c r="AW433" s="21">
        <f t="shared" si="156"/>
        <v>8990318.5920000002</v>
      </c>
      <c r="AX433" s="21">
        <f t="shared" si="155"/>
        <v>9989242.8800000008</v>
      </c>
      <c r="AY433" s="21">
        <f t="shared" ref="AY433:BB433" si="157">SUM(AY421,AY423,AY425,AY427,AY429,AY431)</f>
        <v>11987091.456</v>
      </c>
      <c r="AZ433" s="21">
        <f t="shared" si="157"/>
        <v>13984940.032</v>
      </c>
      <c r="BA433" s="21">
        <f t="shared" si="157"/>
        <v>15982788.607999999</v>
      </c>
      <c r="BB433" s="21">
        <f t="shared" si="157"/>
        <v>17980637.184</v>
      </c>
      <c r="BC433" s="21">
        <f t="shared" si="155"/>
        <v>19978485.760000002</v>
      </c>
      <c r="BD433" s="21">
        <f t="shared" ref="BD433:BG433" si="158">SUM(BD421,BD423,BD425,BD427,BD429,BD431)</f>
        <v>23974182.912</v>
      </c>
      <c r="BE433" s="21">
        <f t="shared" si="158"/>
        <v>27969880.063999999</v>
      </c>
      <c r="BF433" s="21">
        <f t="shared" si="158"/>
        <v>31965577.215999998</v>
      </c>
      <c r="BG433" s="21">
        <f t="shared" si="158"/>
        <v>35961274.368000001</v>
      </c>
      <c r="BH433" s="18">
        <f t="shared" ref="BH433:BM433" si="159">SUM(BH421,BH423,BH425,BH427,BH429,BH431)</f>
        <v>39956971.520000003</v>
      </c>
      <c r="BI433" s="19">
        <f t="shared" si="159"/>
        <v>79913943.040000007</v>
      </c>
      <c r="BJ433" s="19">
        <f t="shared" si="159"/>
        <v>159827886.08000001</v>
      </c>
      <c r="BK433" s="19">
        <f t="shared" si="159"/>
        <v>319655772.16000003</v>
      </c>
      <c r="BL433" s="19">
        <f t="shared" si="159"/>
        <v>403088265.04500002</v>
      </c>
      <c r="BM433" s="60">
        <f t="shared" si="159"/>
        <v>403088265.04500002</v>
      </c>
      <c r="BN433" s="45"/>
    </row>
    <row r="434" spans="1:66" x14ac:dyDescent="0.25">
      <c r="A434" s="37" t="s">
        <v>40</v>
      </c>
      <c r="B434" s="39"/>
      <c r="C434" s="39"/>
      <c r="D434" s="39"/>
      <c r="E434" s="39"/>
      <c r="F434" s="39"/>
      <c r="G434" s="39"/>
      <c r="H434" s="39"/>
      <c r="I434" s="39"/>
      <c r="J434" s="39"/>
      <c r="K434" s="39"/>
      <c r="L434" s="39"/>
      <c r="M434" s="39"/>
      <c r="N434" s="39"/>
      <c r="O434" s="39"/>
      <c r="P434" s="39"/>
      <c r="Q434" s="39"/>
      <c r="R434" s="31">
        <f>SUM(R422,R424,R426,R428,R430,R432)</f>
        <v>2.5650575</v>
      </c>
      <c r="S434" s="32">
        <f t="shared" ref="S434:AR434" si="160">SUM(S422,S424,S426,S428,S430,S432)</f>
        <v>5.130115</v>
      </c>
      <c r="T434" s="32">
        <f t="shared" si="160"/>
        <v>10.26023</v>
      </c>
      <c r="U434" s="32">
        <f t="shared" si="160"/>
        <v>20.52046</v>
      </c>
      <c r="V434" s="32">
        <f t="shared" si="160"/>
        <v>41.04092</v>
      </c>
      <c r="W434" s="32">
        <f t="shared" si="160"/>
        <v>82.08184</v>
      </c>
      <c r="X434" s="32">
        <f t="shared" si="160"/>
        <v>164.16368</v>
      </c>
      <c r="Y434" s="32">
        <f t="shared" si="160"/>
        <v>328.32736</v>
      </c>
      <c r="Z434" s="32">
        <f t="shared" si="160"/>
        <v>656.65472</v>
      </c>
      <c r="AA434" s="32">
        <f t="shared" si="160"/>
        <v>1313.30944</v>
      </c>
      <c r="AB434" s="32">
        <f t="shared" si="160"/>
        <v>2626.61888</v>
      </c>
      <c r="AC434" s="32">
        <f t="shared" si="160"/>
        <v>5253.23776</v>
      </c>
      <c r="AD434" s="32">
        <f t="shared" si="160"/>
        <v>10506.47552</v>
      </c>
      <c r="AE434" s="32">
        <f t="shared" si="160"/>
        <v>21012.95104</v>
      </c>
      <c r="AF434" s="32">
        <f t="shared" si="160"/>
        <v>42025.90208</v>
      </c>
      <c r="AG434" s="32">
        <f t="shared" ref="AG434:AI434" si="161">SUM(AG422,AG424,AG426,AG428,AG430,AG432)</f>
        <v>52532.377599999993</v>
      </c>
      <c r="AH434" s="32">
        <f t="shared" si="161"/>
        <v>63038.853119999992</v>
      </c>
      <c r="AI434" s="32">
        <f t="shared" si="161"/>
        <v>73545.328639999992</v>
      </c>
      <c r="AJ434" s="32">
        <f t="shared" si="160"/>
        <v>84051.80416</v>
      </c>
      <c r="AK434" s="32">
        <f t="shared" ref="AK434:AM434" si="162">SUM(AK422,AK424,AK426,AK428,AK430,AK432)</f>
        <v>107586.30932479999</v>
      </c>
      <c r="AL434" s="32">
        <f t="shared" si="162"/>
        <v>126077.70623999998</v>
      </c>
      <c r="AM434" s="32">
        <f t="shared" si="162"/>
        <v>147090.65727999998</v>
      </c>
      <c r="AN434" s="32">
        <f t="shared" si="160"/>
        <v>168103.60832</v>
      </c>
      <c r="AO434" s="32">
        <f t="shared" si="160"/>
        <v>201724.32998400001</v>
      </c>
      <c r="AP434" s="32">
        <f t="shared" si="160"/>
        <v>235345.05164800002</v>
      </c>
      <c r="AQ434" s="32">
        <f t="shared" si="160"/>
        <v>268965.77331199998</v>
      </c>
      <c r="AR434" s="32">
        <f t="shared" si="160"/>
        <v>302586.49497599999</v>
      </c>
      <c r="AS434" s="32">
        <f t="shared" si="155"/>
        <v>336207.21664</v>
      </c>
      <c r="AT434" s="32">
        <f t="shared" ref="AT434:AW434" si="163">SUM(AT422,AT424,AT426,AT428,AT430,AT432)</f>
        <v>403448.65996800002</v>
      </c>
      <c r="AU434" s="32">
        <f t="shared" si="163"/>
        <v>470690.10329600004</v>
      </c>
      <c r="AV434" s="32">
        <f t="shared" si="163"/>
        <v>537931.54662399995</v>
      </c>
      <c r="AW434" s="32">
        <f t="shared" si="163"/>
        <v>605172.98995199997</v>
      </c>
      <c r="AX434" s="32">
        <f t="shared" si="155"/>
        <v>672414.43328</v>
      </c>
      <c r="AY434" s="32">
        <f t="shared" ref="AY434:BB434" si="164">SUM(AY422,AY424,AY426,AY428,AY430,AY432)</f>
        <v>806897.31993600004</v>
      </c>
      <c r="AZ434" s="32">
        <f t="shared" si="164"/>
        <v>941380.20659200009</v>
      </c>
      <c r="BA434" s="32">
        <f t="shared" si="164"/>
        <v>1075863.0932479999</v>
      </c>
      <c r="BB434" s="32">
        <f t="shared" si="164"/>
        <v>1210345.9799039999</v>
      </c>
      <c r="BC434" s="32">
        <f t="shared" si="155"/>
        <v>1344828.86656</v>
      </c>
      <c r="BD434" s="32">
        <f t="shared" ref="BD434:BG434" si="165">SUM(BD422,BD424,BD426,BD428,BD430,BD432)</f>
        <v>1613794.6398720001</v>
      </c>
      <c r="BE434" s="32">
        <f t="shared" si="165"/>
        <v>1882760.4131840002</v>
      </c>
      <c r="BF434" s="32">
        <f t="shared" si="165"/>
        <v>2151726.1864959998</v>
      </c>
      <c r="BG434" s="32">
        <f t="shared" si="165"/>
        <v>2420691.9598079999</v>
      </c>
      <c r="BH434" s="31">
        <f t="shared" ref="BH434:BM434" si="166">SUM(BH422,BH424,BH426,BH428,BH430,BH432)</f>
        <v>2689657.73312</v>
      </c>
      <c r="BI434" s="32">
        <f t="shared" si="166"/>
        <v>5379315.46624</v>
      </c>
      <c r="BJ434" s="32">
        <f t="shared" si="166"/>
        <v>10758630.93248</v>
      </c>
      <c r="BK434" s="32">
        <f t="shared" si="166"/>
        <v>21517261.86496</v>
      </c>
      <c r="BL434" s="32">
        <f t="shared" si="166"/>
        <v>27133424.480520003</v>
      </c>
      <c r="BM434" s="73">
        <f t="shared" si="166"/>
        <v>27133424.480520003</v>
      </c>
      <c r="BN434" s="45"/>
    </row>
  </sheetData>
  <conditionalFormatting sqref="BN378 R378:BC378 BJ378:BL378">
    <cfRule type="cellIs" dxfId="29" priority="43" operator="greaterThan">
      <formula>$C$356</formula>
    </cfRule>
  </conditionalFormatting>
  <conditionalFormatting sqref="R380:BC380 BJ380:BL380">
    <cfRule type="cellIs" dxfId="28" priority="42" operator="greaterThan">
      <formula>$C$357</formula>
    </cfRule>
  </conditionalFormatting>
  <conditionalFormatting sqref="R398:BM398">
    <cfRule type="cellIs" dxfId="27" priority="41" operator="greaterThan">
      <formula>$C$398</formula>
    </cfRule>
  </conditionalFormatting>
  <conditionalFormatting sqref="R400:BM400">
    <cfRule type="cellIs" dxfId="26" priority="40" operator="greaterThan">
      <formula>$C$400</formula>
    </cfRule>
  </conditionalFormatting>
  <conditionalFormatting sqref="R402:BM402">
    <cfRule type="cellIs" dxfId="25" priority="39" operator="greaterThan">
      <formula>$C$402</formula>
    </cfRule>
  </conditionalFormatting>
  <conditionalFormatting sqref="R404:BM404">
    <cfRule type="cellIs" dxfId="24" priority="31" operator="greaterThan">
      <formula>$C$404</formula>
    </cfRule>
  </conditionalFormatting>
  <conditionalFormatting sqref="R406:BM406">
    <cfRule type="cellIs" dxfId="23" priority="30" operator="greaterThan">
      <formula>$C$406</formula>
    </cfRule>
  </conditionalFormatting>
  <conditionalFormatting sqref="R408:BM408">
    <cfRule type="cellIs" dxfId="22" priority="29" operator="greaterThan">
      <formula>$C$408</formula>
    </cfRule>
  </conditionalFormatting>
  <conditionalFormatting sqref="R410:BM410">
    <cfRule type="cellIs" dxfId="21" priority="28" operator="greaterThan">
      <formula>$C$410</formula>
    </cfRule>
  </conditionalFormatting>
  <conditionalFormatting sqref="R412:BM412">
    <cfRule type="cellIs" dxfId="20" priority="27" operator="greaterThan">
      <formula>$C$412</formula>
    </cfRule>
  </conditionalFormatting>
  <conditionalFormatting sqref="R414:BM414">
    <cfRule type="cellIs" dxfId="19" priority="26" operator="greaterThan">
      <formula>$C$414</formula>
    </cfRule>
  </conditionalFormatting>
  <conditionalFormatting sqref="R369:BC369 BJ369:BM369">
    <cfRule type="cellIs" dxfId="18" priority="25" operator="equal">
      <formula>0</formula>
    </cfRule>
  </conditionalFormatting>
  <conditionalFormatting sqref="R376:BC376 R378:BC378 S380:BC380 BJ380:BL380 BJ378:BL378 BJ376:BL376">
    <cfRule type="cellIs" dxfId="17" priority="24" operator="equal">
      <formula>0</formula>
    </cfRule>
  </conditionalFormatting>
  <conditionalFormatting sqref="D398">
    <cfRule type="cellIs" dxfId="16" priority="21" operator="greaterThan">
      <formula>$B$398</formula>
    </cfRule>
  </conditionalFormatting>
  <conditionalFormatting sqref="D400">
    <cfRule type="cellIs" dxfId="15" priority="20" operator="greaterThan">
      <formula>$B$400</formula>
    </cfRule>
  </conditionalFormatting>
  <conditionalFormatting sqref="D402">
    <cfRule type="cellIs" dxfId="14" priority="19" operator="greaterThan">
      <formula>$B$402</formula>
    </cfRule>
  </conditionalFormatting>
  <conditionalFormatting sqref="D404">
    <cfRule type="cellIs" dxfId="13" priority="18" operator="greaterThan">
      <formula>$B$404</formula>
    </cfRule>
  </conditionalFormatting>
  <conditionalFormatting sqref="D406">
    <cfRule type="cellIs" dxfId="12" priority="17" operator="greaterThan">
      <formula>$B$406</formula>
    </cfRule>
  </conditionalFormatting>
  <conditionalFormatting sqref="D408">
    <cfRule type="cellIs" dxfId="11" priority="16" operator="greaterThan">
      <formula>$B$408</formula>
    </cfRule>
  </conditionalFormatting>
  <conditionalFormatting sqref="D410">
    <cfRule type="cellIs" dxfId="10" priority="15" operator="greaterThan">
      <formula>$B$410</formula>
    </cfRule>
  </conditionalFormatting>
  <conditionalFormatting sqref="D412">
    <cfRule type="cellIs" dxfId="9" priority="14" operator="greaterThan">
      <formula>$B$412</formula>
    </cfRule>
  </conditionalFormatting>
  <conditionalFormatting sqref="D414">
    <cfRule type="cellIs" dxfId="8" priority="13" operator="greaterThan">
      <formula>$B$414</formula>
    </cfRule>
  </conditionalFormatting>
  <conditionalFormatting sqref="BD378:BG378">
    <cfRule type="cellIs" dxfId="7" priority="8" operator="greaterThan">
      <formula>$C$356</formula>
    </cfRule>
  </conditionalFormatting>
  <conditionalFormatting sqref="BD380:BG380">
    <cfRule type="cellIs" dxfId="6" priority="7" operator="greaterThan">
      <formula>$C$357</formula>
    </cfRule>
  </conditionalFormatting>
  <conditionalFormatting sqref="BD369:BG369">
    <cfRule type="cellIs" dxfId="5" priority="6" operator="equal">
      <formula>0</formula>
    </cfRule>
  </conditionalFormatting>
  <conditionalFormatting sqref="BD376:BG376 BD378:BG378 BD380:BG380">
    <cfRule type="cellIs" dxfId="4" priority="5" operator="equal">
      <formula>0</formula>
    </cfRule>
  </conditionalFormatting>
  <conditionalFormatting sqref="BH378:BI378">
    <cfRule type="cellIs" dxfId="3" priority="4" operator="greaterThan">
      <formula>$C$356</formula>
    </cfRule>
  </conditionalFormatting>
  <conditionalFormatting sqref="BH380:BI380">
    <cfRule type="cellIs" dxfId="2" priority="3" operator="greaterThan">
      <formula>$C$357</formula>
    </cfRule>
  </conditionalFormatting>
  <conditionalFormatting sqref="BH369:BI369">
    <cfRule type="cellIs" dxfId="1" priority="2" operator="equal">
      <formula>0</formula>
    </cfRule>
  </conditionalFormatting>
  <conditionalFormatting sqref="BH376:BI376 BH378:BI378 BH380:BI380">
    <cfRule type="cellIs" dxfId="0" priority="1" operator="equal">
      <formula>0</formula>
    </cfRule>
  </conditionalFormatting>
  <hyperlinks>
    <hyperlink ref="E397" r:id="rId1" location="case-fatality-rate-of-covid-19-by-age" xr:uid="{0058192C-B05A-45D2-8597-C1F9B3D9241E}"/>
    <hyperlink ref="E420" r:id="rId2" location="case-fatality-rate-of-covid-19-by-preexisting-health-conditions" xr:uid="{110A2613-24A6-4768-B90C-571B307D13E2}"/>
    <hyperlink ref="B354" r:id="rId3" display="https://cmmid.github.io/topics/covid19/severity/global_cfr_estimates.html" xr:uid="{478D393B-144B-447C-BE80-8DB4A6AAAE87}"/>
    <hyperlink ref="A351" r:id="rId4" xr:uid="{F8C3DB32-759B-4C5A-975C-9AA8316EE6B0}"/>
  </hyperlinks>
  <pageMargins left="0.7" right="0.7" top="0.75" bottom="0.75" header="0.3" footer="0.3"/>
  <pageSetup paperSize="9" orientation="portrait" horizontalDpi="0" verticalDpi="0"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C7" sqref="C7"/>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76" t="s">
        <v>114</v>
      </c>
      <c r="C3" s="160">
        <f>Projections!B348</f>
        <v>330565500</v>
      </c>
      <c r="J3" s="2"/>
    </row>
    <row r="4" spans="2:10" x14ac:dyDescent="0.25">
      <c r="B4" s="177" t="s">
        <v>131</v>
      </c>
      <c r="C4" s="160">
        <f>Projections!R367</f>
        <v>31.25</v>
      </c>
      <c r="J4" s="2"/>
    </row>
    <row r="5" spans="2:10" x14ac:dyDescent="0.25">
      <c r="B5" s="177" t="s">
        <v>132</v>
      </c>
      <c r="C5" s="158">
        <f>Projections!R366</f>
        <v>43882</v>
      </c>
      <c r="J5" s="2"/>
    </row>
    <row r="6" spans="2:10" x14ac:dyDescent="0.25">
      <c r="B6" s="177" t="s">
        <v>115</v>
      </c>
      <c r="C6" s="160">
        <v>11226218</v>
      </c>
    </row>
    <row r="7" spans="2:10" x14ac:dyDescent="0.25">
      <c r="B7" s="177" t="s">
        <v>117</v>
      </c>
      <c r="C7" s="158">
        <f ca="1">NOW()</f>
        <v>44150.838846527775</v>
      </c>
    </row>
    <row r="8" spans="2:10" x14ac:dyDescent="0.25">
      <c r="B8" s="177" t="s">
        <v>133</v>
      </c>
      <c r="C8" s="159">
        <f ca="1">C7-C5</f>
        <v>268.83884652777488</v>
      </c>
    </row>
    <row r="9" spans="2:10" x14ac:dyDescent="0.25">
      <c r="B9" s="177" t="s">
        <v>116</v>
      </c>
      <c r="C9" s="161">
        <f ca="1">C8/(LOG(C6/C4)/LOG(2))</f>
        <v>14.567591514828242</v>
      </c>
      <c r="D9" t="s">
        <v>96</v>
      </c>
      <c r="F9" t="s">
        <v>134</v>
      </c>
    </row>
    <row r="10" spans="2:10" x14ac:dyDescent="0.25">
      <c r="B10" s="177" t="s">
        <v>121</v>
      </c>
      <c r="C10" s="160">
        <f>Projections!C356</f>
        <v>793357.2</v>
      </c>
    </row>
    <row r="11" spans="2:10" x14ac:dyDescent="0.25">
      <c r="B11" s="178" t="s">
        <v>122</v>
      </c>
      <c r="C11" s="165">
        <f>Projections!C357</f>
        <v>114706.22850000001</v>
      </c>
    </row>
    <row r="12" spans="2:10" s="69" customFormat="1" x14ac:dyDescent="0.25">
      <c r="B12" s="62" t="s">
        <v>162</v>
      </c>
      <c r="C12" s="166">
        <f>C6/Projections!B354</f>
        <v>19244945.142857142</v>
      </c>
    </row>
    <row r="13" spans="2:10" s="69" customFormat="1" x14ac:dyDescent="0.25">
      <c r="B13" s="48" t="s">
        <v>163</v>
      </c>
      <c r="C13" s="167">
        <f ca="1">(C4/Projections!B354)*(2^(((C7-21)-C5)/C9))</f>
        <v>7085411.1992985494</v>
      </c>
    </row>
    <row r="14" spans="2:10" s="69" customFormat="1" x14ac:dyDescent="0.25">
      <c r="B14" s="49" t="s">
        <v>164</v>
      </c>
      <c r="C14" s="150">
        <f ca="1">C12-C13</f>
        <v>12159533.943558592</v>
      </c>
      <c r="E14" s="163"/>
      <c r="F14" s="164" t="s">
        <v>138</v>
      </c>
      <c r="G14" s="162"/>
    </row>
    <row r="15" spans="2:10" x14ac:dyDescent="0.25">
      <c r="B15" s="4" t="s">
        <v>135</v>
      </c>
      <c r="C15" s="64">
        <f>C6*Projections!B359</f>
        <v>9093236.5800000001</v>
      </c>
      <c r="I15" s="157"/>
    </row>
    <row r="16" spans="2:10" x14ac:dyDescent="0.25">
      <c r="B16" s="41" t="s">
        <v>145</v>
      </c>
      <c r="C16" s="83">
        <f ca="1">(C4*Projections!B359)*(2^(((C7-21)-C5)/C9))</f>
        <v>3347856.7916685645</v>
      </c>
      <c r="I16" s="157"/>
    </row>
    <row r="17" spans="2:9" x14ac:dyDescent="0.25">
      <c r="B17" s="41" t="s">
        <v>136</v>
      </c>
      <c r="C17" s="83">
        <f ca="1">C15-C16</f>
        <v>5745379.788331436</v>
      </c>
      <c r="F17" t="s">
        <v>139</v>
      </c>
      <c r="I17" s="157"/>
    </row>
    <row r="18" spans="2:9" x14ac:dyDescent="0.25">
      <c r="B18" s="4" t="s">
        <v>141</v>
      </c>
      <c r="C18" s="64">
        <f>C6*Projections!B360</f>
        <v>1571670.5200000003</v>
      </c>
    </row>
    <row r="19" spans="2:9" x14ac:dyDescent="0.25">
      <c r="B19" s="41" t="s">
        <v>146</v>
      </c>
      <c r="C19" s="83">
        <f ca="1">(C4*Projections!B360)*(2^(((C7-49)-C5)/C9))</f>
        <v>152688.99327959996</v>
      </c>
    </row>
    <row r="20" spans="2:9" x14ac:dyDescent="0.25">
      <c r="B20" s="41" t="s">
        <v>140</v>
      </c>
      <c r="C20" s="83">
        <f ca="1">C18-C19</f>
        <v>1418981.5267204002</v>
      </c>
      <c r="F20" t="s">
        <v>144</v>
      </c>
    </row>
    <row r="21" spans="2:9" x14ac:dyDescent="0.25">
      <c r="B21" s="4" t="s">
        <v>142</v>
      </c>
      <c r="C21" s="64">
        <f>C6*Projections!B361</f>
        <v>561310.9</v>
      </c>
      <c r="I21" s="157"/>
    </row>
    <row r="22" spans="2:9" x14ac:dyDescent="0.25">
      <c r="B22" s="41" t="s">
        <v>147</v>
      </c>
      <c r="C22" s="83">
        <f ca="1">(C4*Projections!B361)*(2^(((C7-49)-C5)/C9))</f>
        <v>54531.783314142842</v>
      </c>
      <c r="I22" s="157"/>
    </row>
    <row r="23" spans="2:9" x14ac:dyDescent="0.25">
      <c r="B23" s="41" t="s">
        <v>143</v>
      </c>
      <c r="C23" s="83">
        <f ca="1">C21-C22</f>
        <v>506779.11668585718</v>
      </c>
      <c r="I23" s="157"/>
    </row>
    <row r="24" spans="2:9" x14ac:dyDescent="0.25">
      <c r="B24" s="4" t="s">
        <v>148</v>
      </c>
      <c r="C24" s="64">
        <f>C6*Projections!B362</f>
        <v>269429.23200000002</v>
      </c>
    </row>
    <row r="25" spans="2:9" x14ac:dyDescent="0.25">
      <c r="B25" s="37" t="s">
        <v>149</v>
      </c>
      <c r="C25" s="61">
        <f ca="1">(C4*Projections!B362)*(2^(((C7-42)-C5)/C9))</f>
        <v>36520.900468500331</v>
      </c>
      <c r="F25" t="s">
        <v>150</v>
      </c>
    </row>
    <row r="26" spans="2:9" x14ac:dyDescent="0.25">
      <c r="B26" s="41" t="s">
        <v>126</v>
      </c>
      <c r="C26" s="170">
        <f ca="1">C9*(LOG(C10/C21)/LOG(2))</f>
        <v>7.2717118545004853</v>
      </c>
      <c r="D26" t="s">
        <v>96</v>
      </c>
      <c r="F26" s="69" t="s">
        <v>151</v>
      </c>
    </row>
    <row r="27" spans="2:9" x14ac:dyDescent="0.25">
      <c r="B27" s="37" t="s">
        <v>123</v>
      </c>
      <c r="C27" s="169">
        <f ca="1">C7+C26</f>
        <v>44158.110558382272</v>
      </c>
      <c r="F27" t="s">
        <v>152</v>
      </c>
    </row>
    <row r="28" spans="2:9" x14ac:dyDescent="0.25">
      <c r="B28" s="4" t="s">
        <v>127</v>
      </c>
      <c r="C28" s="168">
        <f ca="1">C9*(LOG(C11/C21)/LOG(2))</f>
        <v>-33.372259435691305</v>
      </c>
      <c r="D28" t="s">
        <v>96</v>
      </c>
    </row>
    <row r="29" spans="2:9" x14ac:dyDescent="0.25">
      <c r="B29" s="37" t="s">
        <v>124</v>
      </c>
      <c r="C29" s="169">
        <f ca="1">C7+C28</f>
        <v>44117.466587092087</v>
      </c>
      <c r="F29" t="s">
        <v>152</v>
      </c>
    </row>
    <row r="30" spans="2:9" x14ac:dyDescent="0.25">
      <c r="B30" s="4" t="s">
        <v>128</v>
      </c>
      <c r="C30" s="168">
        <f ca="1">C9*(LOG((C3*0.6)/C12)/LOG(2))</f>
        <v>49.026050801111843</v>
      </c>
      <c r="D30" t="s">
        <v>96</v>
      </c>
    </row>
    <row r="31" spans="2:9" x14ac:dyDescent="0.25">
      <c r="B31" s="37" t="s">
        <v>125</v>
      </c>
      <c r="C31" s="169">
        <f ca="1">C7+C30</f>
        <v>44199.864897328887</v>
      </c>
    </row>
    <row r="34" spans="2:6" x14ac:dyDescent="0.25">
      <c r="B34" s="4" t="s">
        <v>129</v>
      </c>
      <c r="C34" s="158">
        <f ca="1">C7+30</f>
        <v>44180.838846527775</v>
      </c>
      <c r="F34" t="s">
        <v>165</v>
      </c>
    </row>
    <row r="35" spans="2:6" x14ac:dyDescent="0.25">
      <c r="B35" s="41" t="s">
        <v>130</v>
      </c>
      <c r="C35" s="83">
        <f ca="1">C6*(2^((C34-C7)/C9))</f>
        <v>46791218.445010863</v>
      </c>
      <c r="F35" t="s">
        <v>137</v>
      </c>
    </row>
    <row r="36" spans="2:6" x14ac:dyDescent="0.25">
      <c r="B36" s="41" t="s">
        <v>184</v>
      </c>
      <c r="C36" s="83">
        <f ca="1">C35/Projections!B354</f>
        <v>80213517.334304333</v>
      </c>
    </row>
    <row r="37" spans="2:6" x14ac:dyDescent="0.25">
      <c r="B37" s="41" t="s">
        <v>72</v>
      </c>
      <c r="C37" s="83">
        <f ca="1">C35*Projections!B359</f>
        <v>37900886.940458804</v>
      </c>
    </row>
    <row r="38" spans="2:6" x14ac:dyDescent="0.25">
      <c r="B38" s="41" t="s">
        <v>118</v>
      </c>
      <c r="C38" s="83">
        <f ca="1">C35*Projections!B360</f>
        <v>6550770.5823015217</v>
      </c>
    </row>
    <row r="39" spans="2:6" x14ac:dyDescent="0.25">
      <c r="B39" s="41" t="s">
        <v>119</v>
      </c>
      <c r="C39" s="83">
        <f ca="1">C35*Projections!B361</f>
        <v>2339560.9222505433</v>
      </c>
    </row>
    <row r="40" spans="2:6" x14ac:dyDescent="0.25">
      <c r="B40" s="37" t="s">
        <v>120</v>
      </c>
      <c r="C40" s="61">
        <f ca="1">C35*Projections!B362</f>
        <v>1122989.2426802607</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2:D108"/>
  <sheetViews>
    <sheetView workbookViewId="0">
      <selection activeCell="H46" sqref="H46"/>
    </sheetView>
  </sheetViews>
  <sheetFormatPr defaultRowHeight="15" x14ac:dyDescent="0.25"/>
  <cols>
    <col min="1" max="1" width="10" bestFit="1" customWidth="1"/>
    <col min="2" max="2" width="19.5703125" bestFit="1" customWidth="1"/>
    <col min="3" max="3" width="10.140625" bestFit="1" customWidth="1"/>
  </cols>
  <sheetData>
    <row r="2" spans="1:4" x14ac:dyDescent="0.25">
      <c r="A2" s="352" t="s">
        <v>179</v>
      </c>
      <c r="B2" s="219"/>
      <c r="C2" s="76"/>
    </row>
    <row r="3" spans="1:4" x14ac:dyDescent="0.25">
      <c r="A3" s="352"/>
      <c r="B3" s="219" t="s">
        <v>180</v>
      </c>
      <c r="C3" s="76"/>
    </row>
    <row r="4" spans="1:4" x14ac:dyDescent="0.25">
      <c r="A4" s="351" t="s">
        <v>47</v>
      </c>
      <c r="B4" s="222">
        <v>308745538</v>
      </c>
      <c r="C4" s="76"/>
    </row>
    <row r="5" spans="1:4" x14ac:dyDescent="0.25">
      <c r="A5" s="351"/>
      <c r="B5" s="220">
        <v>1</v>
      </c>
      <c r="C5" s="76"/>
    </row>
    <row r="6" spans="1:4" x14ac:dyDescent="0.25">
      <c r="A6" s="351" t="s">
        <v>21</v>
      </c>
      <c r="B6" s="222">
        <v>20201362</v>
      </c>
      <c r="C6" s="76"/>
    </row>
    <row r="7" spans="1:4" x14ac:dyDescent="0.25">
      <c r="A7" s="351"/>
      <c r="B7" s="221">
        <f>B6/$B$4</f>
        <v>6.5430458139932701E-2</v>
      </c>
      <c r="C7" s="77"/>
    </row>
    <row r="8" spans="1:4" x14ac:dyDescent="0.25">
      <c r="A8" s="351" t="s">
        <v>22</v>
      </c>
      <c r="B8" s="222">
        <v>20348657</v>
      </c>
      <c r="C8" s="76"/>
    </row>
    <row r="9" spans="1:4" x14ac:dyDescent="0.25">
      <c r="A9" s="351"/>
      <c r="B9" s="221">
        <f>B8/$B$4</f>
        <v>6.590753386045696E-2</v>
      </c>
      <c r="C9" s="222">
        <f>B6+B8</f>
        <v>40550019</v>
      </c>
      <c r="D9" s="1">
        <f>C9/$B$4</f>
        <v>0.13133799200038965</v>
      </c>
    </row>
    <row r="10" spans="1:4" x14ac:dyDescent="0.25">
      <c r="A10" s="351" t="s">
        <v>23</v>
      </c>
      <c r="B10" s="222">
        <v>20677194</v>
      </c>
      <c r="C10" s="76"/>
    </row>
    <row r="11" spans="1:4" x14ac:dyDescent="0.25">
      <c r="A11" s="351"/>
      <c r="B11" s="221">
        <f>B10/$B$4</f>
        <v>6.6971636688074182E-2</v>
      </c>
      <c r="C11" s="76"/>
    </row>
    <row r="12" spans="1:4" x14ac:dyDescent="0.25">
      <c r="A12" s="351" t="s">
        <v>24</v>
      </c>
      <c r="B12" s="222">
        <v>22040343</v>
      </c>
      <c r="C12" s="76"/>
    </row>
    <row r="13" spans="1:4" x14ac:dyDescent="0.25">
      <c r="A13" s="351"/>
      <c r="B13" s="221">
        <f>B12/$B$4</f>
        <v>7.13867579844992E-2</v>
      </c>
      <c r="C13" s="222">
        <f>B10+B12</f>
        <v>42717537</v>
      </c>
      <c r="D13" s="1">
        <f>C13/$B$4</f>
        <v>0.13835839467257338</v>
      </c>
    </row>
    <row r="14" spans="1:4" x14ac:dyDescent="0.25">
      <c r="A14" s="351" t="s">
        <v>25</v>
      </c>
      <c r="B14" s="222">
        <v>21585999</v>
      </c>
      <c r="C14" s="76"/>
    </row>
    <row r="15" spans="1:4" x14ac:dyDescent="0.25">
      <c r="A15" s="351"/>
      <c r="B15" s="221">
        <f>B14/$B$4</f>
        <v>6.9915177203305853E-2</v>
      </c>
      <c r="C15" s="76"/>
    </row>
    <row r="16" spans="1:4" x14ac:dyDescent="0.25">
      <c r="A16" s="351" t="s">
        <v>26</v>
      </c>
      <c r="B16" s="222">
        <v>21101849</v>
      </c>
      <c r="C16" s="76"/>
    </row>
    <row r="17" spans="1:4" x14ac:dyDescent="0.25">
      <c r="A17" s="351"/>
      <c r="B17" s="221">
        <f>B16/$B$4</f>
        <v>6.8347057375125531E-2</v>
      </c>
      <c r="C17" s="222">
        <f>B14+B16</f>
        <v>42687848</v>
      </c>
      <c r="D17" s="1">
        <f>C17/$B$4</f>
        <v>0.13826223457843137</v>
      </c>
    </row>
    <row r="18" spans="1:4" x14ac:dyDescent="0.25">
      <c r="A18" s="351" t="s">
        <v>27</v>
      </c>
      <c r="B18" s="222">
        <v>19962099</v>
      </c>
      <c r="C18" s="76"/>
    </row>
    <row r="19" spans="1:4" x14ac:dyDescent="0.25">
      <c r="A19" s="351"/>
      <c r="B19" s="221">
        <f>B18/$B$4</f>
        <v>6.465550604977488E-2</v>
      </c>
      <c r="C19" s="77"/>
    </row>
    <row r="20" spans="1:4" x14ac:dyDescent="0.25">
      <c r="A20" s="351" t="s">
        <v>28</v>
      </c>
      <c r="B20" s="222">
        <v>20179642</v>
      </c>
      <c r="C20" s="76"/>
    </row>
    <row r="21" spans="1:4" x14ac:dyDescent="0.25">
      <c r="A21" s="351"/>
      <c r="B21" s="221">
        <f>B20/$B$4</f>
        <v>6.5360108945121009E-2</v>
      </c>
      <c r="C21" s="222">
        <f>B18+B20</f>
        <v>40141741</v>
      </c>
      <c r="D21" s="1">
        <f>C21/$B$4</f>
        <v>0.13001561499489589</v>
      </c>
    </row>
    <row r="22" spans="1:4" x14ac:dyDescent="0.25">
      <c r="A22" s="351" t="s">
        <v>29</v>
      </c>
      <c r="B22" s="222">
        <v>20890964</v>
      </c>
      <c r="C22" s="76"/>
    </row>
    <row r="23" spans="1:4" x14ac:dyDescent="0.25">
      <c r="A23" s="351"/>
      <c r="B23" s="221">
        <f>B22/$B$4</f>
        <v>6.7664019163898012E-2</v>
      </c>
      <c r="C23" s="76"/>
    </row>
    <row r="24" spans="1:4" x14ac:dyDescent="0.25">
      <c r="A24" s="351" t="s">
        <v>30</v>
      </c>
      <c r="B24" s="222">
        <v>22708591</v>
      </c>
      <c r="C24" s="76"/>
    </row>
    <row r="25" spans="1:4" x14ac:dyDescent="0.25">
      <c r="A25" s="351"/>
      <c r="B25" s="221">
        <f>B24/$B$4</f>
        <v>7.3551155255885833E-2</v>
      </c>
      <c r="C25" s="222">
        <f>B22+B24</f>
        <v>43599555</v>
      </c>
      <c r="D25" s="1">
        <f>C25/$B$4</f>
        <v>0.14121517441978385</v>
      </c>
    </row>
    <row r="26" spans="1:4" x14ac:dyDescent="0.25">
      <c r="A26" s="351" t="s">
        <v>31</v>
      </c>
      <c r="B26" s="222">
        <v>22298125</v>
      </c>
      <c r="C26" s="76"/>
    </row>
    <row r="27" spans="1:4" x14ac:dyDescent="0.25">
      <c r="A27" s="351"/>
      <c r="B27" s="221">
        <f>B26/$B$4</f>
        <v>7.2221691508299629E-2</v>
      </c>
      <c r="C27" s="76"/>
    </row>
    <row r="28" spans="1:4" x14ac:dyDescent="0.25">
      <c r="A28" s="351" t="s">
        <v>32</v>
      </c>
      <c r="B28" s="222">
        <v>19664805</v>
      </c>
      <c r="C28" s="76"/>
    </row>
    <row r="29" spans="1:4" x14ac:dyDescent="0.25">
      <c r="A29" s="351"/>
      <c r="B29" s="221">
        <f>B28/$B$4</f>
        <v>6.3692596587420158E-2</v>
      </c>
      <c r="C29" s="222">
        <f>B26+B28</f>
        <v>41962930</v>
      </c>
      <c r="D29" s="1">
        <f>C29/$B$4</f>
        <v>0.13591428809571979</v>
      </c>
    </row>
    <row r="30" spans="1:4" x14ac:dyDescent="0.25">
      <c r="A30" s="351" t="s">
        <v>33</v>
      </c>
      <c r="B30" s="222">
        <v>16817924</v>
      </c>
      <c r="C30" s="76"/>
    </row>
    <row r="31" spans="1:4" x14ac:dyDescent="0.25">
      <c r="A31" s="351"/>
      <c r="B31" s="221">
        <f>B30/$B$4</f>
        <v>5.4471796123576693E-2</v>
      </c>
      <c r="C31" s="77"/>
    </row>
    <row r="32" spans="1:4" x14ac:dyDescent="0.25">
      <c r="A32" s="351" t="s">
        <v>34</v>
      </c>
      <c r="B32" s="222">
        <v>12435263</v>
      </c>
      <c r="C32" s="76"/>
    </row>
    <row r="33" spans="1:4" x14ac:dyDescent="0.25">
      <c r="A33" s="351"/>
      <c r="B33" s="221">
        <f>B32/$B$4</f>
        <v>4.027673753782314E-2</v>
      </c>
      <c r="C33" s="222">
        <f>B30+B32</f>
        <v>29253187</v>
      </c>
      <c r="D33" s="1">
        <f>C33/$B$4</f>
        <v>9.4748533661399834E-2</v>
      </c>
    </row>
    <row r="34" spans="1:4" x14ac:dyDescent="0.25">
      <c r="A34" s="351" t="s">
        <v>35</v>
      </c>
      <c r="B34" s="222">
        <v>9278166</v>
      </c>
      <c r="C34" s="76"/>
    </row>
    <row r="35" spans="1:4" x14ac:dyDescent="0.25">
      <c r="A35" s="351"/>
      <c r="B35" s="221">
        <f>B34/$B$4</f>
        <v>3.0051174375190486E-2</v>
      </c>
      <c r="C35" s="76"/>
    </row>
    <row r="36" spans="1:4" x14ac:dyDescent="0.25">
      <c r="A36" s="351" t="s">
        <v>36</v>
      </c>
      <c r="B36" s="222">
        <v>7317795</v>
      </c>
      <c r="C36" s="76"/>
    </row>
    <row r="37" spans="1:4" x14ac:dyDescent="0.25">
      <c r="A37" s="351"/>
      <c r="B37" s="221">
        <f>B36/$B$4</f>
        <v>2.370170285667416E-2</v>
      </c>
      <c r="C37" s="222">
        <f>B34+B36</f>
        <v>16595961</v>
      </c>
      <c r="D37" s="1">
        <f>C37/$B$4</f>
        <v>5.3752877231864643E-2</v>
      </c>
    </row>
    <row r="38" spans="1:4" x14ac:dyDescent="0.25">
      <c r="A38" s="351" t="s">
        <v>37</v>
      </c>
      <c r="B38" s="222">
        <v>5743327</v>
      </c>
      <c r="C38" s="76"/>
    </row>
    <row r="39" spans="1:4" x14ac:dyDescent="0.25">
      <c r="A39" s="351"/>
      <c r="B39" s="221">
        <f>B38/$B$4</f>
        <v>1.8602137660690663E-2</v>
      </c>
      <c r="C39" s="76"/>
    </row>
    <row r="40" spans="1:4" x14ac:dyDescent="0.25">
      <c r="A40" s="351" t="s">
        <v>178</v>
      </c>
      <c r="B40" s="222">
        <v>5493433</v>
      </c>
      <c r="C40" s="76"/>
    </row>
    <row r="41" spans="1:4" x14ac:dyDescent="0.25">
      <c r="A41" s="351"/>
      <c r="B41" s="221">
        <f>B40/$B$4</f>
        <v>1.7792752684250939E-2</v>
      </c>
      <c r="C41" s="222">
        <f>B38+B40</f>
        <v>11236760</v>
      </c>
      <c r="D41" s="1">
        <f>C41/$B$4</f>
        <v>3.6394890344941602E-2</v>
      </c>
    </row>
    <row r="42" spans="1:4" x14ac:dyDescent="0.25">
      <c r="C42" s="76"/>
    </row>
    <row r="43" spans="1:4" x14ac:dyDescent="0.25">
      <c r="B43" s="2">
        <f>SUM(B6,B8,B10,B12,B14,B16,B18,B20,B22,B24,B26,B28,B30,B32,B34,B36,B38,B40)</f>
        <v>308745538</v>
      </c>
      <c r="C43" s="77"/>
    </row>
    <row r="44" spans="1:4" x14ac:dyDescent="0.25">
      <c r="B44" s="1">
        <f>SUM(B7,B9,B11,B13,B15,B17,B19,B21,B23,B25,B27,B29,B31,B33,B35,B37,B39,B41)</f>
        <v>0.99999999999999989</v>
      </c>
      <c r="C44" s="76"/>
    </row>
    <row r="45" spans="1:4" x14ac:dyDescent="0.25">
      <c r="C45" s="76"/>
    </row>
    <row r="46" spans="1:4" x14ac:dyDescent="0.25">
      <c r="C46" s="76"/>
    </row>
    <row r="47" spans="1:4" x14ac:dyDescent="0.25">
      <c r="C47" s="76"/>
    </row>
    <row r="48" spans="1:4" x14ac:dyDescent="0.25">
      <c r="C48" s="76"/>
    </row>
    <row r="49" spans="1:3" x14ac:dyDescent="0.25">
      <c r="A49" s="1"/>
      <c r="C49" s="77"/>
    </row>
    <row r="50" spans="1:3" x14ac:dyDescent="0.25">
      <c r="C50" s="76"/>
    </row>
    <row r="51" spans="1:3" x14ac:dyDescent="0.25">
      <c r="C51" s="76"/>
    </row>
    <row r="52" spans="1:3" x14ac:dyDescent="0.25">
      <c r="C52" s="76"/>
    </row>
    <row r="53" spans="1:3" x14ac:dyDescent="0.25">
      <c r="C53" s="76"/>
    </row>
    <row r="54" spans="1:3" x14ac:dyDescent="0.25">
      <c r="C54" s="76"/>
    </row>
    <row r="55" spans="1:3" x14ac:dyDescent="0.25">
      <c r="C55" s="77"/>
    </row>
    <row r="56" spans="1:3" x14ac:dyDescent="0.25">
      <c r="C56" s="76"/>
    </row>
    <row r="57" spans="1:3" x14ac:dyDescent="0.25">
      <c r="C57" s="76"/>
    </row>
    <row r="58" spans="1:3" x14ac:dyDescent="0.25">
      <c r="C58" s="76"/>
    </row>
    <row r="59" spans="1:3" x14ac:dyDescent="0.25">
      <c r="C59" s="76"/>
    </row>
    <row r="60" spans="1:3" x14ac:dyDescent="0.25">
      <c r="C60" s="76"/>
    </row>
    <row r="61" spans="1:3" x14ac:dyDescent="0.25">
      <c r="A61" s="1"/>
      <c r="C61" s="77"/>
    </row>
    <row r="62" spans="1:3" x14ac:dyDescent="0.25">
      <c r="C62" s="76"/>
    </row>
    <row r="63" spans="1:3" x14ac:dyDescent="0.25">
      <c r="C63" s="76"/>
    </row>
    <row r="64" spans="1:3" x14ac:dyDescent="0.25">
      <c r="C64" s="76"/>
    </row>
    <row r="65" spans="1:3" x14ac:dyDescent="0.25">
      <c r="C65" s="76"/>
    </row>
    <row r="66" spans="1:3" x14ac:dyDescent="0.25">
      <c r="C66" s="76"/>
    </row>
    <row r="67" spans="1:3" x14ac:dyDescent="0.25">
      <c r="C67" s="77"/>
    </row>
    <row r="68" spans="1:3" x14ac:dyDescent="0.25">
      <c r="C68" s="76"/>
    </row>
    <row r="69" spans="1:3" x14ac:dyDescent="0.25">
      <c r="C69" s="76"/>
    </row>
    <row r="70" spans="1:3" x14ac:dyDescent="0.25">
      <c r="C70" s="76"/>
    </row>
    <row r="71" spans="1:3" x14ac:dyDescent="0.25">
      <c r="C71" s="76"/>
    </row>
    <row r="72" spans="1:3" x14ac:dyDescent="0.25">
      <c r="C72" s="76"/>
    </row>
    <row r="73" spans="1:3" x14ac:dyDescent="0.25">
      <c r="A73" s="1"/>
      <c r="C73" s="77"/>
    </row>
    <row r="74" spans="1:3" x14ac:dyDescent="0.25">
      <c r="C74" s="76"/>
    </row>
    <row r="75" spans="1:3" x14ac:dyDescent="0.25">
      <c r="C75" s="76"/>
    </row>
    <row r="76" spans="1:3" x14ac:dyDescent="0.25">
      <c r="C76" s="76"/>
    </row>
    <row r="77" spans="1:3" x14ac:dyDescent="0.25">
      <c r="C77" s="76"/>
    </row>
    <row r="78" spans="1:3" x14ac:dyDescent="0.25">
      <c r="C78" s="76"/>
    </row>
    <row r="79" spans="1:3" x14ac:dyDescent="0.25">
      <c r="C79" s="77"/>
    </row>
    <row r="80" spans="1:3" x14ac:dyDescent="0.25">
      <c r="C80" s="76"/>
    </row>
    <row r="81" spans="1:3" x14ac:dyDescent="0.25">
      <c r="C81" s="76"/>
    </row>
    <row r="82" spans="1:3" x14ac:dyDescent="0.25">
      <c r="C82" s="76"/>
    </row>
    <row r="83" spans="1:3" x14ac:dyDescent="0.25">
      <c r="C83" s="76"/>
    </row>
    <row r="84" spans="1:3" x14ac:dyDescent="0.25">
      <c r="C84" s="76"/>
    </row>
    <row r="85" spans="1:3" x14ac:dyDescent="0.25">
      <c r="A85" s="1"/>
      <c r="C85" s="77"/>
    </row>
    <row r="86" spans="1:3" x14ac:dyDescent="0.25">
      <c r="C86" s="76"/>
    </row>
    <row r="87" spans="1:3" x14ac:dyDescent="0.25">
      <c r="C87" s="76"/>
    </row>
    <row r="88" spans="1:3" x14ac:dyDescent="0.25">
      <c r="C88" s="76"/>
    </row>
    <row r="89" spans="1:3" x14ac:dyDescent="0.25">
      <c r="C89" s="76"/>
    </row>
    <row r="90" spans="1:3" x14ac:dyDescent="0.25">
      <c r="C90" s="76"/>
    </row>
    <row r="91" spans="1:3" x14ac:dyDescent="0.25">
      <c r="C91" s="77"/>
    </row>
    <row r="92" spans="1:3" x14ac:dyDescent="0.25">
      <c r="C92" s="76"/>
    </row>
    <row r="93" spans="1:3" x14ac:dyDescent="0.25">
      <c r="C93" s="76"/>
    </row>
    <row r="94" spans="1:3" x14ac:dyDescent="0.25">
      <c r="C94" s="76"/>
    </row>
    <row r="95" spans="1:3" x14ac:dyDescent="0.25">
      <c r="C95" s="76"/>
    </row>
    <row r="96" spans="1:3" x14ac:dyDescent="0.25">
      <c r="C96" s="76"/>
    </row>
    <row r="97" spans="1:3" x14ac:dyDescent="0.25">
      <c r="A97" s="1"/>
      <c r="C97" s="77"/>
    </row>
    <row r="98" spans="1:3" x14ac:dyDescent="0.25">
      <c r="C98" s="76"/>
    </row>
    <row r="99" spans="1:3" x14ac:dyDescent="0.25">
      <c r="C99" s="76"/>
    </row>
    <row r="100" spans="1:3" x14ac:dyDescent="0.25">
      <c r="C100" s="76"/>
    </row>
    <row r="101" spans="1:3" x14ac:dyDescent="0.25">
      <c r="C101" s="76"/>
    </row>
    <row r="102" spans="1:3" x14ac:dyDescent="0.25">
      <c r="C102" s="76"/>
    </row>
    <row r="103" spans="1:3" x14ac:dyDescent="0.25">
      <c r="C103" s="77"/>
    </row>
    <row r="104" spans="1:3" x14ac:dyDescent="0.25">
      <c r="C104" s="77"/>
    </row>
    <row r="105" spans="1:3" x14ac:dyDescent="0.25">
      <c r="C105" s="77"/>
    </row>
    <row r="106" spans="1:3" x14ac:dyDescent="0.25">
      <c r="C106" s="77"/>
    </row>
    <row r="107" spans="1:3" x14ac:dyDescent="0.25">
      <c r="A107" s="1"/>
      <c r="C107" s="77"/>
    </row>
    <row r="108" spans="1:3" x14ac:dyDescent="0.25">
      <c r="C108" s="78"/>
    </row>
  </sheetData>
  <mergeCells count="20">
    <mergeCell ref="A38:A39"/>
    <mergeCell ref="A40:A41"/>
    <mergeCell ref="A26:A27"/>
    <mergeCell ref="A28:A29"/>
    <mergeCell ref="A30:A31"/>
    <mergeCell ref="A32:A33"/>
    <mergeCell ref="A34:A35"/>
    <mergeCell ref="A36:A37"/>
    <mergeCell ref="A24:A25"/>
    <mergeCell ref="A2:A3"/>
    <mergeCell ref="A4:A5"/>
    <mergeCell ref="A6:A7"/>
    <mergeCell ref="A8:A9"/>
    <mergeCell ref="A10:A11"/>
    <mergeCell ref="A12:A13"/>
    <mergeCell ref="A14:A15"/>
    <mergeCell ref="A16:A17"/>
    <mergeCell ref="A18:A19"/>
    <mergeCell ref="A20:A21"/>
    <mergeCell ref="A22:A23"/>
  </mergeCells>
  <hyperlinks>
    <hyperlink ref="A2:A3" r:id="rId1" location="Demographic_statistics" display="Age group" xr:uid="{7E03ABC8-8ADA-47B5-A8A5-FE4BE1629CC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C14"/>
  <sheetViews>
    <sheetView workbookViewId="0">
      <selection activeCell="H18" sqref="H18"/>
    </sheetView>
  </sheetViews>
  <sheetFormatPr defaultRowHeight="15" x14ac:dyDescent="0.25"/>
  <sheetData>
    <row r="1" spans="1:3" x14ac:dyDescent="0.25">
      <c r="A1" t="s">
        <v>181</v>
      </c>
    </row>
    <row r="2" spans="1:3" x14ac:dyDescent="0.25">
      <c r="A2" t="s">
        <v>182</v>
      </c>
    </row>
    <row r="3" spans="1:3" x14ac:dyDescent="0.25">
      <c r="A3" t="s">
        <v>44</v>
      </c>
      <c r="B3" t="s">
        <v>45</v>
      </c>
      <c r="C3" t="s">
        <v>46</v>
      </c>
    </row>
    <row r="4" spans="1:3" x14ac:dyDescent="0.25">
      <c r="A4" s="41" t="s">
        <v>12</v>
      </c>
      <c r="B4">
        <v>161</v>
      </c>
      <c r="C4" s="3">
        <f t="shared" ref="C4:C12" si="0">B4/$B$14</f>
        <v>2.8847876724601325E-2</v>
      </c>
    </row>
    <row r="5" spans="1:3" x14ac:dyDescent="0.25">
      <c r="A5" s="41" t="s">
        <v>13</v>
      </c>
      <c r="B5">
        <v>595</v>
      </c>
      <c r="C5" s="3">
        <f t="shared" si="0"/>
        <v>0.10661171833004837</v>
      </c>
    </row>
    <row r="6" spans="1:3" x14ac:dyDescent="0.25">
      <c r="A6" s="41" t="s">
        <v>14</v>
      </c>
      <c r="B6">
        <v>934</v>
      </c>
      <c r="C6" s="3">
        <f t="shared" si="0"/>
        <v>0.16735352087439526</v>
      </c>
    </row>
    <row r="7" spans="1:3" x14ac:dyDescent="0.25">
      <c r="A7" s="41" t="s">
        <v>15</v>
      </c>
      <c r="B7">
        <v>867</v>
      </c>
      <c r="C7" s="3">
        <f t="shared" si="0"/>
        <v>0.15534850385235621</v>
      </c>
    </row>
    <row r="8" spans="1:3" x14ac:dyDescent="0.25">
      <c r="A8" s="41" t="s">
        <v>16</v>
      </c>
      <c r="B8">
        <v>724</v>
      </c>
      <c r="C8" s="3">
        <f t="shared" si="0"/>
        <v>0.12972585558143701</v>
      </c>
    </row>
    <row r="9" spans="1:3" x14ac:dyDescent="0.25">
      <c r="A9" s="41" t="s">
        <v>17</v>
      </c>
      <c r="B9">
        <v>878</v>
      </c>
      <c r="C9" s="3">
        <f t="shared" si="0"/>
        <v>0.15731947679627306</v>
      </c>
    </row>
    <row r="10" spans="1:3" x14ac:dyDescent="0.25">
      <c r="A10" s="41" t="s">
        <v>18</v>
      </c>
      <c r="B10">
        <v>1206</v>
      </c>
      <c r="C10" s="3">
        <f t="shared" si="0"/>
        <v>0.2160903063967031</v>
      </c>
    </row>
    <row r="11" spans="1:3" ht="15.75" customHeight="1" x14ac:dyDescent="0.25">
      <c r="A11" s="42" t="s">
        <v>19</v>
      </c>
      <c r="B11">
        <v>161</v>
      </c>
      <c r="C11" s="3">
        <f t="shared" si="0"/>
        <v>2.8847876724601325E-2</v>
      </c>
    </row>
    <row r="12" spans="1:3" x14ac:dyDescent="0.25">
      <c r="A12" s="42" t="s">
        <v>20</v>
      </c>
      <c r="B12">
        <v>55</v>
      </c>
      <c r="C12" s="3">
        <f t="shared" si="0"/>
        <v>9.8548647195843032E-3</v>
      </c>
    </row>
    <row r="14" spans="1:3" x14ac:dyDescent="0.25">
      <c r="A14" t="s">
        <v>47</v>
      </c>
      <c r="B14">
        <f>SUM(B4:B12)</f>
        <v>5581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D2B28-88AD-43AE-B2B9-0612158B70D1}">
  <dimension ref="A1:R54"/>
  <sheetViews>
    <sheetView workbookViewId="0">
      <selection activeCell="Q22" sqref="Q22"/>
    </sheetView>
  </sheetViews>
  <sheetFormatPr defaultRowHeight="15" x14ac:dyDescent="0.25"/>
  <cols>
    <col min="1" max="1" width="43.5703125" customWidth="1"/>
    <col min="10" max="10" width="10.7109375" bestFit="1" customWidth="1"/>
  </cols>
  <sheetData>
    <row r="1" spans="1:18" x14ac:dyDescent="0.25">
      <c r="A1" t="s">
        <v>610</v>
      </c>
      <c r="J1" s="208">
        <v>44059</v>
      </c>
    </row>
    <row r="2" spans="1:18" x14ac:dyDescent="0.25">
      <c r="A2" s="272" t="s">
        <v>581</v>
      </c>
      <c r="J2" t="s">
        <v>677</v>
      </c>
    </row>
    <row r="3" spans="1:18" x14ac:dyDescent="0.25">
      <c r="A3" t="s">
        <v>611</v>
      </c>
      <c r="J3" t="s">
        <v>678</v>
      </c>
      <c r="O3" t="s">
        <v>679</v>
      </c>
    </row>
    <row r="4" spans="1:18" x14ac:dyDescent="0.25">
      <c r="B4" t="s">
        <v>588</v>
      </c>
      <c r="C4" t="s">
        <v>589</v>
      </c>
      <c r="J4" t="s">
        <v>582</v>
      </c>
      <c r="K4">
        <v>61827</v>
      </c>
      <c r="L4" s="1">
        <v>1.6E-2</v>
      </c>
      <c r="M4" s="1">
        <f>K4/(SUM($K$4:$K$12))</f>
        <v>1.638828902784872E-2</v>
      </c>
      <c r="O4" t="s">
        <v>582</v>
      </c>
      <c r="P4">
        <v>30</v>
      </c>
      <c r="R4" s="1">
        <f>P4/SUM($P$4:$P$12)</f>
        <v>2.3869006890186656E-4</v>
      </c>
    </row>
    <row r="5" spans="1:18" x14ac:dyDescent="0.25">
      <c r="A5" t="s">
        <v>582</v>
      </c>
      <c r="B5">
        <v>5.6</v>
      </c>
      <c r="C5" s="1">
        <f>B5/100000</f>
        <v>5.5999999999999999E-5</v>
      </c>
      <c r="J5" s="329" t="s">
        <v>583</v>
      </c>
      <c r="K5">
        <v>228450</v>
      </c>
      <c r="L5" s="1">
        <v>6.0999999999999999E-2</v>
      </c>
      <c r="M5" s="1">
        <f t="shared" ref="M5:M12" si="0">K5/(SUM($K$4:$K$12))</f>
        <v>6.0554525181749724E-2</v>
      </c>
      <c r="O5" s="329" t="s">
        <v>583</v>
      </c>
      <c r="P5">
        <v>43</v>
      </c>
      <c r="R5" s="1">
        <f t="shared" ref="R5:R12" si="1">P5/SUM($P$4:$P$12)</f>
        <v>3.4212243209267538E-4</v>
      </c>
    </row>
    <row r="6" spans="1:18" x14ac:dyDescent="0.25">
      <c r="A6" s="329" t="s">
        <v>583</v>
      </c>
      <c r="B6">
        <v>3.1</v>
      </c>
      <c r="C6" s="1">
        <f t="shared" ref="C6:C13" si="2">B6/100000</f>
        <v>3.1000000000000001E-5</v>
      </c>
      <c r="J6" t="s">
        <v>584</v>
      </c>
      <c r="K6">
        <v>824150</v>
      </c>
      <c r="L6" s="1">
        <v>0.219</v>
      </c>
      <c r="M6" s="1">
        <f t="shared" si="0"/>
        <v>0.21845485632978348</v>
      </c>
      <c r="O6" t="s">
        <v>584</v>
      </c>
      <c r="P6">
        <v>627</v>
      </c>
      <c r="Q6" s="1">
        <v>5.0000000000000001E-3</v>
      </c>
      <c r="R6" s="1">
        <f t="shared" si="1"/>
        <v>4.988622440049011E-3</v>
      </c>
    </row>
    <row r="7" spans="1:18" x14ac:dyDescent="0.25">
      <c r="A7" t="s">
        <v>584</v>
      </c>
      <c r="B7">
        <v>27.3</v>
      </c>
      <c r="C7" s="1">
        <f t="shared" si="2"/>
        <v>2.7300000000000002E-4</v>
      </c>
      <c r="J7" t="s">
        <v>17</v>
      </c>
      <c r="K7">
        <v>645140</v>
      </c>
      <c r="L7" s="1">
        <v>0.17100000000000001</v>
      </c>
      <c r="M7" s="1">
        <f t="shared" si="0"/>
        <v>0.17100523692604078</v>
      </c>
      <c r="O7" t="s">
        <v>17</v>
      </c>
      <c r="P7">
        <v>1650</v>
      </c>
      <c r="Q7" s="1">
        <v>1.2999999999999999E-2</v>
      </c>
      <c r="R7" s="1">
        <f t="shared" si="1"/>
        <v>1.3127953789602661E-2</v>
      </c>
    </row>
    <row r="8" spans="1:18" x14ac:dyDescent="0.25">
      <c r="A8" t="s">
        <v>17</v>
      </c>
      <c r="B8">
        <v>52.5</v>
      </c>
      <c r="C8" s="1">
        <f t="shared" si="2"/>
        <v>5.2499999999999997E-4</v>
      </c>
      <c r="J8" t="s">
        <v>16</v>
      </c>
      <c r="K8">
        <v>595595</v>
      </c>
      <c r="L8" s="1">
        <v>0.158</v>
      </c>
      <c r="M8" s="1">
        <f t="shared" si="0"/>
        <v>0.15787249912726734</v>
      </c>
      <c r="O8" t="s">
        <v>16</v>
      </c>
      <c r="P8">
        <v>4021</v>
      </c>
      <c r="Q8" s="1">
        <v>3.2000000000000001E-2</v>
      </c>
      <c r="R8" s="1">
        <f t="shared" si="1"/>
        <v>3.1992425568480178E-2</v>
      </c>
    </row>
    <row r="9" spans="1:18" x14ac:dyDescent="0.25">
      <c r="A9" t="s">
        <v>16</v>
      </c>
      <c r="B9">
        <v>84.6</v>
      </c>
      <c r="C9" s="1">
        <f t="shared" si="2"/>
        <v>8.4599999999999996E-4</v>
      </c>
      <c r="J9" t="s">
        <v>585</v>
      </c>
      <c r="K9">
        <v>811597</v>
      </c>
      <c r="L9" s="1">
        <v>0.215</v>
      </c>
      <c r="M9" s="1">
        <f t="shared" si="0"/>
        <v>0.21512747198044443</v>
      </c>
      <c r="O9" t="s">
        <v>585</v>
      </c>
      <c r="P9">
        <v>19686</v>
      </c>
      <c r="Q9" s="1">
        <v>0.157</v>
      </c>
      <c r="R9" s="1">
        <f t="shared" si="1"/>
        <v>0.15662842321340484</v>
      </c>
    </row>
    <row r="10" spans="1:18" x14ac:dyDescent="0.25">
      <c r="A10" t="s">
        <v>585</v>
      </c>
      <c r="B10">
        <v>136.1</v>
      </c>
      <c r="C10" s="1">
        <f t="shared" si="2"/>
        <v>1.361E-3</v>
      </c>
      <c r="J10" t="s">
        <v>586</v>
      </c>
      <c r="K10">
        <v>297916</v>
      </c>
      <c r="L10" s="1">
        <v>7.9000000000000001E-2</v>
      </c>
      <c r="M10" s="1">
        <f t="shared" si="0"/>
        <v>7.8967659987070032E-2</v>
      </c>
      <c r="O10" t="s">
        <v>586</v>
      </c>
      <c r="P10">
        <v>26506</v>
      </c>
      <c r="Q10" s="1">
        <v>0.21099999999999999</v>
      </c>
      <c r="R10" s="1">
        <f t="shared" si="1"/>
        <v>0.21089063221042917</v>
      </c>
    </row>
    <row r="11" spans="1:18" x14ac:dyDescent="0.25">
      <c r="A11" t="s">
        <v>586</v>
      </c>
      <c r="B11">
        <v>198.7</v>
      </c>
      <c r="C11" s="1">
        <f t="shared" si="2"/>
        <v>1.9870000000000001E-3</v>
      </c>
      <c r="J11" t="s">
        <v>587</v>
      </c>
      <c r="K11">
        <v>173573</v>
      </c>
      <c r="L11" s="1">
        <v>4.5999999999999999E-2</v>
      </c>
      <c r="M11" s="1">
        <f t="shared" si="0"/>
        <v>4.6008450861772139E-2</v>
      </c>
      <c r="O11" t="s">
        <v>587</v>
      </c>
      <c r="P11">
        <v>33050</v>
      </c>
      <c r="Q11" s="1">
        <v>0.26300000000000001</v>
      </c>
      <c r="R11" s="1">
        <f t="shared" si="1"/>
        <v>0.26295689257355631</v>
      </c>
    </row>
    <row r="12" spans="1:18" x14ac:dyDescent="0.25">
      <c r="A12" t="s">
        <v>587</v>
      </c>
      <c r="B12">
        <v>329.3</v>
      </c>
      <c r="C12" s="1">
        <f t="shared" si="2"/>
        <v>3.2929999999999999E-3</v>
      </c>
      <c r="J12" t="s">
        <v>178</v>
      </c>
      <c r="K12">
        <v>134385</v>
      </c>
      <c r="L12" s="1">
        <v>3.5999999999999997E-2</v>
      </c>
      <c r="M12" s="1">
        <f t="shared" si="0"/>
        <v>3.562101057802336E-2</v>
      </c>
      <c r="O12" t="s">
        <v>178</v>
      </c>
      <c r="P12">
        <v>40073</v>
      </c>
      <c r="Q12" s="1">
        <v>0.31900000000000001</v>
      </c>
      <c r="R12" s="1">
        <f t="shared" si="1"/>
        <v>0.31883423770348329</v>
      </c>
    </row>
    <row r="13" spans="1:18" x14ac:dyDescent="0.25">
      <c r="A13" t="s">
        <v>178</v>
      </c>
      <c r="B13">
        <v>513.20000000000005</v>
      </c>
      <c r="C13" s="1">
        <f t="shared" si="2"/>
        <v>5.1320000000000003E-3</v>
      </c>
    </row>
    <row r="14" spans="1:18" x14ac:dyDescent="0.25">
      <c r="C14" s="1"/>
    </row>
    <row r="15" spans="1:18" x14ac:dyDescent="0.25">
      <c r="A15" s="272" t="s">
        <v>612</v>
      </c>
      <c r="C15" s="1"/>
    </row>
    <row r="16" spans="1:18" x14ac:dyDescent="0.25">
      <c r="A16" t="s">
        <v>614</v>
      </c>
      <c r="B16" t="s">
        <v>588</v>
      </c>
      <c r="C16" s="1" t="s">
        <v>589</v>
      </c>
      <c r="D16" t="s">
        <v>619</v>
      </c>
    </row>
    <row r="17" spans="1:4" x14ac:dyDescent="0.25">
      <c r="A17" t="s">
        <v>613</v>
      </c>
      <c r="B17">
        <v>221.2</v>
      </c>
      <c r="C17" s="1">
        <f>B17/100000</f>
        <v>2.212E-3</v>
      </c>
      <c r="D17" s="173">
        <f t="shared" ref="D17:D20" si="3">B17/$B$21</f>
        <v>5.5162094763092266</v>
      </c>
    </row>
    <row r="18" spans="1:4" x14ac:dyDescent="0.25">
      <c r="A18" t="s">
        <v>615</v>
      </c>
      <c r="B18">
        <v>178.1</v>
      </c>
      <c r="C18" s="1">
        <f t="shared" ref="C18:C21" si="4">B18/100000</f>
        <v>1.781E-3</v>
      </c>
      <c r="D18" s="173">
        <f t="shared" si="3"/>
        <v>4.4413965087281788</v>
      </c>
    </row>
    <row r="19" spans="1:4" x14ac:dyDescent="0.25">
      <c r="A19" t="s">
        <v>616</v>
      </c>
      <c r="B19">
        <v>160.69999999999999</v>
      </c>
      <c r="C19" s="1">
        <f t="shared" si="4"/>
        <v>1.6069999999999999E-3</v>
      </c>
      <c r="D19" s="173">
        <f t="shared" si="3"/>
        <v>4.0074812967581046</v>
      </c>
    </row>
    <row r="20" spans="1:4" x14ac:dyDescent="0.25">
      <c r="A20" t="s">
        <v>617</v>
      </c>
      <c r="B20">
        <v>48.4</v>
      </c>
      <c r="C20" s="1">
        <f t="shared" si="4"/>
        <v>4.84E-4</v>
      </c>
      <c r="D20" s="173">
        <f t="shared" si="3"/>
        <v>1.2069825436408976</v>
      </c>
    </row>
    <row r="21" spans="1:4" x14ac:dyDescent="0.25">
      <c r="A21" t="s">
        <v>618</v>
      </c>
      <c r="B21">
        <v>40.1</v>
      </c>
      <c r="C21" s="1">
        <f t="shared" si="4"/>
        <v>4.0099999999999999E-4</v>
      </c>
      <c r="D21">
        <f>B21/$B$21</f>
        <v>1</v>
      </c>
    </row>
    <row r="22" spans="1:4" x14ac:dyDescent="0.25">
      <c r="C22" s="1"/>
    </row>
    <row r="23" spans="1:4" x14ac:dyDescent="0.25">
      <c r="A23" t="s">
        <v>620</v>
      </c>
      <c r="C23" s="1"/>
    </row>
    <row r="24" spans="1:4" x14ac:dyDescent="0.25">
      <c r="A24" t="s">
        <v>621</v>
      </c>
      <c r="C24" s="1"/>
    </row>
    <row r="25" spans="1:4" x14ac:dyDescent="0.25">
      <c r="A25" t="s">
        <v>622</v>
      </c>
      <c r="C25" s="1"/>
    </row>
    <row r="26" spans="1:4" x14ac:dyDescent="0.25">
      <c r="A26" t="s">
        <v>623</v>
      </c>
      <c r="C26" s="1"/>
    </row>
    <row r="27" spans="1:4" x14ac:dyDescent="0.25">
      <c r="A27" t="s">
        <v>624</v>
      </c>
      <c r="C27" s="1"/>
    </row>
    <row r="28" spans="1:4" x14ac:dyDescent="0.25">
      <c r="A28" t="s">
        <v>625</v>
      </c>
      <c r="C28" s="1"/>
    </row>
    <row r="29" spans="1:4" x14ac:dyDescent="0.25">
      <c r="A29" t="s">
        <v>626</v>
      </c>
      <c r="C29" s="1"/>
    </row>
    <row r="30" spans="1:4" x14ac:dyDescent="0.25">
      <c r="A30" t="s">
        <v>627</v>
      </c>
      <c r="C30" s="1"/>
    </row>
    <row r="31" spans="1:4" x14ac:dyDescent="0.25">
      <c r="C31" s="1"/>
    </row>
    <row r="32" spans="1:4" x14ac:dyDescent="0.25">
      <c r="A32" s="272" t="s">
        <v>609</v>
      </c>
    </row>
    <row r="33" spans="1:1" x14ac:dyDescent="0.25">
      <c r="A33" s="273" t="s">
        <v>590</v>
      </c>
    </row>
    <row r="34" spans="1:1" x14ac:dyDescent="0.25">
      <c r="A34" t="s">
        <v>591</v>
      </c>
    </row>
    <row r="35" spans="1:1" x14ac:dyDescent="0.25">
      <c r="A35" t="s">
        <v>592</v>
      </c>
    </row>
    <row r="36" spans="1:1" x14ac:dyDescent="0.25">
      <c r="A36" t="s">
        <v>593</v>
      </c>
    </row>
    <row r="37" spans="1:1" x14ac:dyDescent="0.25">
      <c r="A37" t="s">
        <v>594</v>
      </c>
    </row>
    <row r="38" spans="1:1" x14ac:dyDescent="0.25">
      <c r="A38" t="s">
        <v>595</v>
      </c>
    </row>
    <row r="39" spans="1:1" x14ac:dyDescent="0.25">
      <c r="A39" t="s">
        <v>596</v>
      </c>
    </row>
    <row r="40" spans="1:1" x14ac:dyDescent="0.25">
      <c r="A40" t="s">
        <v>597</v>
      </c>
    </row>
    <row r="42" spans="1:1" x14ac:dyDescent="0.25">
      <c r="A42" s="273" t="s">
        <v>598</v>
      </c>
    </row>
    <row r="43" spans="1:1" x14ac:dyDescent="0.25">
      <c r="A43" t="s">
        <v>599</v>
      </c>
    </row>
    <row r="44" spans="1:1" x14ac:dyDescent="0.25">
      <c r="A44" t="s">
        <v>600</v>
      </c>
    </row>
    <row r="45" spans="1:1" x14ac:dyDescent="0.25">
      <c r="A45" t="s">
        <v>601</v>
      </c>
    </row>
    <row r="46" spans="1:1" x14ac:dyDescent="0.25">
      <c r="A46" t="s">
        <v>7</v>
      </c>
    </row>
    <row r="47" spans="1:1" x14ac:dyDescent="0.25">
      <c r="A47" t="s">
        <v>602</v>
      </c>
    </row>
    <row r="48" spans="1:1" x14ac:dyDescent="0.25">
      <c r="A48" t="s">
        <v>603</v>
      </c>
    </row>
    <row r="49" spans="1:1" x14ac:dyDescent="0.25">
      <c r="A49" t="s">
        <v>604</v>
      </c>
    </row>
    <row r="50" spans="1:1" x14ac:dyDescent="0.25">
      <c r="A50" t="s">
        <v>605</v>
      </c>
    </row>
    <row r="51" spans="1:1" x14ac:dyDescent="0.25">
      <c r="A51" t="s">
        <v>606</v>
      </c>
    </row>
    <row r="52" spans="1:1" x14ac:dyDescent="0.25">
      <c r="A52" t="s">
        <v>9</v>
      </c>
    </row>
    <row r="53" spans="1:1" x14ac:dyDescent="0.25">
      <c r="A53" t="s">
        <v>607</v>
      </c>
    </row>
    <row r="54" spans="1:1" x14ac:dyDescent="0.25">
      <c r="A54" t="s">
        <v>608</v>
      </c>
    </row>
  </sheetData>
  <hyperlinks>
    <hyperlink ref="A2" r:id="rId1" xr:uid="{EBE3DF82-0478-49E9-93D2-A26F4A378737}"/>
    <hyperlink ref="A32" r:id="rId2" xr:uid="{0EC8798D-05B6-4280-9FE9-1A956B50AD58}"/>
    <hyperlink ref="A15" r:id="rId3" xr:uid="{360A7729-3D96-4C6A-80B8-B641B2F4A0E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062E7-8606-4A3D-9E4F-B90089708D67}">
  <dimension ref="A1:AE68"/>
  <sheetViews>
    <sheetView workbookViewId="0">
      <selection activeCell="S18" sqref="S18"/>
    </sheetView>
  </sheetViews>
  <sheetFormatPr defaultRowHeight="15" x14ac:dyDescent="0.25"/>
  <cols>
    <col min="1" max="1" width="57.85546875" bestFit="1" customWidth="1"/>
    <col min="2" max="2" width="12.85546875" bestFit="1" customWidth="1"/>
    <col min="3" max="3" width="11.7109375" customWidth="1"/>
    <col min="4" max="4" width="12" customWidth="1"/>
    <col min="5" max="5" width="21" customWidth="1"/>
    <col min="7" max="7" width="21" customWidth="1"/>
    <col min="8" max="8" width="12.28515625" bestFit="1" customWidth="1"/>
    <col min="11" max="11" width="9.7109375" bestFit="1" customWidth="1"/>
    <col min="12" max="12" width="10.7109375" bestFit="1" customWidth="1"/>
    <col min="14" max="14" width="19.42578125" bestFit="1" customWidth="1"/>
    <col min="15" max="16" width="10.7109375" bestFit="1" customWidth="1"/>
    <col min="17" max="17" width="14.42578125" bestFit="1" customWidth="1"/>
    <col min="18" max="18" width="16" bestFit="1" customWidth="1"/>
    <col min="19" max="19" width="19" bestFit="1" customWidth="1"/>
    <col min="20" max="20" width="14.85546875" bestFit="1" customWidth="1"/>
  </cols>
  <sheetData>
    <row r="1" spans="1:20" x14ac:dyDescent="0.25">
      <c r="A1" s="272" t="s">
        <v>444</v>
      </c>
      <c r="O1" s="273" t="s">
        <v>441</v>
      </c>
    </row>
    <row r="2" spans="1:20" s="296" customFormat="1" ht="45" x14ac:dyDescent="0.25">
      <c r="A2" s="295" t="s">
        <v>430</v>
      </c>
      <c r="B2" s="295" t="s">
        <v>431</v>
      </c>
      <c r="C2" s="295" t="s">
        <v>432</v>
      </c>
      <c r="D2" s="295" t="s">
        <v>454</v>
      </c>
      <c r="E2" s="295" t="s">
        <v>442</v>
      </c>
      <c r="F2" s="295" t="s">
        <v>486</v>
      </c>
      <c r="G2" s="295" t="s">
        <v>496</v>
      </c>
      <c r="H2" s="295" t="s">
        <v>498</v>
      </c>
      <c r="O2" s="297" t="s">
        <v>487</v>
      </c>
      <c r="P2" s="298" t="s">
        <v>488</v>
      </c>
      <c r="Q2" s="298" t="s">
        <v>96</v>
      </c>
      <c r="R2" s="298" t="s">
        <v>489</v>
      </c>
      <c r="S2" s="298" t="s">
        <v>490</v>
      </c>
      <c r="T2" s="299" t="s">
        <v>491</v>
      </c>
    </row>
    <row r="3" spans="1:20" s="296" customFormat="1" x14ac:dyDescent="0.25">
      <c r="A3" s="311" t="s">
        <v>551</v>
      </c>
      <c r="B3" s="289">
        <v>10000000</v>
      </c>
      <c r="C3" s="320">
        <v>0.9</v>
      </c>
      <c r="D3" s="250">
        <v>700</v>
      </c>
      <c r="E3" s="311"/>
      <c r="F3" s="311"/>
      <c r="G3" s="311"/>
      <c r="H3" s="311"/>
      <c r="I3" s="312" t="s">
        <v>550</v>
      </c>
      <c r="O3" s="309"/>
      <c r="P3" s="308"/>
      <c r="Q3" s="308"/>
      <c r="R3" s="298"/>
      <c r="S3" s="308"/>
      <c r="T3" s="310"/>
    </row>
    <row r="4" spans="1:20" x14ac:dyDescent="0.25">
      <c r="A4" t="s">
        <v>439</v>
      </c>
      <c r="B4" s="289">
        <v>755000</v>
      </c>
      <c r="C4" s="1">
        <v>2.385E-2</v>
      </c>
      <c r="D4" s="250">
        <v>520</v>
      </c>
      <c r="F4" s="2"/>
      <c r="G4" s="245">
        <v>43918</v>
      </c>
      <c r="H4" s="250">
        <v>644</v>
      </c>
      <c r="O4" s="300">
        <v>43890</v>
      </c>
      <c r="P4" s="239">
        <f ca="1">NOW()</f>
        <v>44150.838846527775</v>
      </c>
      <c r="Q4" s="135">
        <f ca="1">P4-O4</f>
        <v>260.83884652777488</v>
      </c>
      <c r="R4" s="293">
        <v>251256</v>
      </c>
      <c r="S4" s="10">
        <f ca="1">R4/Q4</f>
        <v>963.26142882726458</v>
      </c>
      <c r="T4" s="83">
        <f ca="1">("31/12/2020"-O4)*S4</f>
        <v>294757.99722114298</v>
      </c>
    </row>
    <row r="5" spans="1:20" x14ac:dyDescent="0.25">
      <c r="A5" s="39" t="s">
        <v>425</v>
      </c>
      <c r="B5" s="290">
        <v>405399</v>
      </c>
      <c r="C5" s="44">
        <v>3.7000000000000002E-3</v>
      </c>
      <c r="D5" s="275">
        <v>297</v>
      </c>
      <c r="E5" s="39"/>
      <c r="F5" s="11"/>
      <c r="G5" s="276">
        <v>43915</v>
      </c>
      <c r="H5" s="275">
        <v>303</v>
      </c>
      <c r="O5" s="41"/>
      <c r="P5" s="16"/>
      <c r="Q5" s="16"/>
      <c r="R5" s="14">
        <f>R4/Projections!B348</f>
        <v>7.600793186221793E-4</v>
      </c>
      <c r="S5" s="16" t="s">
        <v>532</v>
      </c>
      <c r="T5" s="17"/>
    </row>
    <row r="6" spans="1:20" x14ac:dyDescent="0.25">
      <c r="A6" s="91" t="s">
        <v>426</v>
      </c>
      <c r="B6" s="287">
        <v>116516</v>
      </c>
      <c r="C6" s="317">
        <v>1.1000000000000001E-3</v>
      </c>
      <c r="D6" s="306">
        <v>279</v>
      </c>
      <c r="E6" s="278">
        <v>43994</v>
      </c>
      <c r="F6" s="277">
        <v>116825</v>
      </c>
      <c r="G6" s="245">
        <v>43915</v>
      </c>
      <c r="H6" s="250">
        <v>303</v>
      </c>
      <c r="O6" s="41"/>
      <c r="P6" s="301" t="s">
        <v>95</v>
      </c>
      <c r="Q6" s="301"/>
      <c r="R6" s="301" t="s">
        <v>492</v>
      </c>
      <c r="S6" s="16"/>
      <c r="T6" s="17"/>
    </row>
    <row r="7" spans="1:20" x14ac:dyDescent="0.25">
      <c r="A7" s="91" t="s">
        <v>428</v>
      </c>
      <c r="B7" s="287">
        <v>58209</v>
      </c>
      <c r="C7" s="280">
        <v>3.2000000000000003E-4</v>
      </c>
      <c r="D7" s="250">
        <v>11</v>
      </c>
      <c r="E7" s="278">
        <v>43949</v>
      </c>
      <c r="F7" s="277">
        <v>59265</v>
      </c>
      <c r="G7" s="245">
        <v>43905</v>
      </c>
      <c r="H7" s="250">
        <v>15</v>
      </c>
      <c r="O7" s="302" t="s">
        <v>480</v>
      </c>
      <c r="P7" s="239">
        <v>43942</v>
      </c>
      <c r="Q7" s="16"/>
      <c r="R7" s="293">
        <v>2742</v>
      </c>
      <c r="S7" s="16"/>
      <c r="T7" s="17"/>
    </row>
    <row r="8" spans="1:20" x14ac:dyDescent="0.25">
      <c r="A8" s="91" t="s">
        <v>546</v>
      </c>
      <c r="B8" s="287">
        <v>39457</v>
      </c>
      <c r="C8" s="303">
        <f>B8/Projections!B348</f>
        <v>1.19362123391582E-4</v>
      </c>
      <c r="D8" s="306">
        <f>B8/365</f>
        <v>108.1013698630137</v>
      </c>
      <c r="E8" s="278">
        <v>43940</v>
      </c>
      <c r="F8" s="277">
        <v>40901</v>
      </c>
      <c r="G8" s="245">
        <v>43912</v>
      </c>
      <c r="H8" s="250">
        <v>135</v>
      </c>
      <c r="I8" t="s">
        <v>536</v>
      </c>
      <c r="O8" s="37"/>
      <c r="P8" s="39"/>
      <c r="Q8" s="39"/>
      <c r="R8" s="321">
        <f>R7/Projections!B348</f>
        <v>8.2948765070765095E-6</v>
      </c>
      <c r="S8" s="39"/>
      <c r="T8" s="63"/>
    </row>
    <row r="9" spans="1:20" x14ac:dyDescent="0.25">
      <c r="A9" s="91" t="s">
        <v>427</v>
      </c>
      <c r="B9" s="287">
        <v>36516</v>
      </c>
      <c r="C9" s="280">
        <v>2.4000000000000001E-4</v>
      </c>
      <c r="D9" s="250">
        <v>30</v>
      </c>
      <c r="E9" s="278">
        <v>43938</v>
      </c>
      <c r="F9" s="277">
        <v>37448</v>
      </c>
      <c r="G9" s="245">
        <v>43908</v>
      </c>
      <c r="H9" s="250">
        <v>50</v>
      </c>
    </row>
    <row r="10" spans="1:20" x14ac:dyDescent="0.25">
      <c r="A10" s="91" t="s">
        <v>437</v>
      </c>
      <c r="B10" s="287">
        <v>25000</v>
      </c>
      <c r="C10" s="319">
        <v>0.01</v>
      </c>
      <c r="D10" s="250">
        <v>11</v>
      </c>
      <c r="E10" s="278">
        <v>43933</v>
      </c>
      <c r="F10" s="277">
        <v>25789</v>
      </c>
      <c r="G10" s="245">
        <v>43905</v>
      </c>
      <c r="H10" s="250">
        <v>15</v>
      </c>
    </row>
    <row r="11" spans="1:20" x14ac:dyDescent="0.25">
      <c r="A11" s="91" t="s">
        <v>438</v>
      </c>
      <c r="B11" s="287">
        <v>15000</v>
      </c>
      <c r="C11" s="317">
        <v>2.0699999999999998E-3</v>
      </c>
      <c r="D11" s="250">
        <v>15</v>
      </c>
      <c r="E11" s="278">
        <v>375933</v>
      </c>
      <c r="F11" s="277">
        <v>15526</v>
      </c>
      <c r="G11" s="245">
        <v>43905</v>
      </c>
      <c r="H11" s="250">
        <v>15</v>
      </c>
    </row>
    <row r="12" spans="1:20" x14ac:dyDescent="0.25">
      <c r="A12" s="91" t="s">
        <v>440</v>
      </c>
      <c r="B12" s="287">
        <v>13282</v>
      </c>
      <c r="C12" s="280">
        <v>5.6999999999999998E-4</v>
      </c>
      <c r="D12" s="250">
        <v>29</v>
      </c>
      <c r="E12" s="278">
        <v>43927</v>
      </c>
      <c r="F12" s="277">
        <v>13298</v>
      </c>
      <c r="G12" s="245">
        <v>43908</v>
      </c>
      <c r="H12" s="250">
        <v>50</v>
      </c>
    </row>
    <row r="13" spans="1:20" x14ac:dyDescent="0.25">
      <c r="A13" s="91" t="s">
        <v>555</v>
      </c>
      <c r="B13" s="287">
        <v>6000</v>
      </c>
      <c r="C13" s="303">
        <f>B13/Projections!B348</f>
        <v>1.8150714457497833E-5</v>
      </c>
      <c r="D13" s="306">
        <f>B13/365</f>
        <v>16.438356164383563</v>
      </c>
      <c r="E13" s="278">
        <v>43922</v>
      </c>
      <c r="F13" s="277">
        <v>6407</v>
      </c>
      <c r="G13" s="245">
        <v>43906</v>
      </c>
      <c r="H13" s="250">
        <v>22</v>
      </c>
    </row>
    <row r="14" spans="1:20" x14ac:dyDescent="0.25">
      <c r="A14" s="91" t="s">
        <v>436</v>
      </c>
      <c r="B14" s="287">
        <v>4576</v>
      </c>
      <c r="C14" s="303">
        <v>2.0000000000000002E-5</v>
      </c>
      <c r="D14" s="250">
        <v>2</v>
      </c>
      <c r="E14" s="278">
        <v>43921</v>
      </c>
      <c r="F14" s="277">
        <v>5151</v>
      </c>
      <c r="G14" s="245">
        <v>43892</v>
      </c>
      <c r="H14" s="250">
        <v>5</v>
      </c>
    </row>
    <row r="15" spans="1:20" x14ac:dyDescent="0.25">
      <c r="A15" s="91" t="s">
        <v>434</v>
      </c>
      <c r="B15" s="287">
        <v>4196</v>
      </c>
      <c r="C15" s="303">
        <v>6.0000000000000002E-5</v>
      </c>
      <c r="D15" s="250">
        <v>3.8</v>
      </c>
      <c r="E15" s="278">
        <v>43921</v>
      </c>
      <c r="F15" s="277">
        <v>5151</v>
      </c>
      <c r="G15" s="245">
        <v>43892</v>
      </c>
      <c r="H15" s="250">
        <v>5</v>
      </c>
    </row>
    <row r="16" spans="1:20" x14ac:dyDescent="0.25">
      <c r="A16" s="91" t="s">
        <v>433</v>
      </c>
      <c r="B16" s="287">
        <v>2446</v>
      </c>
      <c r="C16" s="303">
        <v>4.0000000000000003E-5</v>
      </c>
      <c r="D16" s="250">
        <v>8.9</v>
      </c>
      <c r="E16" s="278">
        <v>43918</v>
      </c>
      <c r="F16" s="277">
        <v>2754</v>
      </c>
      <c r="G16" s="245">
        <v>43904</v>
      </c>
      <c r="H16" s="250">
        <v>10</v>
      </c>
    </row>
    <row r="17" spans="1:19" x14ac:dyDescent="0.25">
      <c r="A17" s="91" t="s">
        <v>435</v>
      </c>
      <c r="B17" s="287">
        <v>2216</v>
      </c>
      <c r="C17" s="303">
        <v>4.0000000000000003E-5</v>
      </c>
      <c r="D17" s="250">
        <v>0.36</v>
      </c>
      <c r="E17" s="278">
        <v>43918</v>
      </c>
      <c r="F17" s="277">
        <v>2754</v>
      </c>
      <c r="G17" s="245">
        <v>43890</v>
      </c>
      <c r="H17" s="250">
        <v>1</v>
      </c>
    </row>
    <row r="18" spans="1:19" x14ac:dyDescent="0.25">
      <c r="A18" s="91" t="s">
        <v>548</v>
      </c>
      <c r="B18" s="287">
        <v>1146</v>
      </c>
      <c r="C18" s="305">
        <f>1000/322762018</f>
        <v>3.0982579864772068E-6</v>
      </c>
      <c r="D18" s="304">
        <f>1000/365</f>
        <v>2.7397260273972601</v>
      </c>
      <c r="E18" s="278">
        <v>43915</v>
      </c>
      <c r="F18" s="277">
        <v>1260</v>
      </c>
      <c r="G18" s="245">
        <v>43892</v>
      </c>
      <c r="H18" s="250">
        <v>5</v>
      </c>
      <c r="I18" t="s">
        <v>556</v>
      </c>
    </row>
    <row r="19" spans="1:19" x14ac:dyDescent="0.25">
      <c r="A19" s="91" t="s">
        <v>547</v>
      </c>
      <c r="B19" s="287">
        <v>417</v>
      </c>
      <c r="C19" s="305">
        <f>1000/Projections!B348</f>
        <v>3.025119076249639E-6</v>
      </c>
      <c r="D19" s="304">
        <f>B19/365</f>
        <v>1.1424657534246576</v>
      </c>
      <c r="E19" s="278">
        <v>43912</v>
      </c>
      <c r="F19" s="277">
        <v>509</v>
      </c>
      <c r="G19" s="245">
        <v>43892</v>
      </c>
      <c r="H19" s="250">
        <v>5</v>
      </c>
      <c r="I19" t="s">
        <v>536</v>
      </c>
    </row>
    <row r="20" spans="1:19" x14ac:dyDescent="0.25">
      <c r="A20" s="91" t="s">
        <v>429</v>
      </c>
      <c r="B20" s="287">
        <v>294</v>
      </c>
      <c r="C20" s="305">
        <f>B20/248709900</f>
        <v>1.1821001094045713E-6</v>
      </c>
      <c r="D20" s="250">
        <f>B20/210</f>
        <v>1.4</v>
      </c>
      <c r="E20" s="278">
        <v>43910</v>
      </c>
      <c r="F20" s="277">
        <v>309</v>
      </c>
      <c r="G20" s="245">
        <v>43892</v>
      </c>
      <c r="H20" s="250">
        <v>5</v>
      </c>
      <c r="K20" s="208"/>
      <c r="L20" s="208"/>
    </row>
    <row r="21" spans="1:19" x14ac:dyDescent="0.25">
      <c r="B21" s="2"/>
    </row>
    <row r="22" spans="1:19" x14ac:dyDescent="0.25">
      <c r="A22" s="272" t="s">
        <v>443</v>
      </c>
      <c r="B22" s="2"/>
      <c r="N22" s="296"/>
      <c r="O22" s="296"/>
      <c r="P22" s="296"/>
      <c r="Q22" s="296"/>
      <c r="R22" s="296"/>
      <c r="S22" s="296"/>
    </row>
    <row r="23" spans="1:19" s="296" customFormat="1" ht="45" x14ac:dyDescent="0.25">
      <c r="A23" s="295" t="s">
        <v>452</v>
      </c>
      <c r="B23" s="295" t="s">
        <v>431</v>
      </c>
      <c r="C23" s="295" t="s">
        <v>432</v>
      </c>
      <c r="D23" s="295" t="s">
        <v>454</v>
      </c>
      <c r="E23" s="295" t="s">
        <v>442</v>
      </c>
      <c r="F23" s="295" t="s">
        <v>486</v>
      </c>
      <c r="G23" s="295" t="s">
        <v>496</v>
      </c>
      <c r="H23" s="295" t="s">
        <v>498</v>
      </c>
      <c r="N23"/>
      <c r="O23"/>
      <c r="P23"/>
      <c r="Q23"/>
      <c r="R23"/>
      <c r="S23"/>
    </row>
    <row r="24" spans="1:19" x14ac:dyDescent="0.25">
      <c r="A24" t="s">
        <v>445</v>
      </c>
      <c r="B24" s="289">
        <v>647457</v>
      </c>
      <c r="C24" s="1">
        <f>B24/Projections!$B$348</f>
        <v>1.9586345217513625E-3</v>
      </c>
      <c r="D24" s="274">
        <f t="shared" ref="D24:D34" si="0">B24/365.25</f>
        <v>1772.6406570841889</v>
      </c>
      <c r="E24" s="69"/>
      <c r="F24" s="69"/>
      <c r="G24" s="245">
        <v>43928</v>
      </c>
      <c r="H24" s="274">
        <v>2228</v>
      </c>
    </row>
    <row r="25" spans="1:19" x14ac:dyDescent="0.25">
      <c r="A25" s="39" t="s">
        <v>8</v>
      </c>
      <c r="B25" s="290">
        <v>599108</v>
      </c>
      <c r="C25" s="44">
        <f>B25/Projections!$B$348</f>
        <v>1.8123730395337686E-3</v>
      </c>
      <c r="D25" s="32">
        <f t="shared" si="0"/>
        <v>1640.2683093771388</v>
      </c>
      <c r="E25" s="285"/>
      <c r="F25" s="284"/>
      <c r="G25" s="276">
        <v>43928</v>
      </c>
      <c r="H25" s="32">
        <v>2228</v>
      </c>
    </row>
    <row r="26" spans="1:19" x14ac:dyDescent="0.25">
      <c r="A26" s="91" t="s">
        <v>446</v>
      </c>
      <c r="B26" s="287">
        <v>169936</v>
      </c>
      <c r="C26" s="280">
        <f>B26/Projections!$B$348</f>
        <v>5.1407663534155858E-4</v>
      </c>
      <c r="D26" s="274">
        <f t="shared" si="0"/>
        <v>465.25941136208075</v>
      </c>
      <c r="E26" s="278">
        <v>44056</v>
      </c>
      <c r="F26" s="277">
        <v>170415</v>
      </c>
      <c r="G26" s="245">
        <v>412811</v>
      </c>
      <c r="H26" s="274">
        <v>496</v>
      </c>
    </row>
    <row r="27" spans="1:19" x14ac:dyDescent="0.25">
      <c r="A27" s="307" t="s">
        <v>507</v>
      </c>
      <c r="B27" s="287">
        <v>38000</v>
      </c>
      <c r="C27" s="280">
        <f>B27/Projections!$B$348</f>
        <v>1.1495452489748627E-4</v>
      </c>
      <c r="D27" s="274">
        <f t="shared" si="0"/>
        <v>104.03832991101984</v>
      </c>
      <c r="E27" s="278">
        <v>43939</v>
      </c>
      <c r="F27" s="277">
        <v>39331</v>
      </c>
      <c r="G27" s="245">
        <v>43912</v>
      </c>
      <c r="H27" s="274">
        <v>135</v>
      </c>
    </row>
    <row r="28" spans="1:19" x14ac:dyDescent="0.25">
      <c r="A28" s="91" t="s">
        <v>447</v>
      </c>
      <c r="B28" s="287">
        <v>160201</v>
      </c>
      <c r="C28" s="280">
        <f>B28/Projections!$B$348</f>
        <v>4.8462710113426839E-4</v>
      </c>
      <c r="D28" s="274">
        <f t="shared" si="0"/>
        <v>438.60643394934976</v>
      </c>
      <c r="E28" s="278">
        <v>44047</v>
      </c>
      <c r="F28" s="277">
        <v>160338</v>
      </c>
      <c r="G28" s="245">
        <v>43917</v>
      </c>
      <c r="H28" s="274">
        <v>496</v>
      </c>
    </row>
    <row r="29" spans="1:19" x14ac:dyDescent="0.25">
      <c r="A29" s="99" t="s">
        <v>448</v>
      </c>
      <c r="B29" s="340">
        <v>146383</v>
      </c>
      <c r="C29" s="341">
        <f>B29/Projections!$B$348</f>
        <v>4.4282600573865088E-4</v>
      </c>
      <c r="D29" s="30">
        <f t="shared" si="0"/>
        <v>400.77481177275837</v>
      </c>
      <c r="E29" s="342">
        <v>44034</v>
      </c>
      <c r="F29" s="279">
        <v>146759</v>
      </c>
      <c r="G29" s="294">
        <v>43917</v>
      </c>
      <c r="H29" s="30">
        <v>496</v>
      </c>
    </row>
    <row r="30" spans="1:19" x14ac:dyDescent="0.25">
      <c r="A30" s="91" t="s">
        <v>449</v>
      </c>
      <c r="B30" s="287">
        <v>121404</v>
      </c>
      <c r="C30" s="280">
        <f>B30/Projections!$B$348</f>
        <v>3.6726155633301115E-4</v>
      </c>
      <c r="D30" s="274">
        <f t="shared" si="0"/>
        <v>332.38603696098562</v>
      </c>
      <c r="E30" s="278">
        <v>44001</v>
      </c>
      <c r="F30" s="277">
        <v>121407</v>
      </c>
      <c r="G30" s="245">
        <v>43916</v>
      </c>
      <c r="H30" s="274">
        <v>354</v>
      </c>
    </row>
    <row r="31" spans="1:19" x14ac:dyDescent="0.25">
      <c r="A31" s="91" t="s">
        <v>4</v>
      </c>
      <c r="B31" s="287">
        <v>83564</v>
      </c>
      <c r="C31" s="280">
        <f>B31/Projections!$B$348</f>
        <v>2.5279105048772483E-4</v>
      </c>
      <c r="D31" s="274">
        <f t="shared" si="0"/>
        <v>228.78576317590691</v>
      </c>
      <c r="E31" s="278">
        <v>43963</v>
      </c>
      <c r="F31" s="277">
        <v>83718</v>
      </c>
      <c r="G31" s="245">
        <v>43914</v>
      </c>
      <c r="H31" s="274">
        <v>268</v>
      </c>
    </row>
    <row r="32" spans="1:19" x14ac:dyDescent="0.25">
      <c r="A32" s="91" t="s">
        <v>450</v>
      </c>
      <c r="B32" s="287">
        <v>55672</v>
      </c>
      <c r="C32" s="280">
        <f>B32/Projections!$B$348</f>
        <v>1.6841442921296988E-4</v>
      </c>
      <c r="D32" s="274">
        <f t="shared" si="0"/>
        <v>152.42162902121834</v>
      </c>
      <c r="E32" s="278">
        <v>43948</v>
      </c>
      <c r="F32" s="277">
        <v>56795</v>
      </c>
      <c r="G32" s="245">
        <v>43913</v>
      </c>
      <c r="H32" s="274">
        <v>180</v>
      </c>
    </row>
    <row r="33" spans="1:31" x14ac:dyDescent="0.25">
      <c r="A33" s="91" t="s">
        <v>453</v>
      </c>
      <c r="B33" s="287">
        <v>50633</v>
      </c>
      <c r="C33" s="280">
        <f>B33/Projections!$B$348</f>
        <v>1.5317085418774796E-4</v>
      </c>
      <c r="D33" s="274">
        <f t="shared" si="0"/>
        <v>138.62559890485969</v>
      </c>
      <c r="E33" s="278">
        <v>43945</v>
      </c>
      <c r="F33" s="277">
        <v>52191</v>
      </c>
      <c r="G33" s="245">
        <v>43913</v>
      </c>
      <c r="H33" s="274">
        <v>180</v>
      </c>
    </row>
    <row r="34" spans="1:31" x14ac:dyDescent="0.25">
      <c r="A34" s="91" t="s">
        <v>451</v>
      </c>
      <c r="B34" s="287">
        <v>47173</v>
      </c>
      <c r="C34" s="280">
        <f>B34/Projections!$B$348</f>
        <v>1.4270394218392421E-4</v>
      </c>
      <c r="D34" s="274">
        <f t="shared" si="0"/>
        <v>129.15263518138261</v>
      </c>
      <c r="E34" s="278">
        <v>43943</v>
      </c>
      <c r="F34" s="277">
        <v>47894</v>
      </c>
      <c r="G34" s="245">
        <v>43912</v>
      </c>
      <c r="H34" s="274">
        <v>135</v>
      </c>
    </row>
    <row r="35" spans="1:31" x14ac:dyDescent="0.25">
      <c r="B35" s="2"/>
    </row>
    <row r="36" spans="1:31" x14ac:dyDescent="0.25">
      <c r="A36" s="272" t="s">
        <v>455</v>
      </c>
      <c r="B36" s="2"/>
      <c r="N36" s="296"/>
      <c r="O36" s="296"/>
      <c r="P36" s="296"/>
      <c r="Q36" s="296"/>
      <c r="R36" s="296"/>
      <c r="S36" s="296"/>
    </row>
    <row r="37" spans="1:31" s="296" customFormat="1" ht="45" x14ac:dyDescent="0.25">
      <c r="A37" s="295" t="s">
        <v>461</v>
      </c>
      <c r="B37" s="295" t="s">
        <v>431</v>
      </c>
      <c r="C37" s="295" t="s">
        <v>432</v>
      </c>
      <c r="D37" s="295" t="s">
        <v>454</v>
      </c>
      <c r="E37" s="295" t="s">
        <v>442</v>
      </c>
      <c r="F37" s="295" t="s">
        <v>486</v>
      </c>
      <c r="G37" s="295" t="s">
        <v>496</v>
      </c>
      <c r="H37" s="295" t="s">
        <v>498</v>
      </c>
      <c r="N37"/>
      <c r="O37"/>
      <c r="P37"/>
      <c r="Q37"/>
      <c r="R37"/>
      <c r="S37"/>
    </row>
    <row r="38" spans="1:31" x14ac:dyDescent="0.25">
      <c r="A38" s="95" t="s">
        <v>493</v>
      </c>
      <c r="B38" s="314">
        <v>675000</v>
      </c>
      <c r="C38" s="316">
        <f>B38/106000000</f>
        <v>6.3679245283018871E-3</v>
      </c>
      <c r="D38" s="180">
        <f>B38/365/2</f>
        <v>924.65753424657532</v>
      </c>
      <c r="E38" s="95"/>
      <c r="F38" s="95"/>
      <c r="G38" s="315">
        <v>43928</v>
      </c>
      <c r="H38" s="180">
        <v>2228</v>
      </c>
      <c r="I38" t="s">
        <v>676</v>
      </c>
      <c r="N38" s="283"/>
      <c r="O38" s="283"/>
      <c r="P38" s="283"/>
      <c r="Q38" s="283"/>
      <c r="R38" s="283"/>
      <c r="S38" s="283"/>
    </row>
    <row r="39" spans="1:31" s="283" customFormat="1" x14ac:dyDescent="0.25">
      <c r="A39" s="291" t="s">
        <v>481</v>
      </c>
      <c r="B39" s="292">
        <v>116000</v>
      </c>
      <c r="C39" s="303">
        <f>B39/179323000</f>
        <v>6.4687742230500273E-4</v>
      </c>
      <c r="D39" s="274">
        <f t="shared" ref="D39:D47" si="1">B39/365</f>
        <v>317.8082191780822</v>
      </c>
      <c r="E39" s="278">
        <v>43992</v>
      </c>
      <c r="F39" s="277">
        <v>116825</v>
      </c>
      <c r="G39" s="245">
        <v>43916</v>
      </c>
      <c r="H39" s="274">
        <v>354</v>
      </c>
      <c r="I39" s="283" t="s">
        <v>500</v>
      </c>
      <c r="N39"/>
      <c r="O39"/>
      <c r="P39"/>
      <c r="Q39"/>
      <c r="R39"/>
      <c r="S39"/>
    </row>
    <row r="40" spans="1:31" x14ac:dyDescent="0.25">
      <c r="A40" s="291" t="s">
        <v>495</v>
      </c>
      <c r="B40" s="292">
        <v>100000</v>
      </c>
      <c r="C40" s="303">
        <f>B40/203200000</f>
        <v>4.921259842519685E-4</v>
      </c>
      <c r="D40" s="274">
        <f t="shared" si="1"/>
        <v>273.97260273972603</v>
      </c>
      <c r="E40" s="278">
        <v>43976</v>
      </c>
      <c r="F40" s="277">
        <v>100025</v>
      </c>
      <c r="G40" s="245">
        <v>43915</v>
      </c>
      <c r="H40" s="274">
        <v>303</v>
      </c>
      <c r="I40" t="s">
        <v>539</v>
      </c>
      <c r="Q40" s="267"/>
    </row>
    <row r="41" spans="1:31" x14ac:dyDescent="0.25">
      <c r="A41" s="291" t="s">
        <v>484</v>
      </c>
      <c r="B41" s="292">
        <v>61000</v>
      </c>
      <c r="C41" s="303">
        <f>B41/Projections!B348</f>
        <v>1.8453226365122797E-4</v>
      </c>
      <c r="D41" s="274">
        <f t="shared" si="1"/>
        <v>167.12328767123287</v>
      </c>
      <c r="E41" s="278">
        <v>43950</v>
      </c>
      <c r="F41" s="277">
        <v>61655</v>
      </c>
      <c r="G41" s="245">
        <v>43913</v>
      </c>
      <c r="H41" s="274">
        <v>180</v>
      </c>
      <c r="V41" s="69"/>
      <c r="W41" s="69"/>
      <c r="AE41" s="69"/>
    </row>
    <row r="42" spans="1:31" x14ac:dyDescent="0.25">
      <c r="A42" s="291" t="s">
        <v>483</v>
      </c>
      <c r="B42" s="292">
        <v>50000</v>
      </c>
      <c r="C42" s="303">
        <f>B42/Projections!B348</f>
        <v>1.5125595381248195E-4</v>
      </c>
      <c r="D42" s="274">
        <f>50000/365</f>
        <v>136.98630136986301</v>
      </c>
      <c r="E42" s="278">
        <v>43944</v>
      </c>
      <c r="F42" s="277">
        <v>50234</v>
      </c>
      <c r="G42" s="245">
        <v>43913</v>
      </c>
      <c r="H42" s="274">
        <v>180</v>
      </c>
      <c r="I42" t="s">
        <v>482</v>
      </c>
    </row>
    <row r="43" spans="1:31" x14ac:dyDescent="0.25">
      <c r="A43" s="91" t="s">
        <v>458</v>
      </c>
      <c r="B43" s="287">
        <v>15520</v>
      </c>
      <c r="C43" s="303">
        <f>B43/106100000</f>
        <v>1.4627709707822807E-4</v>
      </c>
      <c r="D43" s="274">
        <f>B43/(365*4)</f>
        <v>10.63013698630137</v>
      </c>
      <c r="E43" s="278">
        <v>43928</v>
      </c>
      <c r="F43" s="277">
        <v>15526</v>
      </c>
      <c r="G43" s="245">
        <v>43905</v>
      </c>
      <c r="H43" s="274">
        <v>15</v>
      </c>
    </row>
    <row r="44" spans="1:31" x14ac:dyDescent="0.25">
      <c r="A44" s="91" t="s">
        <v>494</v>
      </c>
      <c r="B44" s="287">
        <v>12469</v>
      </c>
      <c r="C44" s="303">
        <f>B44/308745000</f>
        <v>4.0386079126787482E-5</v>
      </c>
      <c r="D44" s="274">
        <f t="shared" si="1"/>
        <v>34.161643835616438</v>
      </c>
      <c r="E44" s="278">
        <v>43927</v>
      </c>
      <c r="F44" s="277">
        <v>13298</v>
      </c>
      <c r="G44" s="245">
        <v>43908</v>
      </c>
      <c r="H44" s="274">
        <v>50</v>
      </c>
      <c r="I44" t="s">
        <v>499</v>
      </c>
    </row>
    <row r="45" spans="1:31" x14ac:dyDescent="0.25">
      <c r="A45" s="91" t="s">
        <v>456</v>
      </c>
      <c r="B45" s="287">
        <v>10771</v>
      </c>
      <c r="C45" s="303">
        <f>B45/80000000</f>
        <v>1.3463750000000001E-4</v>
      </c>
      <c r="D45" s="274">
        <f t="shared" si="1"/>
        <v>29.509589041095889</v>
      </c>
      <c r="E45" s="278">
        <v>43926</v>
      </c>
      <c r="F45" s="277">
        <v>11793</v>
      </c>
      <c r="G45" s="245">
        <v>43908</v>
      </c>
      <c r="H45" s="274">
        <v>50</v>
      </c>
    </row>
    <row r="46" spans="1:31" x14ac:dyDescent="0.25">
      <c r="A46" s="91" t="s">
        <v>459</v>
      </c>
      <c r="B46" s="287">
        <v>10000</v>
      </c>
      <c r="C46" s="303">
        <f>B46/248710000</f>
        <v>4.0207470548027825E-5</v>
      </c>
      <c r="D46" s="274">
        <f>10000/(365*10)</f>
        <v>2.7397260273972601</v>
      </c>
      <c r="E46" s="278">
        <v>43925</v>
      </c>
      <c r="F46" s="277">
        <v>10384</v>
      </c>
      <c r="G46" s="245">
        <v>43892</v>
      </c>
      <c r="H46" s="274">
        <v>5</v>
      </c>
      <c r="I46" t="s">
        <v>460</v>
      </c>
    </row>
    <row r="47" spans="1:31" x14ac:dyDescent="0.25">
      <c r="A47" s="91" t="s">
        <v>457</v>
      </c>
      <c r="B47" s="287">
        <v>5000</v>
      </c>
      <c r="C47" s="317">
        <f>B47/3929200</f>
        <v>1.2725236689402422E-3</v>
      </c>
      <c r="D47" s="274">
        <f t="shared" si="1"/>
        <v>13.698630136986301</v>
      </c>
      <c r="E47" s="278">
        <v>43921</v>
      </c>
      <c r="F47" s="277">
        <v>5151</v>
      </c>
      <c r="G47" s="245">
        <v>43905</v>
      </c>
      <c r="H47" s="274">
        <v>15</v>
      </c>
    </row>
    <row r="48" spans="1:31" x14ac:dyDescent="0.25">
      <c r="A48" s="91" t="s">
        <v>485</v>
      </c>
      <c r="B48" s="287">
        <v>3145</v>
      </c>
      <c r="C48" s="303">
        <f>B48/151326000</f>
        <v>2.0782945429073657E-5</v>
      </c>
      <c r="D48" s="274">
        <f>B48/365</f>
        <v>8.6164383561643838</v>
      </c>
      <c r="E48" s="278">
        <v>43919</v>
      </c>
      <c r="F48" s="277">
        <v>3251</v>
      </c>
      <c r="G48" s="245">
        <v>43904</v>
      </c>
      <c r="H48" s="274">
        <v>10</v>
      </c>
    </row>
    <row r="50" spans="1:19" x14ac:dyDescent="0.25">
      <c r="A50" s="272" t="s">
        <v>462</v>
      </c>
      <c r="N50" s="296"/>
      <c r="O50" s="296"/>
      <c r="P50" s="296"/>
      <c r="Q50" s="296"/>
      <c r="R50" s="296"/>
      <c r="S50" s="296"/>
    </row>
    <row r="51" spans="1:19" s="296" customFormat="1" ht="45" x14ac:dyDescent="0.25">
      <c r="A51" s="295" t="s">
        <v>462</v>
      </c>
      <c r="B51" s="295" t="s">
        <v>431</v>
      </c>
      <c r="C51" s="295" t="s">
        <v>432</v>
      </c>
      <c r="D51" s="295" t="s">
        <v>454</v>
      </c>
      <c r="E51" s="295" t="s">
        <v>442</v>
      </c>
      <c r="F51" s="295" t="s">
        <v>486</v>
      </c>
      <c r="G51" s="295" t="s">
        <v>497</v>
      </c>
      <c r="H51" s="295" t="s">
        <v>498</v>
      </c>
      <c r="N51"/>
      <c r="O51"/>
      <c r="P51"/>
      <c r="Q51"/>
      <c r="R51"/>
      <c r="S51"/>
    </row>
    <row r="52" spans="1:19" x14ac:dyDescent="0.25">
      <c r="A52" s="91" t="s">
        <v>463</v>
      </c>
      <c r="B52" s="287">
        <v>12000</v>
      </c>
      <c r="C52" s="322">
        <f>B52/76212168</f>
        <v>1.5745517172533393E-4</v>
      </c>
      <c r="D52" s="91"/>
      <c r="E52" s="278">
        <v>43927</v>
      </c>
      <c r="F52" s="277">
        <v>13298</v>
      </c>
      <c r="G52" s="208"/>
    </row>
    <row r="53" spans="1:19" x14ac:dyDescent="0.25">
      <c r="A53" s="91" t="s">
        <v>464</v>
      </c>
      <c r="B53" s="287">
        <v>3389</v>
      </c>
      <c r="C53" s="322">
        <f>B53/76000000</f>
        <v>4.4592105263157893E-5</v>
      </c>
      <c r="D53" s="91"/>
      <c r="E53" s="278">
        <v>43920</v>
      </c>
      <c r="F53" s="277">
        <v>4066</v>
      </c>
    </row>
    <row r="54" spans="1:19" x14ac:dyDescent="0.25">
      <c r="A54" s="91" t="s">
        <v>465</v>
      </c>
      <c r="B54" s="287">
        <v>3000</v>
      </c>
      <c r="C54" s="322">
        <f>B54/80000000</f>
        <v>3.7499999999999997E-5</v>
      </c>
      <c r="D54" s="91"/>
      <c r="E54" s="278">
        <v>43919</v>
      </c>
      <c r="F54" s="277">
        <v>3251</v>
      </c>
    </row>
    <row r="55" spans="1:19" x14ac:dyDescent="0.25">
      <c r="A55" s="91" t="s">
        <v>466</v>
      </c>
      <c r="B55" s="287">
        <v>2996</v>
      </c>
      <c r="C55" s="322">
        <f>B55/281500000</f>
        <v>1.0642984014209592E-5</v>
      </c>
      <c r="D55" s="91"/>
      <c r="E55" s="278">
        <v>43919</v>
      </c>
      <c r="F55" s="277">
        <v>2996</v>
      </c>
    </row>
    <row r="56" spans="1:19" x14ac:dyDescent="0.25">
      <c r="A56" s="91" t="s">
        <v>467</v>
      </c>
      <c r="B56" s="287">
        <v>2982</v>
      </c>
      <c r="C56" s="322">
        <f>B56/330000000</f>
        <v>9.0363636363636366E-6</v>
      </c>
      <c r="D56" s="91"/>
      <c r="E56" s="278">
        <v>43919</v>
      </c>
      <c r="F56" s="277">
        <v>2996</v>
      </c>
    </row>
    <row r="57" spans="1:19" x14ac:dyDescent="0.25">
      <c r="A57" s="282" t="s">
        <v>468</v>
      </c>
      <c r="B57" s="288">
        <v>2823</v>
      </c>
      <c r="C57" s="323">
        <f>B57/123000000</f>
        <v>2.2951219512195121E-5</v>
      </c>
      <c r="D57" s="282"/>
      <c r="E57" s="281">
        <v>43919</v>
      </c>
      <c r="F57" s="286">
        <v>2996</v>
      </c>
      <c r="G57" s="39"/>
      <c r="H57" s="39"/>
    </row>
    <row r="58" spans="1:19" x14ac:dyDescent="0.25">
      <c r="A58" s="91" t="s">
        <v>473</v>
      </c>
      <c r="B58" s="287">
        <v>2500</v>
      </c>
      <c r="C58" s="322">
        <f>B58/38559000</f>
        <v>6.4835706320184657E-5</v>
      </c>
      <c r="D58" s="91"/>
      <c r="E58" s="278">
        <v>43918</v>
      </c>
      <c r="F58" s="279">
        <v>2754</v>
      </c>
      <c r="G58" s="245">
        <v>43935</v>
      </c>
      <c r="H58" s="274">
        <v>2566</v>
      </c>
    </row>
    <row r="59" spans="1:19" x14ac:dyDescent="0.25">
      <c r="A59" s="91" t="s">
        <v>469</v>
      </c>
      <c r="B59" s="287">
        <v>2467</v>
      </c>
      <c r="C59" s="322">
        <f>B59/132000000</f>
        <v>1.868939393939394E-5</v>
      </c>
      <c r="D59" s="91"/>
      <c r="E59" s="278">
        <v>43918</v>
      </c>
      <c r="F59" s="279">
        <v>2754</v>
      </c>
      <c r="G59" s="245">
        <v>43935</v>
      </c>
      <c r="H59" s="274">
        <v>2566</v>
      </c>
    </row>
    <row r="60" spans="1:19" x14ac:dyDescent="0.25">
      <c r="A60" s="91" t="s">
        <v>470</v>
      </c>
      <c r="B60" s="287">
        <v>2209</v>
      </c>
      <c r="C60" s="322">
        <f>B60/62970000</f>
        <v>3.5080196919167858E-5</v>
      </c>
      <c r="D60" s="91"/>
      <c r="E60" s="278">
        <v>43918</v>
      </c>
      <c r="F60" s="279">
        <v>2754</v>
      </c>
      <c r="G60" s="245">
        <v>43928</v>
      </c>
      <c r="H60" s="274">
        <v>2228</v>
      </c>
    </row>
    <row r="61" spans="1:19" x14ac:dyDescent="0.25">
      <c r="A61" s="91" t="s">
        <v>471</v>
      </c>
      <c r="B61" s="287">
        <v>2000</v>
      </c>
      <c r="C61" s="322">
        <f>B61/63000000</f>
        <v>3.1746031746031745E-5</v>
      </c>
      <c r="D61" s="91"/>
      <c r="E61" s="278">
        <v>43917</v>
      </c>
      <c r="F61" s="279">
        <v>2110</v>
      </c>
      <c r="G61" s="245">
        <v>43928</v>
      </c>
      <c r="H61" s="274">
        <v>2228</v>
      </c>
    </row>
    <row r="62" spans="1:19" x14ac:dyDescent="0.25">
      <c r="A62" s="91" t="s">
        <v>477</v>
      </c>
      <c r="B62" s="287">
        <v>2000</v>
      </c>
      <c r="C62" s="322">
        <f>B62/63000000</f>
        <v>3.1746031746031745E-5</v>
      </c>
      <c r="D62" s="91"/>
      <c r="E62" s="278">
        <v>43917</v>
      </c>
      <c r="F62" s="279">
        <v>2110</v>
      </c>
      <c r="G62" s="245">
        <v>43928</v>
      </c>
      <c r="H62" s="274">
        <v>2228</v>
      </c>
    </row>
    <row r="63" spans="1:19" x14ac:dyDescent="0.25">
      <c r="A63" s="91" t="s">
        <v>474</v>
      </c>
      <c r="B63" s="287">
        <v>1836</v>
      </c>
      <c r="C63" s="318">
        <f>B63/290000000</f>
        <v>6.3310344827586209E-6</v>
      </c>
      <c r="D63" s="91"/>
      <c r="E63" s="278">
        <v>43917</v>
      </c>
      <c r="F63" s="279">
        <v>2110</v>
      </c>
      <c r="G63" s="245">
        <v>43928</v>
      </c>
      <c r="H63" s="274">
        <v>2228</v>
      </c>
    </row>
    <row r="64" spans="1:19" x14ac:dyDescent="0.25">
      <c r="A64" s="91" t="s">
        <v>472</v>
      </c>
      <c r="B64" s="287">
        <v>1700</v>
      </c>
      <c r="C64" s="318">
        <f>B64/226545805</f>
        <v>7.5040012327749791E-6</v>
      </c>
      <c r="D64" s="91"/>
      <c r="E64" s="278">
        <v>43917</v>
      </c>
      <c r="F64" s="279">
        <v>2110</v>
      </c>
      <c r="G64" s="245">
        <v>43928</v>
      </c>
      <c r="H64" s="274">
        <v>2228</v>
      </c>
    </row>
    <row r="65" spans="1:8" x14ac:dyDescent="0.25">
      <c r="A65" s="91" t="s">
        <v>476</v>
      </c>
      <c r="B65" s="287">
        <v>1173</v>
      </c>
      <c r="C65" s="322">
        <f>B65/132164569</f>
        <v>8.8752984924424032E-6</v>
      </c>
      <c r="D65" s="91"/>
      <c r="E65" s="278">
        <v>43915</v>
      </c>
      <c r="F65" s="279">
        <v>1260</v>
      </c>
      <c r="G65" s="245">
        <v>43922</v>
      </c>
      <c r="H65" s="274">
        <v>1243</v>
      </c>
    </row>
    <row r="66" spans="1:8" x14ac:dyDescent="0.25">
      <c r="A66" s="91" t="s">
        <v>475</v>
      </c>
      <c r="B66" s="287">
        <v>1021</v>
      </c>
      <c r="C66" s="322">
        <f>B66/80000000</f>
        <v>1.27625E-5</v>
      </c>
      <c r="D66" s="91"/>
      <c r="E66" s="278">
        <v>43915</v>
      </c>
      <c r="F66" s="279">
        <v>1260</v>
      </c>
      <c r="G66" s="245">
        <v>43921</v>
      </c>
      <c r="H66" s="274">
        <v>1085</v>
      </c>
    </row>
    <row r="67" spans="1:8" x14ac:dyDescent="0.25">
      <c r="A67" s="91" t="s">
        <v>478</v>
      </c>
      <c r="B67" s="287">
        <v>1000</v>
      </c>
      <c r="C67" s="322">
        <f>B67/106021000</f>
        <v>9.4320936418256767E-6</v>
      </c>
      <c r="D67" s="91"/>
      <c r="E67" s="278">
        <v>43915</v>
      </c>
      <c r="F67" s="279">
        <v>1260</v>
      </c>
      <c r="G67" s="245">
        <v>43921</v>
      </c>
      <c r="H67" s="274">
        <v>1085</v>
      </c>
    </row>
    <row r="68" spans="1:8" x14ac:dyDescent="0.25">
      <c r="A68" s="91" t="s">
        <v>479</v>
      </c>
      <c r="B68" s="287">
        <v>918</v>
      </c>
      <c r="C68" s="318">
        <f>B68/226545000</f>
        <v>4.0521750645567108E-6</v>
      </c>
      <c r="D68" s="91"/>
      <c r="E68" s="278">
        <v>43914</v>
      </c>
      <c r="F68" s="277">
        <v>957</v>
      </c>
      <c r="G68" s="245">
        <v>43921</v>
      </c>
      <c r="H68" s="274">
        <v>1085</v>
      </c>
    </row>
  </sheetData>
  <sortState xmlns:xlrd2="http://schemas.microsoft.com/office/spreadsheetml/2017/richdata2" ref="A4:C19">
    <sortCondition descending="1" ref="B4:B19"/>
  </sortState>
  <hyperlinks>
    <hyperlink ref="A1" r:id="rId1" display="Major Conflicts" xr:uid="{83A0AE55-AFF8-446B-883E-C6E61E1C5C13}"/>
    <hyperlink ref="A22" r:id="rId2" xr:uid="{891243FE-E7B2-4F24-8F65-AD6D6ABE7E97}"/>
    <hyperlink ref="A36" r:id="rId3" xr:uid="{D75C70CF-9224-4A14-BFD5-EA9846096D44}"/>
    <hyperlink ref="A50" r:id="rId4" location="Over_400_deaths" xr:uid="{57DB3A83-257F-4226-9034-56E0E6EEB0DD}"/>
  </hyperlinks>
  <pageMargins left="0.7" right="0.7" top="0.75" bottom="0.75" header="0.3" footer="0.3"/>
  <pageSetup paperSize="9" orientation="portrait" horizontalDpi="0" verticalDpi="0"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Projections</vt:lpstr>
      <vt:lpstr>What if</vt:lpstr>
      <vt:lpstr>Population by Age - Wikipedia</vt:lpstr>
      <vt:lpstr>AU Infection Rate by Age</vt:lpstr>
      <vt:lpstr>US COVID-19 pathology</vt:lpstr>
      <vt:lpstr>US Deaths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2020-11-15T09:09:00Z</dcterms:modified>
</cp:coreProperties>
</file>