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4FA16B35-567B-4F3C-8D6E-F7A25532EEB3}" xr6:coauthVersionLast="45" xr6:coauthVersionMax="45" xr10:uidLastSave="{00000000-0000-0000-0000-000000000000}"/>
  <bookViews>
    <workbookView xWindow="195" yWindow="0" windowWidth="3694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366" i="1" l="1"/>
  <c r="BA366" i="1"/>
  <c r="AZ366" i="1"/>
  <c r="AZ393" i="1"/>
  <c r="BA393" i="1"/>
  <c r="BB393" i="1"/>
  <c r="AY393" i="1" l="1"/>
  <c r="AX393" i="1" l="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O366" i="1" l="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AU366" i="1" l="1"/>
  <c r="AV366" i="1"/>
  <c r="U381" i="1"/>
  <c r="AT366" i="1"/>
  <c r="AU389" i="1"/>
  <c r="AO388" i="1"/>
  <c r="AO389" i="1"/>
  <c r="BC366" i="1"/>
  <c r="AY366" i="1" s="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V381" i="1" l="1"/>
  <c r="BC389" i="1"/>
  <c r="AU388" i="1"/>
  <c r="BH366" i="1"/>
  <c r="AW389" i="1"/>
  <c r="AW388" i="1"/>
  <c r="AT388" i="1"/>
  <c r="AT389"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66" i="1"/>
  <c r="BE388" i="1"/>
  <c r="BE389" i="1"/>
  <c r="BH388" i="1"/>
  <c r="BH389" i="1"/>
  <c r="BG366" i="1"/>
  <c r="BF366" i="1"/>
  <c r="BD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BC390"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1" i="1"/>
  <c r="AZ391" i="1"/>
  <c r="BH390" i="1"/>
  <c r="BH391" i="1" s="1"/>
  <c r="BB391" i="1"/>
  <c r="BC376" i="1" s="1"/>
  <c r="BD367" i="1"/>
  <c r="BF367" i="1"/>
  <c r="BG367" i="1"/>
  <c r="BE367" i="1"/>
  <c r="BH404" i="1"/>
  <c r="BH427" i="1"/>
  <c r="BH428" i="1" s="1"/>
  <c r="BH429" i="1"/>
  <c r="BH430" i="1" s="1"/>
  <c r="BC391" i="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0" i="1"/>
  <c r="BE391" i="1" s="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376" i="1" s="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0" i="1"/>
  <c r="BD391" i="1" s="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J379" i="1" l="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<sst xmlns="http://schemas.openxmlformats.org/spreadsheetml/2006/main" count="925" uniqueCount="680">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</sst>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14" fontId="0" fillId="8"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67" fontId="0" fillId="0" borderId="0" xfId="0" applyNumberFormat="1" applyFill="1" applyBorder="1"/>
    <xf numFmtId="167" fontId="0" fillId="6" borderId="8"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4">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20.146520146520146</c:v>
                </c:pt>
                <c:pt idx="1">
                  <c:v>40.293040293040292</c:v>
                </c:pt>
                <c:pt idx="2">
                  <c:v>80.586080586080584</c:v>
                </c:pt>
                <c:pt idx="3">
                  <c:v>161.17216117216117</c:v>
                </c:pt>
                <c:pt idx="4">
                  <c:v>322.34432234432234</c:v>
                </c:pt>
                <c:pt idx="5">
                  <c:v>644.68864468864467</c:v>
                </c:pt>
                <c:pt idx="6">
                  <c:v>1289.3772893772893</c:v>
                </c:pt>
                <c:pt idx="7">
                  <c:v>2578.7545787545787</c:v>
                </c:pt>
                <c:pt idx="8">
                  <c:v>5157.5091575091574</c:v>
                </c:pt>
                <c:pt idx="9">
                  <c:v>10315.018315018315</c:v>
                </c:pt>
                <c:pt idx="10">
                  <c:v>20630.03663003663</c:v>
                </c:pt>
                <c:pt idx="11">
                  <c:v>41260.073260073259</c:v>
                </c:pt>
                <c:pt idx="12">
                  <c:v>82520.146520146518</c:v>
                </c:pt>
                <c:pt idx="13">
                  <c:v>165040.29304029304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51.282051282051285</c:v>
                </c:pt>
                <c:pt idx="4">
                  <c:v>102.56410256410257</c:v>
                </c:pt>
                <c:pt idx="5">
                  <c:v>205.12820512820514</c:v>
                </c:pt>
                <c:pt idx="6">
                  <c:v>410.25641025641028</c:v>
                </c:pt>
                <c:pt idx="7">
                  <c:v>820.51282051282055</c:v>
                </c:pt>
                <c:pt idx="8">
                  <c:v>1641.0256410256411</c:v>
                </c:pt>
                <c:pt idx="9">
                  <c:v>3282.0512820512822</c:v>
                </c:pt>
                <c:pt idx="10">
                  <c:v>6564.1025641025644</c:v>
                </c:pt>
                <c:pt idx="11">
                  <c:v>13128.205128205129</c:v>
                </c:pt>
                <c:pt idx="12">
                  <c:v>26256.410256410258</c:v>
                </c:pt>
                <c:pt idx="13">
                  <c:v>52512.820512820515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Projections!$R$367:$BM$367</c15:sqref>
                  </c15:fullRef>
                </c:ext>
              </c:extLst>
              <c:f>Projections!$R$367:$BC$367</c:f>
              <c:numCache>
                <c:formatCode>#,##0_ ;[Red]\-#,##0\ </c:formatCode>
                <c:ptCount val="3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Projections!$R$390:$BM$390</c15:sqref>
                  </c15:fullRef>
                </c:ext>
              </c:extLst>
              <c:f>Projections!$R$390:$BC$390</c:f>
              <c:numCache>
                <c:formatCode>General</c:formatCode>
                <c:ptCount val="38"/>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16384000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0.609375</c:v>
                </c:pt>
                <c:pt idx="1">
                  <c:v>1.21875</c:v>
                </c:pt>
                <c:pt idx="2">
                  <c:v>2.4375</c:v>
                </c:pt>
                <c:pt idx="3">
                  <c:v>4.875</c:v>
                </c:pt>
                <c:pt idx="4">
                  <c:v>9.75</c:v>
                </c:pt>
                <c:pt idx="5">
                  <c:v>19.5</c:v>
                </c:pt>
                <c:pt idx="6">
                  <c:v>39</c:v>
                </c:pt>
                <c:pt idx="7">
                  <c:v>78</c:v>
                </c:pt>
                <c:pt idx="8">
                  <c:v>156</c:v>
                </c:pt>
                <c:pt idx="9">
                  <c:v>312</c:v>
                </c:pt>
                <c:pt idx="10">
                  <c:v>624</c:v>
                </c:pt>
                <c:pt idx="11">
                  <c:v>1248</c:v>
                </c:pt>
                <c:pt idx="12">
                  <c:v>2496</c:v>
                </c:pt>
                <c:pt idx="13">
                  <c:v>4992</c:v>
                </c:pt>
                <c:pt idx="14">
                  <c:v>9984</c:v>
                </c:pt>
                <c:pt idx="15">
                  <c:v>12480</c:v>
                </c:pt>
                <c:pt idx="16">
                  <c:v>14976</c:v>
                </c:pt>
                <c:pt idx="17">
                  <c:v>17472</c:v>
                </c:pt>
                <c:pt idx="18">
                  <c:v>19968</c:v>
                </c:pt>
                <c:pt idx="19">
                  <c:v>25559.040000000001</c:v>
                </c:pt>
                <c:pt idx="20">
                  <c:v>29952</c:v>
                </c:pt>
                <c:pt idx="21">
                  <c:v>34944</c:v>
                </c:pt>
                <c:pt idx="22">
                  <c:v>39936</c:v>
                </c:pt>
                <c:pt idx="23">
                  <c:v>47923.199999999997</c:v>
                </c:pt>
                <c:pt idx="24">
                  <c:v>55910.400000000001</c:v>
                </c:pt>
                <c:pt idx="25">
                  <c:v>63897.599999999999</c:v>
                </c:pt>
                <c:pt idx="26">
                  <c:v>71884.800000000003</c:v>
                </c:pt>
                <c:pt idx="27">
                  <c:v>79872</c:v>
                </c:pt>
                <c:pt idx="28">
                  <c:v>95846.399999999994</c:v>
                </c:pt>
                <c:pt idx="29">
                  <c:v>111820.8</c:v>
                </c:pt>
                <c:pt idx="30">
                  <c:v>127795.2</c:v>
                </c:pt>
                <c:pt idx="31">
                  <c:v>143769.60000000001</c:v>
                </c:pt>
                <c:pt idx="32">
                  <c:v>159744</c:v>
                </c:pt>
                <c:pt idx="33">
                  <c:v>191692.79999999999</c:v>
                </c:pt>
                <c:pt idx="34">
                  <c:v>223641.60000000001</c:v>
                </c:pt>
                <c:pt idx="35">
                  <c:v>255590.39999999999</c:v>
                </c:pt>
                <c:pt idx="36">
                  <c:v>287539.20000000001</c:v>
                </c:pt>
                <c:pt idx="37">
                  <c:v>319488</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Projections!$R$394:$BM$394</c15:sqref>
                  </c15:fullRef>
                </c:ext>
              </c:extLst>
              <c:f>Projections!$R$394:$BC$394</c:f>
              <c:numCache>
                <c:formatCode>General</c:formatCode>
                <c:ptCount val="38"/>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477260.29375860142</c:v>
                </c:pt>
                <c:pt idx="34">
                  <c:v>253995.64958124771</c:v>
                </c:pt>
                <c:pt idx="35">
                  <c:v>0</c:v>
                </c:pt>
                <c:pt idx="36">
                  <c:v>680697.28596295847</c:v>
                </c:pt>
                <c:pt idx="37">
                  <c:v>342469.73234646022</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2074.935496600694</c:v>
                </c:pt>
                <c:pt idx="34">
                  <c:v>0</c:v>
                </c:pt>
                <c:pt idx="35">
                  <c:v>132757.49748676224</c:v>
                </c:pt>
                <c:pt idx="36">
                  <c:v>59473.141336709145</c:v>
                </c:pt>
                <c:pt idx="37">
                  <c:v>0</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0.609375</c:v>
                </c:pt>
                <c:pt idx="1">
                  <c:v>1.21875</c:v>
                </c:pt>
                <c:pt idx="2">
                  <c:v>2.4375</c:v>
                </c:pt>
                <c:pt idx="3">
                  <c:v>4.875</c:v>
                </c:pt>
                <c:pt idx="4">
                  <c:v>9.75</c:v>
                </c:pt>
                <c:pt idx="5">
                  <c:v>19.5</c:v>
                </c:pt>
                <c:pt idx="6">
                  <c:v>39</c:v>
                </c:pt>
                <c:pt idx="7">
                  <c:v>78</c:v>
                </c:pt>
                <c:pt idx="8">
                  <c:v>156</c:v>
                </c:pt>
                <c:pt idx="9">
                  <c:v>312</c:v>
                </c:pt>
                <c:pt idx="10">
                  <c:v>624</c:v>
                </c:pt>
                <c:pt idx="11">
                  <c:v>1248</c:v>
                </c:pt>
                <c:pt idx="12">
                  <c:v>2496</c:v>
                </c:pt>
                <c:pt idx="13">
                  <c:v>4992</c:v>
                </c:pt>
                <c:pt idx="14">
                  <c:v>9984</c:v>
                </c:pt>
                <c:pt idx="15">
                  <c:v>12480</c:v>
                </c:pt>
                <c:pt idx="16">
                  <c:v>14976</c:v>
                </c:pt>
                <c:pt idx="17">
                  <c:v>17472</c:v>
                </c:pt>
                <c:pt idx="18">
                  <c:v>19968</c:v>
                </c:pt>
                <c:pt idx="19">
                  <c:v>25559.040000000001</c:v>
                </c:pt>
                <c:pt idx="20">
                  <c:v>29952</c:v>
                </c:pt>
                <c:pt idx="21">
                  <c:v>34944</c:v>
                </c:pt>
                <c:pt idx="22">
                  <c:v>39936</c:v>
                </c:pt>
                <c:pt idx="23">
                  <c:v>47923.199999999997</c:v>
                </c:pt>
                <c:pt idx="24">
                  <c:v>55910.400000000001</c:v>
                </c:pt>
                <c:pt idx="25">
                  <c:v>63897.599999999999</c:v>
                </c:pt>
                <c:pt idx="26">
                  <c:v>71884.800000000003</c:v>
                </c:pt>
                <c:pt idx="27">
                  <c:v>79872</c:v>
                </c:pt>
                <c:pt idx="28">
                  <c:v>95846.399999999994</c:v>
                </c:pt>
                <c:pt idx="29">
                  <c:v>111820.8</c:v>
                </c:pt>
                <c:pt idx="30">
                  <c:v>127795.2</c:v>
                </c:pt>
                <c:pt idx="31">
                  <c:v>143769.60000000001</c:v>
                </c:pt>
                <c:pt idx="32">
                  <c:v>159744</c:v>
                </c:pt>
                <c:pt idx="33">
                  <c:v>191692.79999999999</c:v>
                </c:pt>
                <c:pt idx="34">
                  <c:v>223641.60000000001</c:v>
                </c:pt>
                <c:pt idx="35">
                  <c:v>255590.39999999999</c:v>
                </c:pt>
                <c:pt idx="36">
                  <c:v>287539.20000000001</c:v>
                </c:pt>
                <c:pt idx="37">
                  <c:v>319488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Projections!$R$367:$BM$367</c15:sqref>
                  </c15:fullRef>
                </c:ext>
              </c:extLst>
              <c:f>Projections!$R$367:$BC$367</c:f>
              <c:numCache>
                <c:formatCode>#,##0_ ;[Red]\-#,##0\ </c:formatCode>
                <c:ptCount val="3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Projections!$R$390:$BM$390</c15:sqref>
                  </c15:fullRef>
                </c:ext>
              </c:extLst>
              <c:f>Projections!$R$390:$BC$390</c:f>
              <c:numCache>
                <c:formatCode>General</c:formatCode>
                <c:ptCount val="38"/>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16384000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0.609375</c:v>
                </c:pt>
                <c:pt idx="1">
                  <c:v>1.21875</c:v>
                </c:pt>
                <c:pt idx="2">
                  <c:v>2.4375</c:v>
                </c:pt>
                <c:pt idx="3">
                  <c:v>4.875</c:v>
                </c:pt>
                <c:pt idx="4">
                  <c:v>9.75</c:v>
                </c:pt>
                <c:pt idx="5">
                  <c:v>19.5</c:v>
                </c:pt>
                <c:pt idx="6">
                  <c:v>39</c:v>
                </c:pt>
                <c:pt idx="7">
                  <c:v>78</c:v>
                </c:pt>
                <c:pt idx="8">
                  <c:v>156</c:v>
                </c:pt>
                <c:pt idx="9">
                  <c:v>312</c:v>
                </c:pt>
                <c:pt idx="10">
                  <c:v>624</c:v>
                </c:pt>
                <c:pt idx="11">
                  <c:v>1248</c:v>
                </c:pt>
                <c:pt idx="12">
                  <c:v>2496</c:v>
                </c:pt>
                <c:pt idx="13">
                  <c:v>4992</c:v>
                </c:pt>
                <c:pt idx="14">
                  <c:v>9984</c:v>
                </c:pt>
                <c:pt idx="15">
                  <c:v>12480</c:v>
                </c:pt>
                <c:pt idx="16">
                  <c:v>14976</c:v>
                </c:pt>
                <c:pt idx="17">
                  <c:v>17472</c:v>
                </c:pt>
                <c:pt idx="18">
                  <c:v>19968</c:v>
                </c:pt>
                <c:pt idx="19">
                  <c:v>25559.040000000001</c:v>
                </c:pt>
                <c:pt idx="20">
                  <c:v>29952</c:v>
                </c:pt>
                <c:pt idx="21">
                  <c:v>34944</c:v>
                </c:pt>
                <c:pt idx="22">
                  <c:v>39936</c:v>
                </c:pt>
                <c:pt idx="23">
                  <c:v>47923.199999999997</c:v>
                </c:pt>
                <c:pt idx="24">
                  <c:v>55910.400000000001</c:v>
                </c:pt>
                <c:pt idx="25">
                  <c:v>63897.599999999999</c:v>
                </c:pt>
                <c:pt idx="26">
                  <c:v>71884.800000000003</c:v>
                </c:pt>
                <c:pt idx="27">
                  <c:v>79872</c:v>
                </c:pt>
                <c:pt idx="28">
                  <c:v>95846.399999999994</c:v>
                </c:pt>
                <c:pt idx="29">
                  <c:v>111820.8</c:v>
                </c:pt>
                <c:pt idx="30">
                  <c:v>127795.2</c:v>
                </c:pt>
                <c:pt idx="31">
                  <c:v>143769.60000000001</c:v>
                </c:pt>
                <c:pt idx="32">
                  <c:v>159744</c:v>
                </c:pt>
                <c:pt idx="33">
                  <c:v>191692.79999999999</c:v>
                </c:pt>
                <c:pt idx="34">
                  <c:v>223641.60000000001</c:v>
                </c:pt>
                <c:pt idx="35">
                  <c:v>255590.39999999999</c:v>
                </c:pt>
                <c:pt idx="36">
                  <c:v>287539.20000000001</c:v>
                </c:pt>
                <c:pt idx="37">
                  <c:v>319488</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Projections!$R$394:$BM$394</c15:sqref>
                  </c15:fullRef>
                </c:ext>
              </c:extLst>
              <c:f>Projections!$R$394:$BC$394</c:f>
              <c:numCache>
                <c:formatCode>General</c:formatCode>
                <c:ptCount val="38"/>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51.282051282051285</c:v>
                </c:pt>
                <c:pt idx="4">
                  <c:v>102.56410256410257</c:v>
                </c:pt>
                <c:pt idx="5">
                  <c:v>205.12820512820514</c:v>
                </c:pt>
                <c:pt idx="6">
                  <c:v>410.25641025641028</c:v>
                </c:pt>
                <c:pt idx="7">
                  <c:v>820.51282051282055</c:v>
                </c:pt>
                <c:pt idx="8">
                  <c:v>1641.0256410256411</c:v>
                </c:pt>
                <c:pt idx="9">
                  <c:v>3282.0512820512822</c:v>
                </c:pt>
                <c:pt idx="10">
                  <c:v>6564.1025641025644</c:v>
                </c:pt>
                <c:pt idx="11">
                  <c:v>13128.205128205129</c:v>
                </c:pt>
                <c:pt idx="12">
                  <c:v>26256.410256410258</c:v>
                </c:pt>
                <c:pt idx="13">
                  <c:v>52512.820512820515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51.282051282051285</c:v>
                </c:pt>
                <c:pt idx="3">
                  <c:v>102.56410256410257</c:v>
                </c:pt>
                <c:pt idx="4">
                  <c:v>166.15384615384616</c:v>
                </c:pt>
                <c:pt idx="5">
                  <c:v>332.30769230769232</c:v>
                </c:pt>
                <c:pt idx="6">
                  <c:v>664.61538461538464</c:v>
                </c:pt>
                <c:pt idx="7">
                  <c:v>1287.6923076923078</c:v>
                </c:pt>
                <c:pt idx="8">
                  <c:v>2575.3846153846157</c:v>
                </c:pt>
                <c:pt idx="9">
                  <c:v>5150.7692307692314</c:v>
                </c:pt>
                <c:pt idx="10">
                  <c:v>10301.538461538463</c:v>
                </c:pt>
                <c:pt idx="11">
                  <c:v>20603.076923076926</c:v>
                </c:pt>
                <c:pt idx="12">
                  <c:v>41247.692307692312</c:v>
                </c:pt>
                <c:pt idx="13">
                  <c:v>82495.384615384624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38.974358974358978</c:v>
                </c:pt>
                <c:pt idx="5">
                  <c:v>77.948717948717956</c:v>
                </c:pt>
                <c:pt idx="6">
                  <c:v>114.87179487179489</c:v>
                </c:pt>
                <c:pt idx="7">
                  <c:v>229.74358974358978</c:v>
                </c:pt>
                <c:pt idx="8">
                  <c:v>459.48717948717956</c:v>
                </c:pt>
                <c:pt idx="9">
                  <c:v>918.97435897435912</c:v>
                </c:pt>
                <c:pt idx="10">
                  <c:v>1837.9487179487182</c:v>
                </c:pt>
                <c:pt idx="11">
                  <c:v>3675.8974358974365</c:v>
                </c:pt>
                <c:pt idx="12">
                  <c:v>7351.794871794873</c:v>
                </c:pt>
                <c:pt idx="13">
                  <c:v>14703.589743589746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41.025641025641029</c:v>
                </c:pt>
                <c:pt idx="7">
                  <c:v>82.051282051282058</c:v>
                </c:pt>
                <c:pt idx="8">
                  <c:v>164.10256410256412</c:v>
                </c:pt>
                <c:pt idx="9">
                  <c:v>328.20512820512823</c:v>
                </c:pt>
                <c:pt idx="10">
                  <c:v>656.41025641025647</c:v>
                </c:pt>
                <c:pt idx="11">
                  <c:v>1312.8205128205129</c:v>
                </c:pt>
                <c:pt idx="12">
                  <c:v>2625.6410256410259</c:v>
                </c:pt>
                <c:pt idx="13">
                  <c:v>5251.2820512820517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20.146520146520146</c:v>
                </c:pt>
                <c:pt idx="1">
                  <c:v>40.293040293040292</c:v>
                </c:pt>
                <c:pt idx="2">
                  <c:v>80.586080586080584</c:v>
                </c:pt>
                <c:pt idx="3">
                  <c:v>161.17216117216117</c:v>
                </c:pt>
                <c:pt idx="4">
                  <c:v>322.34432234432234</c:v>
                </c:pt>
                <c:pt idx="5">
                  <c:v>644.68864468864467</c:v>
                </c:pt>
                <c:pt idx="6">
                  <c:v>1289.3772893772893</c:v>
                </c:pt>
                <c:pt idx="7">
                  <c:v>2578.7545787545787</c:v>
                </c:pt>
                <c:pt idx="8">
                  <c:v>5157.5091575091574</c:v>
                </c:pt>
                <c:pt idx="9">
                  <c:v>10315.018315018315</c:v>
                </c:pt>
                <c:pt idx="10">
                  <c:v>20630.03663003663</c:v>
                </c:pt>
                <c:pt idx="11">
                  <c:v>41260.073260073259</c:v>
                </c:pt>
                <c:pt idx="12">
                  <c:v>82520.146520146518</c:v>
                </c:pt>
                <c:pt idx="13">
                  <c:v>165040.29304029304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51.282051282051285</c:v>
                </c:pt>
                <c:pt idx="4">
                  <c:v>102.56410256410257</c:v>
                </c:pt>
                <c:pt idx="5">
                  <c:v>205.12820512820514</c:v>
                </c:pt>
                <c:pt idx="6">
                  <c:v>410.25641025641028</c:v>
                </c:pt>
                <c:pt idx="7">
                  <c:v>820.51282051282055</c:v>
                </c:pt>
                <c:pt idx="8">
                  <c:v>1641.0256410256411</c:v>
                </c:pt>
                <c:pt idx="9">
                  <c:v>3282.0512820512822</c:v>
                </c:pt>
                <c:pt idx="10">
                  <c:v>6564.1025641025644</c:v>
                </c:pt>
                <c:pt idx="11">
                  <c:v>13128.205128205129</c:v>
                </c:pt>
                <c:pt idx="12">
                  <c:v>26256.410256410258</c:v>
                </c:pt>
                <c:pt idx="13">
                  <c:v>52512.820512820515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51.282051282051285</c:v>
                </c:pt>
                <c:pt idx="4">
                  <c:v>102.56410256410257</c:v>
                </c:pt>
                <c:pt idx="5">
                  <c:v>205.12820512820514</c:v>
                </c:pt>
                <c:pt idx="6">
                  <c:v>410.25641025641028</c:v>
                </c:pt>
                <c:pt idx="7">
                  <c:v>820.51282051282055</c:v>
                </c:pt>
                <c:pt idx="8">
                  <c:v>1641.0256410256411</c:v>
                </c:pt>
                <c:pt idx="9">
                  <c:v>3282.0512820512822</c:v>
                </c:pt>
                <c:pt idx="10">
                  <c:v>6564.1025641025644</c:v>
                </c:pt>
                <c:pt idx="11">
                  <c:v>13128.205128205129</c:v>
                </c:pt>
                <c:pt idx="12">
                  <c:v>26256.410256410258</c:v>
                </c:pt>
                <c:pt idx="13">
                  <c:v>52512.820512820515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51.282051282051285</c:v>
                </c:pt>
                <c:pt idx="3">
                  <c:v>102.56410256410257</c:v>
                </c:pt>
                <c:pt idx="4">
                  <c:v>166.15384615384616</c:v>
                </c:pt>
                <c:pt idx="5">
                  <c:v>332.30769230769232</c:v>
                </c:pt>
                <c:pt idx="6">
                  <c:v>664.61538461538464</c:v>
                </c:pt>
                <c:pt idx="7">
                  <c:v>1287.6923076923078</c:v>
                </c:pt>
                <c:pt idx="8">
                  <c:v>2575.3846153846157</c:v>
                </c:pt>
                <c:pt idx="9">
                  <c:v>5150.7692307692314</c:v>
                </c:pt>
                <c:pt idx="10">
                  <c:v>10301.538461538463</c:v>
                </c:pt>
                <c:pt idx="11">
                  <c:v>20603.076923076926</c:v>
                </c:pt>
                <c:pt idx="12">
                  <c:v>41247.692307692312</c:v>
                </c:pt>
                <c:pt idx="13">
                  <c:v>82495.384615384624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38.974358974358978</c:v>
                </c:pt>
                <c:pt idx="5">
                  <c:v>77.948717948717956</c:v>
                </c:pt>
                <c:pt idx="6">
                  <c:v>114.87179487179489</c:v>
                </c:pt>
                <c:pt idx="7">
                  <c:v>229.74358974358978</c:v>
                </c:pt>
                <c:pt idx="8">
                  <c:v>459.48717948717956</c:v>
                </c:pt>
                <c:pt idx="9">
                  <c:v>918.97435897435912</c:v>
                </c:pt>
                <c:pt idx="10">
                  <c:v>1837.9487179487182</c:v>
                </c:pt>
                <c:pt idx="11">
                  <c:v>3675.8974358974365</c:v>
                </c:pt>
                <c:pt idx="12">
                  <c:v>7351.794871794873</c:v>
                </c:pt>
                <c:pt idx="13">
                  <c:v>14703.589743589746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44130.784177893518</c:v>
                </c:pt>
                <c:pt idx="1">
                  <c:v>44133.784177893518</c:v>
                </c:pt>
                <c:pt idx="2">
                  <c:v>44136.784177893518</c:v>
                </c:pt>
                <c:pt idx="3">
                  <c:v>44139.784177893518</c:v>
                </c:pt>
                <c:pt idx="4">
                  <c:v>44142.784177893518</c:v>
                </c:pt>
                <c:pt idx="5">
                  <c:v>44145.784177893518</c:v>
                </c:pt>
                <c:pt idx="6">
                  <c:v>44148.784177893518</c:v>
                </c:pt>
                <c:pt idx="7">
                  <c:v>44151.784177893518</c:v>
                </c:pt>
                <c:pt idx="8">
                  <c:v>44154.784177893518</c:v>
                </c:pt>
                <c:pt idx="9">
                  <c:v>44157.784177893518</c:v>
                </c:pt>
                <c:pt idx="10">
                  <c:v>44160.784177893518</c:v>
                </c:pt>
                <c:pt idx="11">
                  <c:v>44163.784177893518</c:v>
                </c:pt>
                <c:pt idx="12">
                  <c:v>44166.784177893518</c:v>
                </c:pt>
                <c:pt idx="13">
                  <c:v>44169.784177893518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41.025641025641029</c:v>
                </c:pt>
                <c:pt idx="7">
                  <c:v>82.051282051282058</c:v>
                </c:pt>
                <c:pt idx="8">
                  <c:v>164.10256410256412</c:v>
                </c:pt>
                <c:pt idx="9">
                  <c:v>328.20512820512823</c:v>
                </c:pt>
                <c:pt idx="10">
                  <c:v>656.41025641025647</c:v>
                </c:pt>
                <c:pt idx="11">
                  <c:v>1312.8205128205129</c:v>
                </c:pt>
                <c:pt idx="12">
                  <c:v>2625.6410256410259</c:v>
                </c:pt>
                <c:pt idx="13">
                  <c:v>5251.2820512820517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477260.29375860142</c:v>
                </c:pt>
                <c:pt idx="34">
                  <c:v>253995.64958124771</c:v>
                </c:pt>
                <c:pt idx="35">
                  <c:v>0</c:v>
                </c:pt>
                <c:pt idx="36">
                  <c:v>680697.28596295847</c:v>
                </c:pt>
                <c:pt idx="37">
                  <c:v>342469.73234646022</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2074.935496600694</c:v>
                </c:pt>
                <c:pt idx="34">
                  <c:v>0</c:v>
                </c:pt>
                <c:pt idx="35">
                  <c:v>132757.49748676224</c:v>
                </c:pt>
                <c:pt idx="36">
                  <c:v>59473.141336709145</c:v>
                </c:pt>
                <c:pt idx="37">
                  <c:v>0</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0.609375</c:v>
                </c:pt>
                <c:pt idx="1">
                  <c:v>1.21875</c:v>
                </c:pt>
                <c:pt idx="2">
                  <c:v>2.4375</c:v>
                </c:pt>
                <c:pt idx="3">
                  <c:v>4.875</c:v>
                </c:pt>
                <c:pt idx="4">
                  <c:v>9.75</c:v>
                </c:pt>
                <c:pt idx="5">
                  <c:v>19.5</c:v>
                </c:pt>
                <c:pt idx="6">
                  <c:v>39</c:v>
                </c:pt>
                <c:pt idx="7">
                  <c:v>78</c:v>
                </c:pt>
                <c:pt idx="8">
                  <c:v>156</c:v>
                </c:pt>
                <c:pt idx="9">
                  <c:v>312</c:v>
                </c:pt>
                <c:pt idx="10">
                  <c:v>624</c:v>
                </c:pt>
                <c:pt idx="11">
                  <c:v>1248</c:v>
                </c:pt>
                <c:pt idx="12">
                  <c:v>2496</c:v>
                </c:pt>
                <c:pt idx="13">
                  <c:v>4992</c:v>
                </c:pt>
                <c:pt idx="14">
                  <c:v>9984</c:v>
                </c:pt>
                <c:pt idx="15">
                  <c:v>12480</c:v>
                </c:pt>
                <c:pt idx="16">
                  <c:v>14976</c:v>
                </c:pt>
                <c:pt idx="17">
                  <c:v>17472</c:v>
                </c:pt>
                <c:pt idx="18">
                  <c:v>19968</c:v>
                </c:pt>
                <c:pt idx="19">
                  <c:v>25559.040000000001</c:v>
                </c:pt>
                <c:pt idx="20">
                  <c:v>29952</c:v>
                </c:pt>
                <c:pt idx="21">
                  <c:v>34944</c:v>
                </c:pt>
                <c:pt idx="22">
                  <c:v>39936</c:v>
                </c:pt>
                <c:pt idx="23">
                  <c:v>47923.199999999997</c:v>
                </c:pt>
                <c:pt idx="24">
                  <c:v>55910.400000000001</c:v>
                </c:pt>
                <c:pt idx="25">
                  <c:v>63897.599999999999</c:v>
                </c:pt>
                <c:pt idx="26">
                  <c:v>71884.800000000003</c:v>
                </c:pt>
                <c:pt idx="27">
                  <c:v>79872</c:v>
                </c:pt>
                <c:pt idx="28">
                  <c:v>95846.399999999994</c:v>
                </c:pt>
                <c:pt idx="29">
                  <c:v>111820.8</c:v>
                </c:pt>
                <c:pt idx="30">
                  <c:v>127795.2</c:v>
                </c:pt>
                <c:pt idx="31">
                  <c:v>143769.60000000001</c:v>
                </c:pt>
                <c:pt idx="32">
                  <c:v>159744</c:v>
                </c:pt>
                <c:pt idx="33">
                  <c:v>191692.79999999999</c:v>
                </c:pt>
                <c:pt idx="34">
                  <c:v>223641.60000000001</c:v>
                </c:pt>
                <c:pt idx="35">
                  <c:v>255590.39999999999</c:v>
                </c:pt>
                <c:pt idx="36">
                  <c:v>287539.20000000001</c:v>
                </c:pt>
                <c:pt idx="37">
                  <c:v>319488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44125.96</c:v>
                </c:pt>
                <c:pt idx="34">
                  <c:v>44150.9</c:v>
                </c:pt>
                <c:pt idx="35">
                  <c:v>44160.76</c:v>
                </c:pt>
                <c:pt idx="36">
                  <c:v>44169.46</c:v>
                </c:pt>
                <c:pt idx="37">
                  <c:v>44177</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533</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20.146520146520146</v>
      </c>
      <c r="C18" s="104"/>
      <c r="D18" s="104"/>
      <c r="E18" s="104">
        <f>E17*$E$34</f>
        <v>40.293040293040292</v>
      </c>
      <c r="F18" s="104"/>
      <c r="G18" s="33"/>
      <c r="H18" s="104">
        <f>H17*$E$34</f>
        <v>80.586080586080584</v>
      </c>
      <c r="I18" s="104"/>
      <c r="J18" s="104"/>
      <c r="K18" s="104">
        <f>K17*$E$34</f>
        <v>161.17216117216117</v>
      </c>
      <c r="L18" s="104"/>
      <c r="M18" s="104"/>
      <c r="N18" s="104">
        <f>N17*$E$34</f>
        <v>322.34432234432234</v>
      </c>
      <c r="O18" s="104"/>
      <c r="P18" s="104"/>
      <c r="Q18" s="104">
        <f>Q17*$E$34</f>
        <v>644.68864468864467</v>
      </c>
      <c r="R18" s="104"/>
      <c r="S18" s="104"/>
      <c r="T18" s="104">
        <f>T17*$E$34</f>
        <v>1289.3772893772893</v>
      </c>
      <c r="U18" s="104"/>
      <c r="V18" s="104"/>
      <c r="W18" s="104">
        <f>W17*$E$34</f>
        <v>2578.7545787545787</v>
      </c>
      <c r="X18" s="104"/>
      <c r="Y18" s="104"/>
      <c r="Z18" s="104">
        <f>Z17*$E$34</f>
        <v>5157.5091575091574</v>
      </c>
      <c r="AA18" s="104"/>
      <c r="AB18" s="104"/>
      <c r="AC18" s="104">
        <f>AC17*$E$34</f>
        <v>10315.018315018315</v>
      </c>
      <c r="AD18" s="104"/>
      <c r="AE18" s="104"/>
      <c r="AF18" s="104">
        <f>AF17*$E$34</f>
        <v>20630.03663003663</v>
      </c>
      <c r="AG18" s="104"/>
      <c r="AH18" s="104"/>
      <c r="AI18" s="104">
        <f>AI17*$E$34</f>
        <v>41260.073260073259</v>
      </c>
      <c r="AJ18" s="104"/>
      <c r="AK18" s="104"/>
      <c r="AL18" s="104">
        <f>AL17*$E$34</f>
        <v>82520.146520146518</v>
      </c>
      <c r="AM18" s="104"/>
      <c r="AN18" s="104"/>
      <c r="AO18" s="104">
        <f>AO17*$E$34</f>
        <v>165040.29304029304</v>
      </c>
      <c r="AP18" s="33"/>
      <c r="AQ18" s="69" t="s">
        <v>162</v>
      </c>
    </row>
    <row r="19" spans="1:43" s="69" customFormat="1" x14ac:dyDescent="0.25">
      <c r="A19" s="47" t="s">
        <v>164</v>
      </c>
      <c r="B19" s="85">
        <f>B18</f>
        <v>20.146520146520146</v>
      </c>
      <c r="C19" s="86"/>
      <c r="D19" s="86"/>
      <c r="E19" s="86">
        <f>E18</f>
        <v>40.293040293040292</v>
      </c>
      <c r="F19" s="86"/>
      <c r="G19" s="34"/>
      <c r="H19" s="86">
        <f>H18</f>
        <v>80.586080586080584</v>
      </c>
      <c r="I19" s="86"/>
      <c r="J19" s="86"/>
      <c r="K19" s="86">
        <f>K18</f>
        <v>161.17216117216117</v>
      </c>
      <c r="L19" s="86"/>
      <c r="M19" s="86"/>
      <c r="N19" s="86">
        <f>N18</f>
        <v>322.34432234432234</v>
      </c>
      <c r="O19" s="86"/>
      <c r="P19" s="86"/>
      <c r="Q19" s="86">
        <f>Q18</f>
        <v>644.68864468864467</v>
      </c>
      <c r="R19" s="86"/>
      <c r="S19" s="86"/>
      <c r="T19" s="86">
        <f>T18</f>
        <v>1289.3772893772893</v>
      </c>
      <c r="U19" s="86"/>
      <c r="V19" s="86"/>
      <c r="W19" s="120">
        <f>W18-B18</f>
        <v>2558.6080586080584</v>
      </c>
      <c r="X19" s="120"/>
      <c r="Y19" s="120"/>
      <c r="Z19" s="120">
        <f>Z18-E18</f>
        <v>5117.2161172161168</v>
      </c>
      <c r="AA19" s="120"/>
      <c r="AB19" s="120"/>
      <c r="AC19" s="120">
        <f>AC18-H18</f>
        <v>10234.432234432234</v>
      </c>
      <c r="AD19" s="120"/>
      <c r="AE19" s="120"/>
      <c r="AF19" s="120">
        <f>AF18-K18</f>
        <v>20468.864468864467</v>
      </c>
      <c r="AG19" s="120"/>
      <c r="AH19" s="120"/>
      <c r="AI19" s="120">
        <f>AI18-N18</f>
        <v>40937.728937728934</v>
      </c>
      <c r="AJ19" s="120"/>
      <c r="AK19" s="120"/>
      <c r="AL19" s="120">
        <f>AL18-Q18</f>
        <v>81875.457875457869</v>
      </c>
      <c r="AM19" s="120"/>
      <c r="AN19" s="120"/>
      <c r="AO19" s="120">
        <f>AO18-T18</f>
        <v>163750.91575091574</v>
      </c>
      <c r="AP19" s="121"/>
      <c r="AQ19" s="47" t="s">
        <v>164</v>
      </c>
    </row>
    <row r="20" spans="1:43" s="69" customFormat="1" x14ac:dyDescent="0.25">
      <c r="A20" t="s">
        <v>91</v>
      </c>
      <c r="B20" s="87"/>
      <c r="C20" s="104"/>
      <c r="D20" s="104"/>
      <c r="E20" s="104"/>
      <c r="F20" s="104"/>
      <c r="G20" s="33"/>
      <c r="H20" s="105"/>
      <c r="I20" s="106"/>
      <c r="J20" s="107"/>
      <c r="K20" s="130">
        <f>B17*(1-$E$34)</f>
        <v>51.282051282051285</v>
      </c>
      <c r="L20" s="127"/>
      <c r="M20" s="128"/>
      <c r="N20" s="129">
        <f>E17*(1-$E$34)</f>
        <v>102.56410256410257</v>
      </c>
      <c r="O20" s="127"/>
      <c r="P20" s="128"/>
      <c r="Q20" s="129">
        <f>H17*(1-$E$34)</f>
        <v>205.12820512820514</v>
      </c>
      <c r="R20" s="127"/>
      <c r="S20" s="128"/>
      <c r="T20" s="129">
        <f>K17*(1-$E$34)</f>
        <v>410.25641025641028</v>
      </c>
      <c r="U20" s="127"/>
      <c r="V20" s="128"/>
      <c r="W20" s="129">
        <f>N17*(1-$E$34)</f>
        <v>820.51282051282055</v>
      </c>
      <c r="X20" s="127"/>
      <c r="Y20" s="128"/>
      <c r="Z20" s="129">
        <f>Q17*(1-$E$34)</f>
        <v>1641.0256410256411</v>
      </c>
      <c r="AA20" s="127"/>
      <c r="AB20" s="128"/>
      <c r="AC20" s="129">
        <f>T17*(1-$E$34)</f>
        <v>3282.0512820512822</v>
      </c>
      <c r="AD20" s="127"/>
      <c r="AE20" s="128"/>
      <c r="AF20" s="129">
        <f>W17*(1-$E$34)</f>
        <v>6564.1025641025644</v>
      </c>
      <c r="AG20" s="127"/>
      <c r="AH20" s="128"/>
      <c r="AI20" s="129">
        <f>Z17*(1-$E$34)</f>
        <v>13128.205128205129</v>
      </c>
      <c r="AJ20" s="127"/>
      <c r="AK20" s="128"/>
      <c r="AL20" s="129">
        <f>AC17*(1-$E$34)</f>
        <v>26256.410256410258</v>
      </c>
      <c r="AM20" s="127"/>
      <c r="AN20" s="128"/>
      <c r="AO20" s="129">
        <f>AF17*(1-$E$34)</f>
        <v>52512.820512820515</v>
      </c>
      <c r="AP20" s="79"/>
      <c r="AQ20" t="s">
        <v>91</v>
      </c>
    </row>
    <row r="21" spans="1:43" s="69" customFormat="1" x14ac:dyDescent="0.25">
      <c r="A21" s="69" t="s">
        <v>72</v>
      </c>
      <c r="B21" s="80"/>
      <c r="C21" s="81"/>
      <c r="D21" s="81"/>
      <c r="E21" s="81"/>
      <c r="F21" s="81"/>
      <c r="G21" s="82"/>
      <c r="H21" s="122">
        <f>B17-B18</f>
        <v>51.282051282051285</v>
      </c>
      <c r="I21" s="122"/>
      <c r="J21" s="122"/>
      <c r="K21" s="122">
        <f>E17-E18</f>
        <v>102.56410256410257</v>
      </c>
      <c r="L21" s="122"/>
      <c r="M21" s="122"/>
      <c r="N21" s="122">
        <f>(H17-H18)*$E$35</f>
        <v>166.15384615384616</v>
      </c>
      <c r="O21" s="122"/>
      <c r="P21" s="122"/>
      <c r="Q21" s="122">
        <f>(K17-K18)*$E$35</f>
        <v>332.30769230769232</v>
      </c>
      <c r="R21" s="122"/>
      <c r="S21" s="122"/>
      <c r="T21" s="122">
        <f>(N17-N18)*$E$35</f>
        <v>664.61538461538464</v>
      </c>
      <c r="U21" s="122"/>
      <c r="V21" s="122"/>
      <c r="W21" s="122">
        <f>((Q17-Q18)*$E$35)-(H21*$E$35)</f>
        <v>1287.6923076923078</v>
      </c>
      <c r="X21" s="122"/>
      <c r="Y21" s="122"/>
      <c r="Z21" s="122">
        <f>((T17-T18)*$E$35)-(K21*$E$35)</f>
        <v>2575.3846153846157</v>
      </c>
      <c r="AA21" s="122"/>
      <c r="AB21" s="122"/>
      <c r="AC21" s="122">
        <f>((W17-W18)*$E$35)-N21</f>
        <v>5150.7692307692314</v>
      </c>
      <c r="AD21" s="122"/>
      <c r="AE21" s="122"/>
      <c r="AF21" s="122">
        <f>((Z17-Z18)*$E$35)-Q21</f>
        <v>10301.538461538463</v>
      </c>
      <c r="AG21" s="122"/>
      <c r="AH21" s="122"/>
      <c r="AI21" s="122">
        <f>((AC17-AC18)*$E$35)-T21</f>
        <v>20603.076923076926</v>
      </c>
      <c r="AJ21" s="122"/>
      <c r="AK21" s="122"/>
      <c r="AL21" s="122">
        <f>((AF17-AF18)*$E$35)-W21</f>
        <v>41247.692307692312</v>
      </c>
      <c r="AM21" s="122"/>
      <c r="AN21" s="122"/>
      <c r="AO21" s="122">
        <f>((AI17-AI18)*$E$35)-Z21</f>
        <v>82495.384615384624</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38.974358974358978</v>
      </c>
      <c r="O22" s="124"/>
      <c r="P22" s="124"/>
      <c r="Q22" s="124">
        <f>(K17-K18)*($E$36+$E$37)</f>
        <v>77.948717948717956</v>
      </c>
      <c r="R22" s="124"/>
      <c r="S22" s="124"/>
      <c r="T22" s="124">
        <f>(N17-N18)*$E$36</f>
        <v>114.87179487179489</v>
      </c>
      <c r="U22" s="124"/>
      <c r="V22" s="124"/>
      <c r="W22" s="124">
        <f>(Q17-Q18)*$E$36</f>
        <v>229.74358974358978</v>
      </c>
      <c r="X22" s="124"/>
      <c r="Y22" s="124"/>
      <c r="Z22" s="124">
        <f>(T17-T18)*$E$36</f>
        <v>459.48717948717956</v>
      </c>
      <c r="AA22" s="124"/>
      <c r="AB22" s="124"/>
      <c r="AC22" s="124">
        <f>(W17-W18)*$E$36</f>
        <v>918.97435897435912</v>
      </c>
      <c r="AD22" s="124"/>
      <c r="AE22" s="124"/>
      <c r="AF22" s="124">
        <f>(Z17-Z18)*$E$36</f>
        <v>1837.9487179487182</v>
      </c>
      <c r="AG22" s="124"/>
      <c r="AH22" s="124"/>
      <c r="AI22" s="124">
        <f>(AC17-AC18)*$E$36</f>
        <v>3675.8974358974365</v>
      </c>
      <c r="AJ22" s="124"/>
      <c r="AK22" s="124"/>
      <c r="AL22" s="124">
        <f>(AF17-AF18)*$E$36</f>
        <v>7351.794871794873</v>
      </c>
      <c r="AM22" s="124"/>
      <c r="AN22" s="124"/>
      <c r="AO22" s="124">
        <f>(AI17-AI18)*$E$36</f>
        <v>14703.589743589746</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41.025641025641029</v>
      </c>
      <c r="U23" s="40"/>
      <c r="V23" s="40"/>
      <c r="W23" s="40">
        <f>(Q17-Q18)*$E$37</f>
        <v>82.051282051282058</v>
      </c>
      <c r="X23" s="40"/>
      <c r="Y23" s="40"/>
      <c r="Z23" s="40">
        <f>(T17-T18)*$E$37</f>
        <v>164.10256410256412</v>
      </c>
      <c r="AA23" s="40"/>
      <c r="AB23" s="40"/>
      <c r="AC23" s="40">
        <f>(W17-W18)*$E$37</f>
        <v>328.20512820512823</v>
      </c>
      <c r="AD23" s="40"/>
      <c r="AE23" s="40"/>
      <c r="AF23" s="40">
        <f>(Z17-Z18)*$E$37</f>
        <v>656.41025641025647</v>
      </c>
      <c r="AG23" s="40"/>
      <c r="AH23" s="40"/>
      <c r="AI23" s="40">
        <f>(AC17-AC18)*$E$37</f>
        <v>1312.8205128205129</v>
      </c>
      <c r="AJ23" s="40"/>
      <c r="AK23" s="40"/>
      <c r="AL23" s="40">
        <f>(AF17-AF18)*$E$37</f>
        <v>2625.6410256410259</v>
      </c>
      <c r="AM23" s="40"/>
      <c r="AN23" s="40"/>
      <c r="AO23" s="40">
        <f>(AI17-AI18)*$E$37</f>
        <v>5251.2820512820517</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41.53846153846154</v>
      </c>
      <c r="W24" s="108"/>
      <c r="X24" s="108"/>
      <c r="Y24" s="108">
        <f>K21*$E$35</f>
        <v>83.07692307692308</v>
      </c>
      <c r="Z24" s="108"/>
      <c r="AA24" s="108"/>
      <c r="AB24" s="108">
        <f>N21</f>
        <v>166.15384615384616</v>
      </c>
      <c r="AC24" s="108"/>
      <c r="AD24" s="108"/>
      <c r="AE24" s="108">
        <f>Q21</f>
        <v>332.30769230769232</v>
      </c>
      <c r="AF24" s="108"/>
      <c r="AG24" s="108"/>
      <c r="AH24" s="108">
        <f>T21</f>
        <v>664.61538461538464</v>
      </c>
      <c r="AI24" s="108"/>
      <c r="AJ24" s="108"/>
      <c r="AK24" s="108">
        <f>W21</f>
        <v>1287.6923076923078</v>
      </c>
      <c r="AL24" s="108"/>
      <c r="AM24" s="108"/>
      <c r="AN24" s="108">
        <f>Z21</f>
        <v>2575.3846153846157</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44130.784177893518</v>
      </c>
      <c r="C26" s="89">
        <f t="shared" ca="1" si="0"/>
        <v>44131.784177893518</v>
      </c>
      <c r="D26" s="89">
        <f t="shared" ca="1" si="0"/>
        <v>44132.784177893518</v>
      </c>
      <c r="E26" s="89">
        <f t="shared" ca="1" si="0"/>
        <v>44133.784177893518</v>
      </c>
      <c r="F26" s="89">
        <f t="shared" ca="1" si="0"/>
        <v>44134.784177893518</v>
      </c>
      <c r="G26" s="90">
        <f t="shared" ca="1" si="0"/>
        <v>44135.784177893518</v>
      </c>
      <c r="H26" s="89">
        <f t="shared" ref="H26:U26" ca="1" si="1">I26-1</f>
        <v>44136.784177893518</v>
      </c>
      <c r="I26" s="89">
        <f t="shared" ca="1" si="1"/>
        <v>44137.784177893518</v>
      </c>
      <c r="J26" s="89">
        <f t="shared" ca="1" si="1"/>
        <v>44138.784177893518</v>
      </c>
      <c r="K26" s="89">
        <f t="shared" ca="1" si="1"/>
        <v>44139.784177893518</v>
      </c>
      <c r="L26" s="89">
        <f t="shared" ca="1" si="1"/>
        <v>44140.784177893518</v>
      </c>
      <c r="M26" s="89">
        <f t="shared" ca="1" si="1"/>
        <v>44141.784177893518</v>
      </c>
      <c r="N26" s="90">
        <f t="shared" ca="1" si="1"/>
        <v>44142.784177893518</v>
      </c>
      <c r="O26" s="88">
        <f t="shared" ca="1" si="1"/>
        <v>44143.784177893518</v>
      </c>
      <c r="P26" s="89">
        <f t="shared" ca="1" si="1"/>
        <v>44144.784177893518</v>
      </c>
      <c r="Q26" s="89">
        <f t="shared" ca="1" si="1"/>
        <v>44145.784177893518</v>
      </c>
      <c r="R26" s="89">
        <f t="shared" ca="1" si="1"/>
        <v>44146.784177893518</v>
      </c>
      <c r="S26" s="89">
        <f t="shared" ca="1" si="1"/>
        <v>44147.784177893518</v>
      </c>
      <c r="T26" s="89">
        <f t="shared" ca="1" si="1"/>
        <v>44148.784177893518</v>
      </c>
      <c r="U26" s="90">
        <f t="shared" ca="1" si="1"/>
        <v>44149.784177893518</v>
      </c>
      <c r="V26" s="88">
        <f t="shared" ref="V26:AN26" ca="1" si="2">W26-1</f>
        <v>44150.784177893518</v>
      </c>
      <c r="W26" s="89">
        <f t="shared" ca="1" si="2"/>
        <v>44151.784177893518</v>
      </c>
      <c r="X26" s="89">
        <f t="shared" ca="1" si="2"/>
        <v>44152.784177893518</v>
      </c>
      <c r="Y26" s="89">
        <f t="shared" ca="1" si="2"/>
        <v>44153.784177893518</v>
      </c>
      <c r="Z26" s="89">
        <f t="shared" ca="1" si="2"/>
        <v>44154.784177893518</v>
      </c>
      <c r="AA26" s="89">
        <f t="shared" ca="1" si="2"/>
        <v>44155.784177893518</v>
      </c>
      <c r="AB26" s="90">
        <f t="shared" ca="1" si="2"/>
        <v>44156.784177893518</v>
      </c>
      <c r="AC26" s="88">
        <f t="shared" ca="1" si="2"/>
        <v>44157.784177893518</v>
      </c>
      <c r="AD26" s="89">
        <f t="shared" ca="1" si="2"/>
        <v>44158.784177893518</v>
      </c>
      <c r="AE26" s="89">
        <f t="shared" ca="1" si="2"/>
        <v>44159.784177893518</v>
      </c>
      <c r="AF26" s="89">
        <f t="shared" ca="1" si="2"/>
        <v>44160.784177893518</v>
      </c>
      <c r="AG26" s="89">
        <f t="shared" ca="1" si="2"/>
        <v>44161.784177893518</v>
      </c>
      <c r="AH26" s="89">
        <f t="shared" ca="1" si="2"/>
        <v>44162.784177893518</v>
      </c>
      <c r="AI26" s="90">
        <f t="shared" ca="1" si="2"/>
        <v>44163.784177893518</v>
      </c>
      <c r="AJ26" s="88">
        <f t="shared" ca="1" si="2"/>
        <v>44164.784177893518</v>
      </c>
      <c r="AK26" s="89">
        <f t="shared" ca="1" si="2"/>
        <v>44165.784177893518</v>
      </c>
      <c r="AL26" s="89">
        <f t="shared" ca="1" si="2"/>
        <v>44166.784177893518</v>
      </c>
      <c r="AM26" s="89">
        <f t="shared" ca="1" si="2"/>
        <v>44167.784177893518</v>
      </c>
      <c r="AN26" s="89">
        <f t="shared" ca="1" si="2"/>
        <v>44168.784177893518</v>
      </c>
      <c r="AO26" s="89">
        <f ca="1">AP26-1</f>
        <v>44169.784177893518</v>
      </c>
      <c r="AP26" s="110">
        <f ca="1">NOW()</f>
        <v>44170.784177893518</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3" t="s">
        <v>66</v>
      </c>
      <c r="C28" s="344"/>
      <c r="D28" s="344"/>
      <c r="E28" s="344"/>
      <c r="F28" s="344"/>
      <c r="G28" s="345"/>
      <c r="H28" s="349" t="s">
        <v>56</v>
      </c>
      <c r="I28" s="349"/>
      <c r="J28" s="349"/>
      <c r="K28" s="349"/>
      <c r="L28" s="349"/>
      <c r="M28" s="349"/>
      <c r="N28" s="350"/>
      <c r="O28" s="348" t="s">
        <v>57</v>
      </c>
      <c r="P28" s="349"/>
      <c r="Q28" s="349"/>
      <c r="R28" s="349"/>
      <c r="S28" s="349"/>
      <c r="T28" s="349"/>
      <c r="U28" s="350"/>
      <c r="V28" s="348" t="s">
        <v>58</v>
      </c>
      <c r="W28" s="349"/>
      <c r="X28" s="349"/>
      <c r="Y28" s="349"/>
      <c r="Z28" s="349"/>
      <c r="AA28" s="349"/>
      <c r="AB28" s="350"/>
      <c r="AC28" s="348" t="s">
        <v>59</v>
      </c>
      <c r="AD28" s="349"/>
      <c r="AE28" s="349"/>
      <c r="AF28" s="349"/>
      <c r="AG28" s="349"/>
      <c r="AH28" s="349"/>
      <c r="AI28" s="350"/>
      <c r="AJ28" s="348" t="s">
        <v>60</v>
      </c>
      <c r="AK28" s="349"/>
      <c r="AL28" s="349"/>
      <c r="AM28" s="349"/>
      <c r="AN28" s="349"/>
      <c r="AO28" s="349"/>
      <c r="AP28" s="350"/>
    </row>
    <row r="29" spans="1:43" x14ac:dyDescent="0.25">
      <c r="B29" s="51" t="s">
        <v>78</v>
      </c>
      <c r="C29" s="95"/>
      <c r="D29" s="95"/>
      <c r="E29" s="95"/>
      <c r="F29" s="95"/>
      <c r="G29" s="96"/>
      <c r="H29" s="346" t="s">
        <v>65</v>
      </c>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7"/>
    </row>
    <row r="31" spans="1:43" x14ac:dyDescent="0.25">
      <c r="B31" s="57" t="s">
        <v>67</v>
      </c>
      <c r="C31" s="137" t="s">
        <v>188</v>
      </c>
      <c r="D31" s="9"/>
      <c r="E31" s="84">
        <f>VLOOKUP(C31,B43:C54,2,FALSE)</f>
        <v>1.95E-2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0.28205128205128205</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1.95E-2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E336" zoomScale="85" zoomScaleNormal="85" workbookViewId="0">
      <selection activeCell="BJ396" sqref="BJ396"/>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13">
        <v>42917</v>
      </c>
      <c r="F3" t="s">
        <v>554</v>
      </c>
    </row>
    <row r="4" spans="3:36" x14ac:dyDescent="0.25">
      <c r="C4" t="s">
        <v>352</v>
      </c>
      <c r="D4" t="s">
        <v>352</v>
      </c>
      <c r="E4" s="266">
        <v>43132</v>
      </c>
      <c r="F4" t="s">
        <v>552</v>
      </c>
    </row>
    <row r="5" spans="3:36" x14ac:dyDescent="0.25">
      <c r="C5" t="s">
        <v>352</v>
      </c>
      <c r="D5" t="s">
        <v>352</v>
      </c>
      <c r="E5" s="313">
        <v>43160</v>
      </c>
      <c r="F5" t="s">
        <v>553</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509</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540</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541</v>
      </c>
      <c r="H21" s="69"/>
      <c r="I21" s="69"/>
      <c r="J21" s="69"/>
      <c r="K21" s="69"/>
      <c r="L21" s="69"/>
      <c r="M21" s="69"/>
      <c r="N21" s="69"/>
      <c r="O21" s="69"/>
      <c r="P21" s="162"/>
      <c r="R21" s="208"/>
    </row>
    <row r="22" spans="4:37" x14ac:dyDescent="0.25">
      <c r="D22" s="69" t="s">
        <v>352</v>
      </c>
      <c r="E22" s="69" t="s">
        <v>352</v>
      </c>
      <c r="F22" s="162">
        <v>43844</v>
      </c>
      <c r="G22" s="69" t="s">
        <v>544</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543</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542</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506</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521</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520</v>
      </c>
      <c r="AF129" s="69"/>
      <c r="AG129" s="69"/>
      <c r="AQ129" s="69"/>
      <c r="AR129" s="69"/>
      <c r="AS129" s="69"/>
      <c r="AT129" s="69"/>
      <c r="AU129" s="69"/>
      <c r="AV129" s="69"/>
      <c r="BC129" s="69"/>
    </row>
    <row r="130" spans="3:59" x14ac:dyDescent="0.25">
      <c r="AB130" s="262">
        <v>168177</v>
      </c>
      <c r="AC130" s="264">
        <v>4066</v>
      </c>
      <c r="AD130" s="267">
        <v>43920</v>
      </c>
      <c r="AE130" t="s">
        <v>519</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522</v>
      </c>
      <c r="AF133" s="69"/>
      <c r="AG133" s="69"/>
      <c r="BC133" s="69"/>
    </row>
    <row r="134" spans="3:59" x14ac:dyDescent="0.25">
      <c r="AB134" s="262">
        <v>220295</v>
      </c>
      <c r="AC134" s="264">
        <v>6394</v>
      </c>
      <c r="AD134" s="149">
        <v>43922</v>
      </c>
      <c r="AE134" t="s">
        <v>517</v>
      </c>
      <c r="AF134" s="69"/>
      <c r="AG134" s="69"/>
      <c r="BC134" s="69"/>
    </row>
    <row r="135" spans="3:59" x14ac:dyDescent="0.25">
      <c r="AB135" s="262">
        <v>220295</v>
      </c>
      <c r="AC135" s="264">
        <v>6394</v>
      </c>
      <c r="AD135" s="294">
        <v>43922</v>
      </c>
      <c r="AE135" t="s">
        <v>518</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523</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524</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4">
        <v>43929</v>
      </c>
      <c r="AF142" t="s">
        <v>508</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4">
        <v>43929</v>
      </c>
      <c r="AF143" t="s">
        <v>549</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4">
        <v>43931</v>
      </c>
      <c r="AF144" t="s">
        <v>516</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525</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526</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527</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501</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515</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502</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528</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529</v>
      </c>
      <c r="BH183" s="69"/>
    </row>
    <row r="184" spans="3:65" x14ac:dyDescent="0.25">
      <c r="AH184" s="262">
        <v>1064194</v>
      </c>
      <c r="AI184" s="264">
        <v>61655</v>
      </c>
      <c r="AJ184" s="245">
        <v>43950</v>
      </c>
      <c r="AK184" t="s">
        <v>514</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512</v>
      </c>
      <c r="AR192" s="69"/>
      <c r="AS192" s="69"/>
      <c r="AT192" s="69"/>
      <c r="AU192" s="69"/>
      <c r="AV192" s="69"/>
      <c r="BC192" s="69"/>
    </row>
    <row r="193" spans="3:61" x14ac:dyDescent="0.25">
      <c r="AH193" s="262">
        <v>1188122</v>
      </c>
      <c r="AI193" s="264">
        <v>68597</v>
      </c>
      <c r="AJ193" s="208">
        <v>43954</v>
      </c>
      <c r="AK193" t="s">
        <v>513</v>
      </c>
      <c r="AL193" s="69"/>
      <c r="AM193" s="69"/>
      <c r="AR193" s="69"/>
      <c r="AS193" s="69"/>
      <c r="AT193" s="69"/>
      <c r="AU193" s="69"/>
      <c r="AV193" s="69"/>
    </row>
    <row r="194" spans="3:61" x14ac:dyDescent="0.25">
      <c r="AH194" s="262">
        <v>1212835</v>
      </c>
      <c r="AI194" s="264">
        <v>69921</v>
      </c>
      <c r="AJ194" s="245">
        <v>43955</v>
      </c>
      <c r="AK194" t="s">
        <v>511</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545</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505</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562</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503</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504</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573</v>
      </c>
      <c r="AV266" s="69"/>
      <c r="BI266" s="69"/>
    </row>
    <row r="267" spans="3:65" x14ac:dyDescent="0.25">
      <c r="AI267" s="69"/>
      <c r="AJ267" s="69"/>
      <c r="AK267" s="271">
        <v>1793530</v>
      </c>
      <c r="AL267" s="270">
        <v>104542</v>
      </c>
      <c r="AM267" s="245">
        <v>43980</v>
      </c>
      <c r="AN267" s="47" t="s">
        <v>531</v>
      </c>
      <c r="AO267" s="69"/>
      <c r="AP267" s="69"/>
      <c r="AQ267" s="69"/>
      <c r="AR267" s="69"/>
      <c r="AS267" s="69"/>
      <c r="AT267" s="69"/>
      <c r="AU267" s="69"/>
      <c r="BI267" s="69"/>
    </row>
    <row r="268" spans="3:65" x14ac:dyDescent="0.25">
      <c r="AI268" s="69"/>
      <c r="AJ268" s="69"/>
      <c r="AK268" s="271">
        <v>1793530</v>
      </c>
      <c r="AL268" s="270">
        <v>104542</v>
      </c>
      <c r="AM268" s="162">
        <v>43980</v>
      </c>
      <c r="AN268" s="69" t="s">
        <v>510</v>
      </c>
      <c r="AO268" s="69"/>
      <c r="AP268" s="69"/>
      <c r="AQ268" s="69"/>
      <c r="AR268" s="69"/>
      <c r="AS268" s="69"/>
      <c r="AT268" s="69"/>
      <c r="AU268" s="69"/>
    </row>
    <row r="269" spans="3:65" x14ac:dyDescent="0.25">
      <c r="AI269" s="69"/>
      <c r="AJ269" s="69"/>
      <c r="AK269" s="271">
        <v>1793530</v>
      </c>
      <c r="AL269" s="270">
        <v>104542</v>
      </c>
      <c r="AM269" s="245">
        <v>43980</v>
      </c>
      <c r="AN269" s="69" t="s">
        <v>530</v>
      </c>
      <c r="AO269" s="69"/>
      <c r="AP269" s="69"/>
      <c r="AQ269" s="69"/>
      <c r="AR269" s="69"/>
      <c r="AS269" s="69"/>
      <c r="AT269" s="69"/>
      <c r="AU269" s="69"/>
    </row>
    <row r="270" spans="3:65" x14ac:dyDescent="0.25">
      <c r="AK270" s="271">
        <v>1837170</v>
      </c>
      <c r="AL270" s="270">
        <v>106195</v>
      </c>
      <c r="AM270" s="245">
        <v>43982</v>
      </c>
      <c r="AN270" s="69" t="s">
        <v>535</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534</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537</v>
      </c>
      <c r="BD272" s="69"/>
      <c r="BE272" s="69"/>
      <c r="BF272" s="69"/>
      <c r="BG272" s="69"/>
      <c r="BI272" s="69"/>
    </row>
    <row r="273" spans="3:65" x14ac:dyDescent="0.25">
      <c r="AK273" s="271">
        <v>1881205</v>
      </c>
      <c r="AL273" s="270">
        <v>108059</v>
      </c>
      <c r="AM273" s="246">
        <v>43984</v>
      </c>
      <c r="AN273" s="69" t="s">
        <v>538</v>
      </c>
      <c r="AW273" s="69"/>
      <c r="AX273" s="69"/>
      <c r="AY273" s="69"/>
      <c r="AZ273" s="69"/>
      <c r="BA273" s="69"/>
      <c r="BB273" s="69"/>
      <c r="BC273" s="69"/>
    </row>
    <row r="274" spans="3:65" x14ac:dyDescent="0.25">
      <c r="AK274" s="271">
        <v>1919975</v>
      </c>
      <c r="AL274" s="270">
        <v>111760</v>
      </c>
      <c r="AM274" s="162">
        <v>43985</v>
      </c>
      <c r="AN274" s="69" t="s">
        <v>637</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557</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567</v>
      </c>
    </row>
    <row r="277" spans="3:65" x14ac:dyDescent="0.25">
      <c r="AK277" s="271">
        <v>1965708</v>
      </c>
      <c r="AL277" s="270">
        <v>113798</v>
      </c>
      <c r="AM277" s="245">
        <v>43987</v>
      </c>
      <c r="AN277" t="s">
        <v>563</v>
      </c>
    </row>
    <row r="278" spans="3:65" x14ac:dyDescent="0.25">
      <c r="AI278" s="69"/>
      <c r="AJ278" s="69"/>
      <c r="AK278" s="271">
        <v>1965708</v>
      </c>
      <c r="AL278" s="270">
        <v>113798</v>
      </c>
      <c r="AM278" s="208">
        <v>43987</v>
      </c>
      <c r="AN278" s="69" t="s">
        <v>561</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558</v>
      </c>
      <c r="AR279" s="69"/>
      <c r="AS279" s="69"/>
      <c r="AT279" s="69"/>
      <c r="AU279" s="69"/>
      <c r="BH279" s="69"/>
      <c r="BI279" s="69"/>
    </row>
    <row r="280" spans="3:65" x14ac:dyDescent="0.25">
      <c r="AI280" s="69"/>
      <c r="AJ280" s="69"/>
      <c r="AK280" s="271">
        <v>2026493</v>
      </c>
      <c r="AL280" s="270">
        <v>115497</v>
      </c>
      <c r="AM280" s="246">
        <v>43990</v>
      </c>
      <c r="AN280" s="69" t="s">
        <v>560</v>
      </c>
      <c r="AR280" s="69"/>
      <c r="AS280" s="69"/>
      <c r="AT280" s="69"/>
      <c r="AU280" s="69"/>
      <c r="BH280" s="69"/>
      <c r="BJ280" s="69"/>
      <c r="BK280" s="69"/>
      <c r="BL280" s="69"/>
      <c r="BM280" s="69"/>
    </row>
    <row r="281" spans="3:65" x14ac:dyDescent="0.25">
      <c r="AL281" s="271">
        <v>2045549</v>
      </c>
      <c r="AM281" s="270">
        <v>116602</v>
      </c>
      <c r="AN281" s="246">
        <v>43991</v>
      </c>
      <c r="AO281" t="s">
        <v>559</v>
      </c>
      <c r="BH281" s="69"/>
      <c r="BJ281" s="69"/>
      <c r="BK281" s="69"/>
      <c r="BL281" s="69"/>
      <c r="BM281" s="69"/>
    </row>
    <row r="282" spans="3:65" x14ac:dyDescent="0.25">
      <c r="AL282" s="271">
        <v>2066558</v>
      </c>
      <c r="AM282" s="270">
        <v>117600</v>
      </c>
      <c r="AN282" s="162">
        <v>43992</v>
      </c>
      <c r="AO282" t="s">
        <v>577</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569</v>
      </c>
      <c r="AV283" s="69"/>
    </row>
    <row r="284" spans="3:65" s="69" customFormat="1" x14ac:dyDescent="0.25">
      <c r="AI284"/>
      <c r="AJ284"/>
      <c r="AK284"/>
      <c r="AL284" s="271">
        <v>2089701</v>
      </c>
      <c r="AM284" s="270">
        <v>118518</v>
      </c>
      <c r="AN284" s="245">
        <v>43993</v>
      </c>
      <c r="AO284" t="s">
        <v>565</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570</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564</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566</v>
      </c>
      <c r="BH287" s="69"/>
      <c r="BJ287" s="69"/>
      <c r="BK287" s="69"/>
      <c r="BL287" s="69"/>
      <c r="BM287" s="69"/>
    </row>
    <row r="288" spans="3:65" x14ac:dyDescent="0.25">
      <c r="AL288" s="271">
        <v>2182950</v>
      </c>
      <c r="AM288" s="270">
        <v>120802</v>
      </c>
      <c r="AN288" s="162">
        <v>43997</v>
      </c>
      <c r="AO288" s="69" t="s">
        <v>572</v>
      </c>
      <c r="AP288" s="69"/>
      <c r="AQ288" s="69"/>
      <c r="BH288" s="69"/>
    </row>
    <row r="289" spans="3:65" x14ac:dyDescent="0.25">
      <c r="AL289" s="271">
        <v>2182950</v>
      </c>
      <c r="AM289" s="270">
        <v>120802</v>
      </c>
      <c r="AN289" s="245">
        <v>43997</v>
      </c>
      <c r="AO289" s="47" t="s">
        <v>574</v>
      </c>
      <c r="AP289" s="69"/>
      <c r="AQ289" s="69"/>
    </row>
    <row r="290" spans="3:65" x14ac:dyDescent="0.25">
      <c r="AL290" s="271">
        <v>2208400</v>
      </c>
      <c r="AM290" s="270">
        <v>121661</v>
      </c>
      <c r="AN290" s="162">
        <v>43998</v>
      </c>
      <c r="AO290" s="69" t="s">
        <v>568</v>
      </c>
    </row>
    <row r="291" spans="3:65" x14ac:dyDescent="0.25">
      <c r="AL291" s="271">
        <v>2208400</v>
      </c>
      <c r="AM291" s="270">
        <v>121661</v>
      </c>
      <c r="AN291" s="208">
        <v>43998</v>
      </c>
      <c r="AO291" s="47" t="s">
        <v>571</v>
      </c>
      <c r="BD291" s="69"/>
      <c r="BE291" s="69"/>
      <c r="BF291" s="69"/>
      <c r="BG291" s="69"/>
      <c r="BI291" s="69"/>
    </row>
    <row r="292" spans="3:65" x14ac:dyDescent="0.25">
      <c r="AL292" s="271">
        <v>2208400</v>
      </c>
      <c r="AM292" s="270">
        <v>121661</v>
      </c>
      <c r="AN292" s="245">
        <v>43998</v>
      </c>
      <c r="AO292" s="47" t="s">
        <v>575</v>
      </c>
      <c r="BI292" s="69"/>
    </row>
    <row r="293" spans="3:65" x14ac:dyDescent="0.25">
      <c r="AL293" s="271">
        <v>2263651</v>
      </c>
      <c r="AM293" s="270">
        <v>123238</v>
      </c>
      <c r="AN293" s="245">
        <v>44000</v>
      </c>
      <c r="AO293" s="47" t="s">
        <v>576</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578</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631</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634</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633</v>
      </c>
    </row>
    <row r="298" spans="3:65" x14ac:dyDescent="0.25">
      <c r="AM298" s="271">
        <v>2552956</v>
      </c>
      <c r="AN298" s="270">
        <v>128195</v>
      </c>
      <c r="AO298" s="208">
        <v>44008</v>
      </c>
      <c r="AP298" t="s">
        <v>629</v>
      </c>
    </row>
    <row r="299" spans="3:65" x14ac:dyDescent="0.25">
      <c r="AM299" s="271">
        <v>2552956</v>
      </c>
      <c r="AN299" s="270">
        <v>128195</v>
      </c>
      <c r="AO299" s="208">
        <v>44008</v>
      </c>
      <c r="AP299" t="s">
        <v>632</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628</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630</v>
      </c>
      <c r="BH301" s="69"/>
      <c r="BI301" s="69"/>
      <c r="BJ301" s="69"/>
      <c r="BK301" s="69"/>
      <c r="BL301" s="69"/>
      <c r="BM301" s="69"/>
    </row>
    <row r="302" spans="3:65" x14ac:dyDescent="0.25">
      <c r="AM302" s="271">
        <v>2637077</v>
      </c>
      <c r="AN302" s="270">
        <v>128992</v>
      </c>
      <c r="AO302" s="208">
        <v>44010</v>
      </c>
      <c r="AP302" t="s">
        <v>635</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636</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638</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639</v>
      </c>
      <c r="AQ305" s="69"/>
      <c r="AR305" s="69"/>
      <c r="AS305" s="69"/>
      <c r="AT305" s="69"/>
      <c r="AU305" s="69"/>
      <c r="BD305" s="69"/>
      <c r="BE305" s="69"/>
      <c r="BF305" s="69"/>
      <c r="BG305" s="69"/>
    </row>
    <row r="306" spans="3:65" x14ac:dyDescent="0.25">
      <c r="AM306" s="271">
        <v>2727853</v>
      </c>
      <c r="AN306" s="270">
        <v>130122</v>
      </c>
      <c r="AO306" s="162">
        <v>44012</v>
      </c>
      <c r="AP306" s="69" t="s">
        <v>641</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642</v>
      </c>
      <c r="AQ307"/>
      <c r="AR307"/>
      <c r="AS307"/>
      <c r="AT307"/>
      <c r="AU307"/>
      <c r="AV307"/>
      <c r="AW307"/>
      <c r="AX307"/>
      <c r="AY307"/>
      <c r="AZ307"/>
      <c r="BA307"/>
      <c r="BB307"/>
      <c r="BC307"/>
    </row>
    <row r="308" spans="3:65" x14ac:dyDescent="0.25">
      <c r="AM308" s="271">
        <v>2727853</v>
      </c>
      <c r="AN308" s="270">
        <v>130122</v>
      </c>
      <c r="AO308" s="208">
        <v>44012</v>
      </c>
      <c r="AP308" s="69" t="s">
        <v>643</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640</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645</v>
      </c>
      <c r="BD310"/>
      <c r="BE310"/>
      <c r="BF310"/>
      <c r="BG310"/>
      <c r="BH310"/>
      <c r="BI310"/>
      <c r="BJ310"/>
      <c r="BK310"/>
      <c r="BL310"/>
      <c r="BM310"/>
    </row>
    <row r="311" spans="3:65" s="69" customFormat="1" x14ac:dyDescent="0.25">
      <c r="AM311" s="271">
        <v>2779953</v>
      </c>
      <c r="AN311" s="270">
        <v>130798</v>
      </c>
      <c r="AO311" s="245">
        <v>44013</v>
      </c>
      <c r="AP311" s="69" t="s">
        <v>648</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644</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646</v>
      </c>
    </row>
    <row r="314" spans="3:65" x14ac:dyDescent="0.25">
      <c r="AN314" s="271">
        <v>2890588</v>
      </c>
      <c r="AO314" s="270">
        <v>132101</v>
      </c>
      <c r="AP314" s="245">
        <v>44015</v>
      </c>
      <c r="AQ314" s="69" t="s">
        <v>647</v>
      </c>
    </row>
    <row r="315" spans="3:65" x14ac:dyDescent="0.25">
      <c r="AN315" s="271">
        <v>2945127</v>
      </c>
      <c r="AO315" s="270">
        <v>132339</v>
      </c>
      <c r="AP315" s="245">
        <v>44016</v>
      </c>
      <c r="AQ315" t="s">
        <v>649</v>
      </c>
    </row>
    <row r="316" spans="3:65" x14ac:dyDescent="0.25">
      <c r="AN316" s="271">
        <v>3041642</v>
      </c>
      <c r="AO316" s="270">
        <v>132979</v>
      </c>
      <c r="AP316" s="246">
        <v>44018</v>
      </c>
      <c r="AQ316" t="s">
        <v>650</v>
      </c>
    </row>
    <row r="317" spans="3:65" x14ac:dyDescent="0.25">
      <c r="AN317" s="271">
        <v>3041642</v>
      </c>
      <c r="AO317" s="270">
        <v>132979</v>
      </c>
      <c r="AP317" s="208">
        <v>44018</v>
      </c>
      <c r="AQ317" t="s">
        <v>651</v>
      </c>
    </row>
    <row r="318" spans="3:65" x14ac:dyDescent="0.25">
      <c r="AN318" s="271">
        <v>3041642</v>
      </c>
      <c r="AO318" s="270">
        <v>132979</v>
      </c>
      <c r="AP318" s="208">
        <v>44018</v>
      </c>
      <c r="AQ318" t="s">
        <v>658</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652</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655</v>
      </c>
      <c r="BD320"/>
      <c r="BE320"/>
      <c r="BF320"/>
      <c r="BG320"/>
      <c r="BH320"/>
      <c r="BI320"/>
      <c r="BJ320"/>
      <c r="BK320"/>
      <c r="BL320"/>
      <c r="BM320"/>
    </row>
    <row r="321" spans="40:65" x14ac:dyDescent="0.25">
      <c r="AN321" s="271">
        <v>3224892</v>
      </c>
      <c r="AO321" s="270">
        <v>135791</v>
      </c>
      <c r="AP321" s="245">
        <v>44021</v>
      </c>
      <c r="AQ321" t="s">
        <v>657</v>
      </c>
      <c r="BH321" s="69"/>
      <c r="BI321" s="69"/>
      <c r="BJ321" s="69"/>
      <c r="BK321" s="69"/>
      <c r="BL321" s="69"/>
      <c r="BM321" s="69"/>
    </row>
    <row r="322" spans="40:65" x14ac:dyDescent="0.25">
      <c r="AN322" s="271">
        <v>3224892</v>
      </c>
      <c r="AO322" s="270">
        <v>135791</v>
      </c>
      <c r="AP322" s="245">
        <v>44021</v>
      </c>
      <c r="AQ322" t="s">
        <v>656</v>
      </c>
      <c r="BH322" s="69"/>
      <c r="BI322" s="69"/>
      <c r="BJ322" s="69"/>
      <c r="BK322" s="69"/>
      <c r="BL322" s="69"/>
      <c r="BM322" s="69"/>
    </row>
    <row r="323" spans="40:65" x14ac:dyDescent="0.25">
      <c r="AO323" s="271">
        <v>3297170</v>
      </c>
      <c r="AP323" s="270">
        <v>136639</v>
      </c>
      <c r="AQ323" s="208">
        <v>44022</v>
      </c>
      <c r="AR323" t="s">
        <v>669</v>
      </c>
      <c r="BH323" s="69"/>
      <c r="BI323" s="69"/>
      <c r="BJ323" s="69"/>
      <c r="BK323" s="69"/>
      <c r="BL323" s="69"/>
      <c r="BM323" s="69"/>
    </row>
    <row r="324" spans="40:65" x14ac:dyDescent="0.25">
      <c r="AO324" s="271">
        <v>3297170</v>
      </c>
      <c r="AP324" s="270">
        <v>136639</v>
      </c>
      <c r="AQ324" s="246">
        <v>44022</v>
      </c>
      <c r="AR324" s="69" t="s">
        <v>654</v>
      </c>
      <c r="BH324" s="69"/>
      <c r="BI324" s="69"/>
      <c r="BJ324" s="69"/>
      <c r="BK324" s="69"/>
      <c r="BL324" s="69"/>
      <c r="BM324" s="69"/>
    </row>
    <row r="325" spans="40:65" x14ac:dyDescent="0.25">
      <c r="AO325" s="271">
        <v>3297170</v>
      </c>
      <c r="AP325" s="270">
        <v>136639</v>
      </c>
      <c r="AQ325" s="246">
        <v>44022</v>
      </c>
      <c r="AR325" s="69" t="s">
        <v>653</v>
      </c>
    </row>
    <row r="326" spans="40:65" x14ac:dyDescent="0.25">
      <c r="AO326" s="271">
        <v>3417795</v>
      </c>
      <c r="AP326" s="270">
        <v>137752</v>
      </c>
      <c r="AQ326" s="208">
        <v>44024</v>
      </c>
      <c r="AR326" s="69" t="s">
        <v>659</v>
      </c>
      <c r="BD326" s="69"/>
      <c r="BE326" s="69"/>
      <c r="BF326" s="69"/>
      <c r="BG326" s="69"/>
    </row>
    <row r="327" spans="40:65" x14ac:dyDescent="0.25">
      <c r="AO327" s="271">
        <v>3417795</v>
      </c>
      <c r="AP327" s="270">
        <v>137752</v>
      </c>
      <c r="AQ327" s="208">
        <v>44024</v>
      </c>
      <c r="AR327" s="69" t="s">
        <v>665</v>
      </c>
      <c r="BD327" s="69"/>
      <c r="BE327" s="69"/>
      <c r="BF327" s="69"/>
      <c r="BG327" s="69"/>
    </row>
    <row r="328" spans="40:65" x14ac:dyDescent="0.25">
      <c r="AO328" s="271">
        <v>3483584</v>
      </c>
      <c r="AP328" s="270">
        <v>138217</v>
      </c>
      <c r="AQ328" s="245">
        <v>44025</v>
      </c>
      <c r="AR328" s="69" t="s">
        <v>667</v>
      </c>
      <c r="BD328" s="69"/>
      <c r="BE328" s="69"/>
      <c r="BF328" s="69"/>
      <c r="BG328" s="69"/>
    </row>
    <row r="329" spans="40:65" x14ac:dyDescent="0.25">
      <c r="AO329" s="271">
        <v>3483584</v>
      </c>
      <c r="AP329" s="270">
        <v>138217</v>
      </c>
      <c r="AQ329" s="245">
        <v>44025</v>
      </c>
      <c r="AR329" s="69" t="s">
        <v>668</v>
      </c>
    </row>
    <row r="330" spans="40:65" x14ac:dyDescent="0.25">
      <c r="AO330" s="271">
        <v>3483584</v>
      </c>
      <c r="AP330" s="270">
        <v>138217</v>
      </c>
      <c r="AQ330" s="208">
        <v>44025</v>
      </c>
      <c r="AR330" s="69" t="s">
        <v>660</v>
      </c>
    </row>
    <row r="331" spans="40:65" x14ac:dyDescent="0.25">
      <c r="AO331" s="271">
        <v>3483584</v>
      </c>
      <c r="AP331" s="270">
        <v>138217</v>
      </c>
      <c r="AQ331" s="208">
        <v>44025</v>
      </c>
      <c r="AR331" s="69" t="s">
        <v>666</v>
      </c>
    </row>
    <row r="332" spans="40:65" x14ac:dyDescent="0.25">
      <c r="AO332" s="271">
        <v>3549632</v>
      </c>
      <c r="AP332" s="270">
        <v>139153</v>
      </c>
      <c r="AQ332" s="208">
        <v>44026</v>
      </c>
      <c r="AR332" s="69" t="s">
        <v>661</v>
      </c>
    </row>
    <row r="333" spans="40:65" x14ac:dyDescent="0.25">
      <c r="AO333" s="271">
        <v>3549632</v>
      </c>
      <c r="AP333" s="270">
        <v>139153</v>
      </c>
      <c r="AQ333" s="208">
        <v>44026</v>
      </c>
      <c r="AR333" s="69" t="s">
        <v>674</v>
      </c>
    </row>
    <row r="334" spans="40:65" x14ac:dyDescent="0.25">
      <c r="AO334" s="271">
        <v>3549632</v>
      </c>
      <c r="AP334" s="270">
        <v>139153</v>
      </c>
      <c r="AQ334" s="246">
        <v>44026</v>
      </c>
      <c r="AR334" s="69" t="s">
        <v>670</v>
      </c>
    </row>
    <row r="335" spans="40:65" x14ac:dyDescent="0.25">
      <c r="AO335" s="271">
        <v>3549632</v>
      </c>
      <c r="AP335" s="270">
        <v>139153</v>
      </c>
      <c r="AQ335" s="208">
        <v>44026</v>
      </c>
      <c r="AR335" s="69" t="s">
        <v>671</v>
      </c>
    </row>
    <row r="336" spans="40:65" x14ac:dyDescent="0.25">
      <c r="AO336" s="271">
        <v>3621637</v>
      </c>
      <c r="AP336" s="270">
        <v>140155</v>
      </c>
      <c r="AQ336" s="208">
        <v>44027</v>
      </c>
      <c r="AR336" s="69" t="s">
        <v>672</v>
      </c>
    </row>
    <row r="337" spans="1:45" x14ac:dyDescent="0.25">
      <c r="AP337" s="271">
        <v>3695025</v>
      </c>
      <c r="AQ337" s="270">
        <v>141118</v>
      </c>
      <c r="AR337" s="208">
        <v>44028</v>
      </c>
      <c r="AS337" s="69" t="s">
        <v>662</v>
      </c>
    </row>
    <row r="338" spans="1:45" x14ac:dyDescent="0.25">
      <c r="AP338" s="271">
        <v>3770012</v>
      </c>
      <c r="AQ338" s="270">
        <v>142064</v>
      </c>
      <c r="AR338" s="208">
        <v>44029</v>
      </c>
      <c r="AS338" s="69" t="s">
        <v>663</v>
      </c>
    </row>
    <row r="339" spans="1:45" x14ac:dyDescent="0.25">
      <c r="AP339" s="271">
        <v>3770012</v>
      </c>
      <c r="AQ339" s="270">
        <v>142064</v>
      </c>
      <c r="AR339" s="208">
        <v>44029</v>
      </c>
      <c r="AS339" s="69" t="s">
        <v>673</v>
      </c>
    </row>
    <row r="340" spans="1:45" x14ac:dyDescent="0.25">
      <c r="AP340" s="271">
        <v>3833271</v>
      </c>
      <c r="AQ340" s="270">
        <v>142877</v>
      </c>
      <c r="AR340" s="208">
        <v>44030</v>
      </c>
      <c r="AS340" s="69" t="s">
        <v>664</v>
      </c>
    </row>
    <row r="341" spans="1:45" x14ac:dyDescent="0.25">
      <c r="AP341" s="271">
        <v>3833271</v>
      </c>
      <c r="AQ341" s="270">
        <v>142877</v>
      </c>
      <c r="AR341" s="208">
        <v>44030</v>
      </c>
      <c r="AS341" s="69" t="s">
        <v>675</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0.71794871794871795</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19"/>
      <c r="BD361" s="172"/>
      <c r="BE361" s="172"/>
      <c r="BF361" s="172"/>
      <c r="BG361" s="172"/>
      <c r="BH361" s="172"/>
      <c r="BI361" s="172"/>
      <c r="BJ361" s="172"/>
      <c r="BK361" s="172"/>
      <c r="BL361" s="172"/>
    </row>
    <row r="362" spans="1:69" x14ac:dyDescent="0.25">
      <c r="A362" s="37" t="s">
        <v>112</v>
      </c>
      <c r="B362" s="65">
        <v>1.95E-2</v>
      </c>
      <c r="C362" s="2"/>
      <c r="D362" s="176" t="s">
        <v>158</v>
      </c>
      <c r="W362" s="16"/>
      <c r="X362" s="16"/>
      <c r="Y362" s="16"/>
      <c r="AK362" s="208"/>
      <c r="AL362" s="208"/>
      <c r="AV362" s="172"/>
      <c r="AW362" s="172"/>
      <c r="AX362" s="173"/>
      <c r="AY362" s="173"/>
      <c r="AZ362" s="173"/>
      <c r="BA362" s="173"/>
      <c r="BB362" s="173"/>
    </row>
    <row r="363" spans="1:69" x14ac:dyDescent="0.25">
      <c r="A363" s="152" t="s">
        <v>296</v>
      </c>
      <c r="B363" s="153">
        <v>43851</v>
      </c>
      <c r="C363" s="2"/>
      <c r="D363" s="237">
        <f>(BC366-R366)/(LOG(BC367/R367)/LOG(2))</f>
        <v>15.526315789473685</v>
      </c>
      <c r="E363" s="172"/>
      <c r="L363" s="208"/>
      <c r="M363" s="208"/>
      <c r="N363" s="208"/>
      <c r="O363" s="208"/>
      <c r="P363" s="208"/>
      <c r="U363" s="16"/>
      <c r="V363" s="16"/>
      <c r="W363" s="16"/>
      <c r="X363" s="16"/>
      <c r="Y363" s="16"/>
      <c r="AE363" t="s">
        <v>327</v>
      </c>
      <c r="AM363" s="208"/>
      <c r="AN363" s="208"/>
      <c r="AZ363" s="172"/>
      <c r="BA363" s="172"/>
      <c r="BB363" s="172"/>
      <c r="BC363" s="172"/>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580</v>
      </c>
      <c r="AO364" s="16"/>
      <c r="AP364" s="16"/>
      <c r="AQ364" s="16"/>
      <c r="AR364" s="16"/>
      <c r="AS364" s="16"/>
      <c r="AT364" s="16"/>
      <c r="AU364" s="16"/>
      <c r="AV364" s="16"/>
      <c r="AW364" s="16"/>
      <c r="BN364" s="151"/>
    </row>
    <row r="365" spans="1:69" x14ac:dyDescent="0.25">
      <c r="A365" s="333" t="s">
        <v>41</v>
      </c>
      <c r="B365" s="338">
        <v>43882</v>
      </c>
      <c r="C365" s="338">
        <v>43890</v>
      </c>
      <c r="D365" s="338">
        <v>43893</v>
      </c>
      <c r="E365" s="338">
        <v>43895</v>
      </c>
      <c r="F365" s="338">
        <v>43904</v>
      </c>
      <c r="G365" s="338">
        <v>43912</v>
      </c>
      <c r="H365" s="338">
        <v>43918</v>
      </c>
      <c r="I365" s="338">
        <v>43923</v>
      </c>
      <c r="J365" s="338">
        <v>43932</v>
      </c>
      <c r="K365" s="338">
        <v>43948</v>
      </c>
      <c r="L365" s="338">
        <f>K365+K366</f>
        <v>43991</v>
      </c>
      <c r="M365" s="338">
        <f>L365+L366</f>
        <v>44034</v>
      </c>
      <c r="N365" s="338">
        <f>M365+M366</f>
        <v>44119</v>
      </c>
      <c r="O365" s="90">
        <f>N365+N366</f>
        <v>44177</v>
      </c>
      <c r="P365" s="186">
        <f>O365+O366</f>
        <v>44293</v>
      </c>
      <c r="Q365" s="186"/>
      <c r="S365" s="132" t="s">
        <v>297</v>
      </c>
      <c r="T365" s="16"/>
      <c r="U365" s="16"/>
      <c r="V365" s="16"/>
      <c r="W365" s="16"/>
      <c r="X365" s="16"/>
      <c r="Y365" s="16"/>
      <c r="Z365" s="16"/>
      <c r="AA365" s="179"/>
      <c r="AB365" s="16"/>
      <c r="AC365" s="16"/>
      <c r="AD365" s="16"/>
      <c r="AE365" s="16" t="s">
        <v>263</v>
      </c>
      <c r="AI365" t="s">
        <v>299</v>
      </c>
      <c r="AN365" s="16"/>
      <c r="AO365" s="16" t="s">
        <v>579</v>
      </c>
      <c r="AP365" s="16"/>
      <c r="AQ365" s="16"/>
      <c r="AR365" s="16"/>
      <c r="AS365" s="16"/>
      <c r="AT365" s="16"/>
      <c r="AU365" s="16"/>
      <c r="AV365" s="16"/>
      <c r="AW365" s="16"/>
      <c r="BH365" s="203" t="s">
        <v>167</v>
      </c>
      <c r="BN365" s="235" t="s">
        <v>186</v>
      </c>
    </row>
    <row r="366" spans="1:69" x14ac:dyDescent="0.25">
      <c r="A366" s="4" t="s">
        <v>11</v>
      </c>
      <c r="B366" s="334">
        <v>8</v>
      </c>
      <c r="C366" s="335">
        <v>3</v>
      </c>
      <c r="D366" s="336">
        <v>2</v>
      </c>
      <c r="E366" s="335">
        <v>3</v>
      </c>
      <c r="F366" s="336">
        <v>2</v>
      </c>
      <c r="G366" s="335">
        <v>3</v>
      </c>
      <c r="H366" s="337">
        <v>5</v>
      </c>
      <c r="I366" s="238">
        <v>9</v>
      </c>
      <c r="J366">
        <v>16</v>
      </c>
      <c r="K366">
        <v>43</v>
      </c>
      <c r="L366">
        <v>43</v>
      </c>
      <c r="M366">
        <v>85</v>
      </c>
      <c r="N366">
        <v>58</v>
      </c>
      <c r="O366">
        <f t="shared" ref="O366:P366" si="0">N366*2</f>
        <v>116</v>
      </c>
      <c r="P366">
        <f t="shared" si="0"/>
        <v>232</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257">
        <f>$AX$366+(($BC$366-$AX$366)*0.12)</f>
        <v>44125.96</v>
      </c>
      <c r="AZ366" s="257">
        <f>$AX$366+(($BC$366-$AX$366)*0.55)</f>
        <v>44150.9</v>
      </c>
      <c r="BA366" s="257">
        <f>$AX$366+(($BC$366-$AX$366)*0.72)</f>
        <v>44160.76</v>
      </c>
      <c r="BB366" s="342">
        <f>$AX$366+(($BC$366-$AX$366)*0.87)</f>
        <v>44169.46</v>
      </c>
      <c r="BC366" s="218">
        <f>AX366+HLOOKUP(AX366+1, $B$365:$Q$366,2,TRUE)</f>
        <v>44177</v>
      </c>
      <c r="BD366" s="258">
        <f>($BC$366+(($BH$366-$BC$366)*0.2))</f>
        <v>44200.2</v>
      </c>
      <c r="BE366" s="258">
        <f>($BC$366+(($BH$366-$BC$366)*0.4))</f>
        <v>44223.4</v>
      </c>
      <c r="BF366" s="258">
        <f>($BC$366+(($BH$366-$BC$366)*0.6))</f>
        <v>44246.6</v>
      </c>
      <c r="BG366" s="258">
        <f>($BC$366+(($BH$366-$BC$366)*0.8))</f>
        <v>44269.8</v>
      </c>
      <c r="BH366" s="218">
        <f>BC366+HLOOKUP(BC366+1, $B$365:$Q$366,2,TRUE)</f>
        <v>44293</v>
      </c>
      <c r="BI366" s="218">
        <f>BH366+HLOOKUP(BH366+1, $B$365:$Q$366,2,TRUE)</f>
        <v>44525</v>
      </c>
      <c r="BJ366" s="218">
        <f>BI366+HLOOKUP(BI366+1, $B$365:$Q$366,2,TRUE)</f>
        <v>44757</v>
      </c>
      <c r="BK366" s="218">
        <f>BJ366+HLOOKUP(BJ366+1, $B$365:$Q$366,2,TRUE)</f>
        <v>44989</v>
      </c>
      <c r="BL366" s="227">
        <f>BK366+HLOOKUP(BK366+1, $B$365:$Q$366,2,TRUE)</f>
        <v>45221</v>
      </c>
      <c r="BM366" s="227">
        <f>BL366+HLOOKUP(BL366+1, $B$365:$Q$366,2,TRUE)</f>
        <v>45453</v>
      </c>
      <c r="BN366" s="234">
        <f>BM366+(7*8)</f>
        <v>45509</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249">
        <f t="shared" si="3"/>
        <v>131072000</v>
      </c>
      <c r="BK367" s="193">
        <f t="shared" si="3"/>
        <v>262144000</v>
      </c>
      <c r="BL367" s="194">
        <f>B348</f>
        <v>330565500</v>
      </c>
      <c r="BM367" s="201">
        <f>B348</f>
        <v>330565500</v>
      </c>
      <c r="BN367" s="329">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15">
        <f>BJ367/$B$348</f>
        <v>0.39650840756219269</v>
      </c>
      <c r="BK368" s="214">
        <f t="shared" si="4"/>
        <v>0.79301681512438538</v>
      </c>
      <c r="BL368" s="175">
        <f t="shared" si="4"/>
        <v>1</v>
      </c>
      <c r="BM368" s="175">
        <f t="shared" si="4"/>
        <v>1</v>
      </c>
      <c r="BN368" s="330">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479335.22925520095</v>
      </c>
      <c r="AZ369" s="242">
        <f t="shared" si="11"/>
        <v>253995.64958124747</v>
      </c>
      <c r="BA369" s="242">
        <f t="shared" si="11"/>
        <v>132757.497486762</v>
      </c>
      <c r="BB369" s="242">
        <f t="shared" si="11"/>
        <v>2477777.191707036</v>
      </c>
      <c r="BC369" s="242">
        <f t="shared" si="6"/>
        <v>3077331.4897734504</v>
      </c>
      <c r="BD369" s="242">
        <f t="shared" si="6"/>
        <v>744905.33873268566</v>
      </c>
      <c r="BE369" s="242">
        <f t="shared" si="6"/>
        <v>722952.81095101265</v>
      </c>
      <c r="BF369" s="242">
        <f t="shared" si="6"/>
        <v>718708.33998495759</v>
      </c>
      <c r="BG369" s="242">
        <f t="shared" si="6"/>
        <v>721381.42240018351</v>
      </c>
      <c r="BH369" s="242">
        <f t="shared" ref="BH369:BL369" si="12">MAX(BH367-(BH375-BH376)-(BH377-BH378)-(BH379-BH380),0)</f>
        <v>729689.18654921092</v>
      </c>
      <c r="BI369" s="242">
        <f t="shared" si="12"/>
        <v>0</v>
      </c>
      <c r="BJ369" s="242">
        <f t="shared" si="12"/>
        <v>0</v>
      </c>
      <c r="BK369" s="193">
        <f t="shared" si="12"/>
        <v>0</v>
      </c>
      <c r="BL369" s="194">
        <f t="shared" si="12"/>
        <v>0</v>
      </c>
      <c r="BM369" s="194">
        <f>MAX(BM367-(BM375-BM376)-(BM377-BM378)-(BM379-BM380),0)</f>
        <v>0</v>
      </c>
      <c r="BN369" s="331"/>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5.0821940745300225</v>
      </c>
      <c r="S370" s="86">
        <f t="shared" ref="S370:U370" si="13">MAX(S367-S369-S381,0)</f>
        <v>13.027520416558175</v>
      </c>
      <c r="T370" s="86">
        <f t="shared" si="13"/>
        <v>17.659309854039634</v>
      </c>
      <c r="U370" s="86">
        <f t="shared" si="13"/>
        <v>20.403099363058971</v>
      </c>
      <c r="V370" s="120">
        <f>MAX(V367-V369-V381,0)</f>
        <v>22.088480573513266</v>
      </c>
      <c r="W370" s="120">
        <f t="shared" ref="W370:BH370" si="14">MAX(W367-W369-W381,0)</f>
        <v>25.413642056361823</v>
      </c>
      <c r="X370" s="120">
        <f t="shared" si="14"/>
        <v>10.178571428571331</v>
      </c>
      <c r="Y370" s="120">
        <f t="shared" si="14"/>
        <v>0</v>
      </c>
      <c r="Z370" s="120">
        <f t="shared" si="14"/>
        <v>0</v>
      </c>
      <c r="AA370" s="120">
        <f t="shared" si="14"/>
        <v>0</v>
      </c>
      <c r="AB370" s="120">
        <f t="shared" si="14"/>
        <v>0</v>
      </c>
      <c r="AC370" s="120">
        <f t="shared" si="14"/>
        <v>0</v>
      </c>
      <c r="AD370" s="120">
        <f t="shared" si="14"/>
        <v>0</v>
      </c>
      <c r="AE370" s="120">
        <f t="shared" si="14"/>
        <v>3363.6832213227171</v>
      </c>
      <c r="AF370" s="120">
        <f t="shared" si="14"/>
        <v>105872.96428571432</v>
      </c>
      <c r="AG370" s="120">
        <f t="shared" si="14"/>
        <v>243470.40492728882</v>
      </c>
      <c r="AH370" s="120">
        <f t="shared" si="14"/>
        <v>370640.44006232469</v>
      </c>
      <c r="AI370" s="120">
        <f t="shared" si="14"/>
        <v>753284.71156872623</v>
      </c>
      <c r="AJ370" s="120">
        <f t="shared" si="14"/>
        <v>606116.03395719454</v>
      </c>
      <c r="AK370" s="120">
        <f t="shared" si="14"/>
        <v>777463.11596345995</v>
      </c>
      <c r="AL370" s="120">
        <f t="shared" si="14"/>
        <v>1374031.1015000872</v>
      </c>
      <c r="AM370" s="120">
        <f t="shared" si="14"/>
        <v>1649864.5332927669</v>
      </c>
      <c r="AN370" s="120">
        <f t="shared" si="14"/>
        <v>1868903.2206305421</v>
      </c>
      <c r="AO370" s="120">
        <f t="shared" si="14"/>
        <v>2101423.7597768148</v>
      </c>
      <c r="AP370" s="120">
        <f t="shared" si="14"/>
        <v>2743379.3833482424</v>
      </c>
      <c r="AQ370" s="120">
        <f t="shared" si="14"/>
        <v>2757423.7249178197</v>
      </c>
      <c r="AR370" s="120">
        <f t="shared" si="14"/>
        <v>3518085.8015931034</v>
      </c>
      <c r="AS370" s="120">
        <f t="shared" si="14"/>
        <v>3354133.5753439614</v>
      </c>
      <c r="AT370" s="120">
        <f t="shared" si="14"/>
        <v>4670791.9229078228</v>
      </c>
      <c r="AU370" s="120">
        <f t="shared" si="14"/>
        <v>4915616.8415015116</v>
      </c>
      <c r="AV370" s="120">
        <f t="shared" si="14"/>
        <v>6349707.1870037941</v>
      </c>
      <c r="AW370" s="120">
        <f t="shared" si="14"/>
        <v>7178368.3058782546</v>
      </c>
      <c r="AX370" s="120">
        <f t="shared" si="14"/>
        <v>7601212.6406958848</v>
      </c>
      <c r="AY370" s="120">
        <f t="shared" si="14"/>
        <v>9159371.970744798</v>
      </c>
      <c r="AZ370" s="120">
        <f t="shared" si="14"/>
        <v>10991162.750418752</v>
      </c>
      <c r="BA370" s="120">
        <f t="shared" si="14"/>
        <v>12718852.102513237</v>
      </c>
      <c r="BB370" s="120">
        <f t="shared" si="14"/>
        <v>11980283.608292965</v>
      </c>
      <c r="BC370" s="120">
        <f t="shared" si="14"/>
        <v>12987180.51022655</v>
      </c>
      <c r="BD370" s="120">
        <f t="shared" si="14"/>
        <v>18532509.061267313</v>
      </c>
      <c r="BE370" s="120">
        <f t="shared" si="14"/>
        <v>21767363.989048988</v>
      </c>
      <c r="BF370" s="120">
        <f t="shared" si="14"/>
        <v>24984510.860015042</v>
      </c>
      <c r="BG370" s="120">
        <f t="shared" si="14"/>
        <v>28194740.177599818</v>
      </c>
      <c r="BH370" s="120">
        <f t="shared" si="14"/>
        <v>31399334.813450791</v>
      </c>
      <c r="BI370" s="120">
        <f>MAX(BI367-BI369-BI381,0)</f>
        <v>64258048</v>
      </c>
      <c r="BJ370" s="120">
        <f t="shared" ref="BJ370:BL370" si="15">MAX(BJ367-BJ369-BJ381,0)</f>
        <v>128516096</v>
      </c>
      <c r="BK370" s="204">
        <f t="shared" si="15"/>
        <v>257032192</v>
      </c>
      <c r="BL370" s="205">
        <f t="shared" si="15"/>
        <v>324119472.75</v>
      </c>
      <c r="BM370" s="205">
        <f>MAX(BM367-BM369-BM381,0)</f>
        <v>324119472.75</v>
      </c>
      <c r="BN370" s="332"/>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43.526785714285715</v>
      </c>
      <c r="S371" s="192">
        <f t="shared" si="16"/>
        <v>87.053571428571431</v>
      </c>
      <c r="T371" s="192">
        <f t="shared" si="16"/>
        <v>174.10714285714286</v>
      </c>
      <c r="U371" s="192">
        <f t="shared" si="16"/>
        <v>348.21428571428572</v>
      </c>
      <c r="V371" s="192">
        <f t="shared" si="16"/>
        <v>696.42857142857144</v>
      </c>
      <c r="W371" s="192">
        <f t="shared" si="16"/>
        <v>1392.8571428571429</v>
      </c>
      <c r="X371" s="192">
        <f>X367/$B$354</f>
        <v>2785.7142857142858</v>
      </c>
      <c r="Y371" s="192">
        <f t="shared" si="16"/>
        <v>5571.4285714285716</v>
      </c>
      <c r="Z371" s="192">
        <f t="shared" si="16"/>
        <v>11142.857142857143</v>
      </c>
      <c r="AA371" s="192">
        <f t="shared" si="16"/>
        <v>22285.714285714286</v>
      </c>
      <c r="AB371" s="192">
        <f t="shared" si="16"/>
        <v>44571.428571428572</v>
      </c>
      <c r="AC371" s="192">
        <f t="shared" si="16"/>
        <v>89142.857142857145</v>
      </c>
      <c r="AD371" s="192">
        <f t="shared" si="16"/>
        <v>178285.71428571429</v>
      </c>
      <c r="AE371" s="192">
        <f t="shared" si="16"/>
        <v>356571.42857142858</v>
      </c>
      <c r="AF371" s="192">
        <f t="shared" si="16"/>
        <v>713142.85714285716</v>
      </c>
      <c r="AG371" s="192">
        <f t="shared" ref="AG371:AI371" si="17">AG367/$B$354</f>
        <v>891428.57142857148</v>
      </c>
      <c r="AH371" s="192">
        <f t="shared" si="17"/>
        <v>1069714.2857142857</v>
      </c>
      <c r="AI371" s="192">
        <f t="shared" si="17"/>
        <v>1248000</v>
      </c>
      <c r="AJ371" s="192">
        <f>AJ367/$B$354</f>
        <v>1426285.7142857143</v>
      </c>
      <c r="AK371" s="192">
        <f t="shared" ref="AK371:AM371" si="18">AK367/$B$354</f>
        <v>1825645.7142857143</v>
      </c>
      <c r="AL371" s="192">
        <f t="shared" si="18"/>
        <v>2139428.5714285714</v>
      </c>
      <c r="AM371" s="192">
        <f t="shared" si="18"/>
        <v>2496000</v>
      </c>
      <c r="AN371" s="192">
        <f>AN367/$B$354</f>
        <v>2852571.4285714286</v>
      </c>
      <c r="AO371" s="192">
        <f t="shared" ref="AO371:AR371" si="19">AO367/$B$354</f>
        <v>3423085.7142857141</v>
      </c>
      <c r="AP371" s="192">
        <f t="shared" si="19"/>
        <v>3993600</v>
      </c>
      <c r="AQ371" s="192">
        <f t="shared" si="19"/>
        <v>4564114.2857142854</v>
      </c>
      <c r="AR371" s="192">
        <f t="shared" si="19"/>
        <v>5134628.5714285718</v>
      </c>
      <c r="AS371" s="192">
        <f>AS367/$B$354</f>
        <v>5705142.8571428573</v>
      </c>
      <c r="AT371" s="192">
        <f t="shared" ref="AT371:AW371" si="20">AT367/$B$354</f>
        <v>6846171.4285714282</v>
      </c>
      <c r="AU371" s="192">
        <f t="shared" si="20"/>
        <v>7987200</v>
      </c>
      <c r="AV371" s="192">
        <f t="shared" si="20"/>
        <v>9128228.5714285709</v>
      </c>
      <c r="AW371" s="192">
        <f t="shared" si="20"/>
        <v>10269257.142857144</v>
      </c>
      <c r="AX371" s="192">
        <f>AX367/$B$354</f>
        <v>11410285.714285715</v>
      </c>
      <c r="AY371" s="192">
        <f t="shared" ref="AY371:BB371" si="21">AY367/$B$354</f>
        <v>13692342.857142856</v>
      </c>
      <c r="AZ371" s="192">
        <f t="shared" si="21"/>
        <v>15974400</v>
      </c>
      <c r="BA371" s="192">
        <f t="shared" si="21"/>
        <v>18256457.142857142</v>
      </c>
      <c r="BB371" s="192">
        <f t="shared" si="21"/>
        <v>20538514.285714287</v>
      </c>
      <c r="BC371" s="192">
        <f t="shared" ref="BC371:BH371" si="22">BC367/$B$354</f>
        <v>22820571.428571429</v>
      </c>
      <c r="BD371" s="192">
        <f t="shared" si="22"/>
        <v>27384685.714285713</v>
      </c>
      <c r="BE371" s="192">
        <f t="shared" si="22"/>
        <v>31948800</v>
      </c>
      <c r="BF371" s="192">
        <f t="shared" si="22"/>
        <v>36512914.285714284</v>
      </c>
      <c r="BG371" s="192">
        <f t="shared" si="22"/>
        <v>41077028.571428575</v>
      </c>
      <c r="BH371" s="192">
        <f t="shared" si="22"/>
        <v>45641142.857142858</v>
      </c>
      <c r="BI371" s="192">
        <f>BI367/$B$354</f>
        <v>91282285.714285716</v>
      </c>
      <c r="BJ371" s="192">
        <f>BJ367/$B$354</f>
        <v>182564571.42857143</v>
      </c>
      <c r="BK371" s="193">
        <f>$B$348</f>
        <v>330565500</v>
      </c>
      <c r="BL371" s="194">
        <f>$B$348</f>
        <v>330565500</v>
      </c>
      <c r="BM371" s="193">
        <f>BM367</f>
        <v>330565500</v>
      </c>
      <c r="BN371" s="229">
        <f>($B$348*$B$355)/$B$354</f>
        <v>32230136.250000004</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1.3167370979211598E-7</v>
      </c>
      <c r="S372" s="190">
        <f t="shared" si="23"/>
        <v>2.6334741958423197E-7</v>
      </c>
      <c r="T372" s="190">
        <f t="shared" si="23"/>
        <v>5.2669483916846394E-7</v>
      </c>
      <c r="U372" s="66">
        <f t="shared" si="23"/>
        <v>1.0533896783369279E-6</v>
      </c>
      <c r="V372" s="66">
        <f t="shared" si="23"/>
        <v>2.1067793566738558E-6</v>
      </c>
      <c r="W372" s="66">
        <f t="shared" si="23"/>
        <v>4.2135587133477115E-6</v>
      </c>
      <c r="X372" s="66">
        <f t="shared" si="23"/>
        <v>8.427117426695423E-6</v>
      </c>
      <c r="Y372" s="66">
        <f t="shared" si="23"/>
        <v>1.6854234853390846E-5</v>
      </c>
      <c r="Z372" s="36">
        <f t="shared" si="23"/>
        <v>3.3708469706781692E-5</v>
      </c>
      <c r="AA372" s="36">
        <f t="shared" si="23"/>
        <v>6.7416939413563384E-5</v>
      </c>
      <c r="AB372" s="36">
        <f t="shared" si="23"/>
        <v>1.3483387882712677E-4</v>
      </c>
      <c r="AC372" s="36">
        <f t="shared" si="23"/>
        <v>2.6966775765425354E-4</v>
      </c>
      <c r="AD372" s="14">
        <f t="shared" si="23"/>
        <v>5.3933551530850707E-4</v>
      </c>
      <c r="AE372" s="15">
        <f t="shared" si="23"/>
        <v>1.0786710306170141E-3</v>
      </c>
      <c r="AF372" s="15">
        <f t="shared" si="23"/>
        <v>2.1573420612340283E-3</v>
      </c>
      <c r="AG372" s="15">
        <f t="shared" si="23"/>
        <v>2.6966775765425353E-3</v>
      </c>
      <c r="AH372" s="15">
        <f t="shared" si="23"/>
        <v>3.2360130918510422E-3</v>
      </c>
      <c r="AI372" s="15">
        <f t="shared" si="23"/>
        <v>3.7753486071595492E-3</v>
      </c>
      <c r="AJ372" s="15">
        <f t="shared" si="23"/>
        <v>4.3146841224680566E-3</v>
      </c>
      <c r="AK372" s="15">
        <f t="shared" si="23"/>
        <v>5.5227956767591119E-3</v>
      </c>
      <c r="AL372" s="15">
        <f t="shared" si="23"/>
        <v>6.4720261837020844E-3</v>
      </c>
      <c r="AM372" s="15">
        <f t="shared" si="23"/>
        <v>7.5506972143190984E-3</v>
      </c>
      <c r="AN372" s="15">
        <f t="shared" si="23"/>
        <v>8.6293682449361132E-3</v>
      </c>
      <c r="AO372" s="15">
        <f t="shared" si="23"/>
        <v>1.0355241893923334E-2</v>
      </c>
      <c r="AP372" s="15">
        <f t="shared" si="23"/>
        <v>1.2081115542910558E-2</v>
      </c>
      <c r="AQ372" s="15">
        <f t="shared" si="23"/>
        <v>1.3806989191897779E-2</v>
      </c>
      <c r="AR372" s="15">
        <f t="shared" si="23"/>
        <v>1.5532862840885004E-2</v>
      </c>
      <c r="AS372" s="15">
        <f t="shared" si="23"/>
        <v>1.7258736489872226E-2</v>
      </c>
      <c r="AT372" s="15">
        <f t="shared" si="23"/>
        <v>2.0710483787846668E-2</v>
      </c>
      <c r="AU372" s="15">
        <f t="shared" si="23"/>
        <v>2.4162231085821117E-2</v>
      </c>
      <c r="AV372" s="15">
        <f t="shared" si="23"/>
        <v>2.7613978383795559E-2</v>
      </c>
      <c r="AW372" s="15">
        <f t="shared" si="23"/>
        <v>3.1065725681770007E-2</v>
      </c>
      <c r="AX372" s="15">
        <f t="shared" si="23"/>
        <v>3.4517472979744453E-2</v>
      </c>
      <c r="AY372" s="15">
        <f t="shared" si="23"/>
        <v>4.1420967575693336E-2</v>
      </c>
      <c r="AZ372" s="15">
        <f t="shared" si="23"/>
        <v>4.8324462171642234E-2</v>
      </c>
      <c r="BA372" s="15">
        <f t="shared" si="23"/>
        <v>5.5227956767591117E-2</v>
      </c>
      <c r="BB372" s="75">
        <f t="shared" si="23"/>
        <v>6.2131451363540015E-2</v>
      </c>
      <c r="BC372" s="75">
        <f t="shared" si="23"/>
        <v>6.9034945959488905E-2</v>
      </c>
      <c r="BD372" s="75">
        <f t="shared" si="23"/>
        <v>8.2841935151386673E-2</v>
      </c>
      <c r="BE372" s="75">
        <f t="shared" si="23"/>
        <v>9.6648924343284467E-2</v>
      </c>
      <c r="BF372" s="75">
        <f t="shared" si="23"/>
        <v>0.11045591353518223</v>
      </c>
      <c r="BG372" s="75">
        <f t="shared" si="23"/>
        <v>0.12426290272708003</v>
      </c>
      <c r="BH372" s="75">
        <f t="shared" si="23"/>
        <v>0.13806989191897781</v>
      </c>
      <c r="BI372" s="75">
        <f t="shared" si="23"/>
        <v>0.27613978383795562</v>
      </c>
      <c r="BJ372" s="75">
        <f t="shared" si="23"/>
        <v>0.55227956767591124</v>
      </c>
      <c r="BK372" s="174">
        <f t="shared" si="23"/>
        <v>1</v>
      </c>
      <c r="BL372" s="175">
        <f t="shared" si="23"/>
        <v>1</v>
      </c>
      <c r="BM372" s="174">
        <v>1</v>
      </c>
      <c r="BN372" s="228">
        <f>BN371/B348</f>
        <v>9.7500000000000017E-2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12.276785714285715</v>
      </c>
      <c r="S373" s="192">
        <f t="shared" ref="S373:AW373" si="24">S371-S367</f>
        <v>24.553571428571431</v>
      </c>
      <c r="T373" s="192">
        <f t="shared" si="24"/>
        <v>49.107142857142861</v>
      </c>
      <c r="U373" s="192">
        <f t="shared" si="24"/>
        <v>98.214285714285722</v>
      </c>
      <c r="V373" s="192">
        <f>V371-V367</f>
        <v>196.42857142857144</v>
      </c>
      <c r="W373" s="192">
        <f t="shared" si="24"/>
        <v>392.85714285714289</v>
      </c>
      <c r="X373" s="192">
        <f t="shared" si="24"/>
        <v>785.71428571428578</v>
      </c>
      <c r="Y373" s="192">
        <f t="shared" si="24"/>
        <v>1571.4285714285716</v>
      </c>
      <c r="Z373" s="192">
        <f t="shared" si="24"/>
        <v>3142.8571428571431</v>
      </c>
      <c r="AA373" s="192">
        <f t="shared" si="24"/>
        <v>6285.7142857142862</v>
      </c>
      <c r="AB373" s="192">
        <f t="shared" si="24"/>
        <v>12571.428571428572</v>
      </c>
      <c r="AC373" s="192">
        <f t="shared" si="24"/>
        <v>25142.857142857145</v>
      </c>
      <c r="AD373" s="192">
        <f t="shared" si="24"/>
        <v>50285.71428571429</v>
      </c>
      <c r="AE373" s="192">
        <f t="shared" si="24"/>
        <v>100571.42857142858</v>
      </c>
      <c r="AF373" s="192">
        <f t="shared" si="24"/>
        <v>201142.85714285716</v>
      </c>
      <c r="AG373" s="192">
        <f t="shared" ref="AG373:AI373" si="25">AG371-AG367</f>
        <v>251428.57142857148</v>
      </c>
      <c r="AH373" s="192">
        <f t="shared" si="25"/>
        <v>301714.28571428568</v>
      </c>
      <c r="AI373" s="192">
        <f t="shared" si="25"/>
        <v>352000</v>
      </c>
      <c r="AJ373" s="192">
        <f t="shared" si="24"/>
        <v>402285.71428571432</v>
      </c>
      <c r="AK373" s="192">
        <f t="shared" ref="AK373:AM373" si="26">AK371-AK367</f>
        <v>514925.71428571432</v>
      </c>
      <c r="AL373" s="192">
        <f t="shared" si="26"/>
        <v>603428.57142857136</v>
      </c>
      <c r="AM373" s="192">
        <f t="shared" si="26"/>
        <v>704000</v>
      </c>
      <c r="AN373" s="192">
        <f t="shared" si="24"/>
        <v>804571.42857142864</v>
      </c>
      <c r="AO373" s="192">
        <f t="shared" ref="AO373:AR373" si="27">AO371-AO367</f>
        <v>965485.71428571409</v>
      </c>
      <c r="AP373" s="192">
        <f t="shared" si="27"/>
        <v>1126400</v>
      </c>
      <c r="AQ373" s="192">
        <f t="shared" si="27"/>
        <v>1287314.2857142854</v>
      </c>
      <c r="AR373" s="192">
        <f t="shared" si="27"/>
        <v>1448228.5714285718</v>
      </c>
      <c r="AS373" s="192">
        <f t="shared" si="24"/>
        <v>1609142.8571428573</v>
      </c>
      <c r="AT373" s="192">
        <f t="shared" si="24"/>
        <v>1930971.4285714282</v>
      </c>
      <c r="AU373" s="192">
        <f t="shared" si="24"/>
        <v>2252800</v>
      </c>
      <c r="AV373" s="192">
        <f t="shared" si="24"/>
        <v>2574628.5714285709</v>
      </c>
      <c r="AW373" s="192">
        <f t="shared" si="24"/>
        <v>2896457.1428571437</v>
      </c>
      <c r="AX373" s="192">
        <f>AX371-AX367</f>
        <v>3218285.7142857146</v>
      </c>
      <c r="AY373" s="192">
        <f t="shared" ref="AY373:BB373" si="28">AY371-AY367</f>
        <v>3861942.8571428563</v>
      </c>
      <c r="AZ373" s="192">
        <f t="shared" si="28"/>
        <v>4505600</v>
      </c>
      <c r="BA373" s="192">
        <f t="shared" si="28"/>
        <v>5149257.1428571418</v>
      </c>
      <c r="BB373" s="192">
        <f t="shared" si="28"/>
        <v>5792914.2857142873</v>
      </c>
      <c r="BC373" s="192">
        <f>BC371-BC367</f>
        <v>6436571.4285714291</v>
      </c>
      <c r="BD373" s="192">
        <f t="shared" ref="BD373:BG373" si="29">BD371-BD367</f>
        <v>7723885.7142857127</v>
      </c>
      <c r="BE373" s="192">
        <f t="shared" si="29"/>
        <v>9011200</v>
      </c>
      <c r="BF373" s="192">
        <f t="shared" si="29"/>
        <v>10298514.285714284</v>
      </c>
      <c r="BG373" s="192">
        <f t="shared" si="29"/>
        <v>11585828.571428575</v>
      </c>
      <c r="BH373" s="192">
        <f>BH371-BH367</f>
        <v>12873142.857142858</v>
      </c>
      <c r="BI373" s="192">
        <f t="shared" ref="BI373:BL373" si="30">BI371</f>
        <v>91282285.714285716</v>
      </c>
      <c r="BJ373" s="192">
        <f t="shared" si="30"/>
        <v>182564571.42857143</v>
      </c>
      <c r="BK373" s="193">
        <f t="shared" si="30"/>
        <v>330565500</v>
      </c>
      <c r="BL373" s="194">
        <f t="shared" si="30"/>
        <v>330565500</v>
      </c>
      <c r="BM373" s="193">
        <f>BM371</f>
        <v>330565500</v>
      </c>
      <c r="BN373" s="230">
        <f>BN371-BN367</f>
        <v>9090551.25</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9.7870896784246391</v>
      </c>
      <c r="S374" s="199">
        <f>MIN((1/$B$354)*(2^(((S366 - 14) - $B$363)/$R$391)),S373)</f>
        <v>24.497554949107965</v>
      </c>
      <c r="T374" s="199">
        <f>MIN((1/$B$354)*(2^(((T366 - 14) - $B$363)/$R$391)),T373)</f>
        <v>34.558006362766555</v>
      </c>
      <c r="U374" s="199">
        <f>MIN((1/$B$354)*(2^(((U366 - 14) - $B$363)/$R$391)),U373)</f>
        <v>43.467631179863311</v>
      </c>
      <c r="V374" s="192">
        <f t="shared" ref="V374:BM374" si="31">MIN(($R$367/$B$354)*(2^(((V366 - 14) - $R$366)/HLOOKUP((V366-14)-$B$363,$R$389:$BN$391,3,TRUE))),V373)</f>
        <v>54.748709980909013</v>
      </c>
      <c r="W374" s="192">
        <f t="shared" si="31"/>
        <v>77.232453271521592</v>
      </c>
      <c r="X374" s="192">
        <f t="shared" si="31"/>
        <v>84.56632653061223</v>
      </c>
      <c r="Y374" s="192">
        <f t="shared" si="31"/>
        <v>99.840715069031006</v>
      </c>
      <c r="Z374" s="192">
        <f t="shared" si="31"/>
        <v>173.00214117790406</v>
      </c>
      <c r="AA374" s="192">
        <f t="shared" si="31"/>
        <v>316.69720384602357</v>
      </c>
      <c r="AB374" s="192">
        <f t="shared" si="31"/>
        <v>672.79974489795904</v>
      </c>
      <c r="AC374" s="192">
        <f t="shared" si="31"/>
        <v>1617.9528061224487</v>
      </c>
      <c r="AD374" s="192">
        <f t="shared" si="31"/>
        <v>3446.0778061224482</v>
      </c>
      <c r="AE374" s="192">
        <f t="shared" si="31"/>
        <v>14362.891549417005</v>
      </c>
      <c r="AF374" s="192">
        <f t="shared" si="31"/>
        <v>155189.15816326533</v>
      </c>
      <c r="AG374" s="192">
        <f t="shared" si="31"/>
        <v>251428.57142857148</v>
      </c>
      <c r="AH374" s="192">
        <f t="shared" si="31"/>
        <v>301714.28571428568</v>
      </c>
      <c r="AI374" s="192">
        <f t="shared" si="31"/>
        <v>352000</v>
      </c>
      <c r="AJ374" s="192">
        <f t="shared" si="31"/>
        <v>402285.71428571432</v>
      </c>
      <c r="AK374" s="192">
        <f t="shared" si="31"/>
        <v>514925.71428571432</v>
      </c>
      <c r="AL374" s="192">
        <f t="shared" si="31"/>
        <v>603428.57142857136</v>
      </c>
      <c r="AM374" s="192">
        <f t="shared" si="31"/>
        <v>704000</v>
      </c>
      <c r="AN374" s="192">
        <f t="shared" si="31"/>
        <v>804571.42857142864</v>
      </c>
      <c r="AO374" s="192">
        <f t="shared" si="31"/>
        <v>965485.71428571409</v>
      </c>
      <c r="AP374" s="192">
        <f t="shared" si="31"/>
        <v>1126400</v>
      </c>
      <c r="AQ374" s="192">
        <f t="shared" si="31"/>
        <v>1287314.2857142854</v>
      </c>
      <c r="AR374" s="192">
        <f t="shared" si="31"/>
        <v>1448228.5714285718</v>
      </c>
      <c r="AS374" s="192">
        <f t="shared" si="31"/>
        <v>1609142.8571428573</v>
      </c>
      <c r="AT374" s="192">
        <f t="shared" si="31"/>
        <v>1930971.4285714282</v>
      </c>
      <c r="AU374" s="192">
        <f t="shared" si="31"/>
        <v>2252800</v>
      </c>
      <c r="AV374" s="192">
        <f t="shared" si="31"/>
        <v>2574628.5714285709</v>
      </c>
      <c r="AW374" s="192">
        <f t="shared" si="31"/>
        <v>2896457.1428571437</v>
      </c>
      <c r="AX374" s="192">
        <f t="shared" si="31"/>
        <v>3218285.7142857146</v>
      </c>
      <c r="AY374" s="192">
        <f t="shared" si="31"/>
        <v>3861942.8571428563</v>
      </c>
      <c r="AZ374" s="192">
        <f t="shared" si="31"/>
        <v>4505600</v>
      </c>
      <c r="BA374" s="192">
        <f t="shared" si="31"/>
        <v>5149257.1428571418</v>
      </c>
      <c r="BB374" s="192">
        <f t="shared" si="31"/>
        <v>5792914.2857142873</v>
      </c>
      <c r="BC374" s="192">
        <f t="shared" si="31"/>
        <v>6436571.4285714291</v>
      </c>
      <c r="BD374" s="192">
        <f t="shared" si="31"/>
        <v>7723885.7142857127</v>
      </c>
      <c r="BE374" s="192">
        <f t="shared" si="31"/>
        <v>9011200</v>
      </c>
      <c r="BF374" s="192">
        <f t="shared" si="31"/>
        <v>10298514.285714284</v>
      </c>
      <c r="BG374" s="192">
        <f t="shared" si="31"/>
        <v>11585828.571428575</v>
      </c>
      <c r="BH374" s="192">
        <f t="shared" si="31"/>
        <v>12873142.857142858</v>
      </c>
      <c r="BI374" s="192">
        <f t="shared" si="31"/>
        <v>91282285.714285716</v>
      </c>
      <c r="BJ374" s="192">
        <f t="shared" si="31"/>
        <v>182564571.42857143</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7">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1737606.7644073684</v>
      </c>
      <c r="BC376" s="197">
        <f t="shared" si="39"/>
        <v>2734861.7574269902</v>
      </c>
      <c r="BD376" s="197">
        <f t="shared" si="39"/>
        <v>0</v>
      </c>
      <c r="BE376" s="197">
        <f t="shared" si="39"/>
        <v>0</v>
      </c>
      <c r="BF376" s="197">
        <f t="shared" si="39"/>
        <v>0</v>
      </c>
      <c r="BG376" s="197">
        <f t="shared" si="39"/>
        <v>0</v>
      </c>
      <c r="BH376" s="197">
        <f t="shared" si="39"/>
        <v>0</v>
      </c>
      <c r="BI376" s="197">
        <f t="shared" si="39"/>
        <v>0</v>
      </c>
      <c r="BJ376" s="197">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2">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477260.29375860142</v>
      </c>
      <c r="AZ378" s="192">
        <f t="shared" si="43"/>
        <v>253995.64958124771</v>
      </c>
      <c r="BA378" s="192">
        <f t="shared" si="43"/>
        <v>0</v>
      </c>
      <c r="BB378" s="192">
        <f t="shared" si="43"/>
        <v>680697.28596295847</v>
      </c>
      <c r="BC378" s="192">
        <f t="shared" si="43"/>
        <v>342469.73234646022</v>
      </c>
      <c r="BD378" s="192">
        <f t="shared" si="43"/>
        <v>481584.37612777576</v>
      </c>
      <c r="BE378" s="192">
        <f t="shared" si="43"/>
        <v>722952.81095101312</v>
      </c>
      <c r="BF378" s="192">
        <f t="shared" si="43"/>
        <v>718708.33998495806</v>
      </c>
      <c r="BG378" s="192">
        <f t="shared" si="43"/>
        <v>721381.42240018398</v>
      </c>
      <c r="BH378" s="192">
        <f t="shared" si="43"/>
        <v>729689.18654921092</v>
      </c>
      <c r="BI378" s="192">
        <f t="shared" si="43"/>
        <v>0</v>
      </c>
      <c r="BJ378" s="192">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2">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2074.935496600694</v>
      </c>
      <c r="AZ380" s="197">
        <f t="shared" si="48"/>
        <v>0</v>
      </c>
      <c r="BA380" s="197">
        <f t="shared" si="48"/>
        <v>132757.49748676224</v>
      </c>
      <c r="BB380" s="197">
        <f t="shared" si="48"/>
        <v>59473.141336709145</v>
      </c>
      <c r="BC380" s="197">
        <f t="shared" si="48"/>
        <v>0</v>
      </c>
      <c r="BD380" s="197">
        <f t="shared" si="48"/>
        <v>263320.96260491223</v>
      </c>
      <c r="BE380" s="197">
        <f t="shared" si="48"/>
        <v>0</v>
      </c>
      <c r="BF380" s="197">
        <f t="shared" si="48"/>
        <v>0</v>
      </c>
      <c r="BG380" s="197">
        <f t="shared" si="48"/>
        <v>0</v>
      </c>
      <c r="BH380" s="197">
        <f t="shared" si="48"/>
        <v>0</v>
      </c>
      <c r="BI380" s="197">
        <f t="shared" si="48"/>
        <v>0</v>
      </c>
      <c r="BJ380" s="197">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0.609375</v>
      </c>
      <c r="S381" s="217">
        <f t="shared" ref="S381:AP381" si="50">S367*$B$362</f>
        <v>1.21875</v>
      </c>
      <c r="T381" s="217">
        <f t="shared" si="50"/>
        <v>2.4375</v>
      </c>
      <c r="U381" s="217">
        <f t="shared" si="50"/>
        <v>4.875</v>
      </c>
      <c r="V381" s="217">
        <f t="shared" si="50"/>
        <v>9.75</v>
      </c>
      <c r="W381" s="217">
        <f t="shared" si="50"/>
        <v>19.5</v>
      </c>
      <c r="X381" s="217">
        <f t="shared" si="50"/>
        <v>39</v>
      </c>
      <c r="Y381" s="217">
        <f t="shared" si="50"/>
        <v>78</v>
      </c>
      <c r="Z381" s="217">
        <f t="shared" si="50"/>
        <v>156</v>
      </c>
      <c r="AA381" s="217">
        <f t="shared" si="50"/>
        <v>312</v>
      </c>
      <c r="AB381" s="217">
        <f t="shared" si="50"/>
        <v>624</v>
      </c>
      <c r="AC381" s="217">
        <f t="shared" si="50"/>
        <v>1248</v>
      </c>
      <c r="AD381" s="217">
        <f t="shared" si="50"/>
        <v>2496</v>
      </c>
      <c r="AE381" s="217">
        <f t="shared" si="50"/>
        <v>4992</v>
      </c>
      <c r="AF381" s="217">
        <f t="shared" si="50"/>
        <v>9984</v>
      </c>
      <c r="AG381" s="217">
        <f t="shared" si="50"/>
        <v>12480</v>
      </c>
      <c r="AH381" s="217">
        <f t="shared" si="50"/>
        <v>14976</v>
      </c>
      <c r="AI381" s="217">
        <f t="shared" si="50"/>
        <v>17472</v>
      </c>
      <c r="AJ381" s="217">
        <f t="shared" si="50"/>
        <v>19968</v>
      </c>
      <c r="AK381" s="217">
        <f t="shared" si="50"/>
        <v>25559.040000000001</v>
      </c>
      <c r="AL381" s="217">
        <f t="shared" si="50"/>
        <v>29952</v>
      </c>
      <c r="AM381" s="217">
        <f t="shared" si="50"/>
        <v>34944</v>
      </c>
      <c r="AN381" s="217">
        <f t="shared" si="50"/>
        <v>39936</v>
      </c>
      <c r="AO381" s="217">
        <f t="shared" si="50"/>
        <v>47923.199999999997</v>
      </c>
      <c r="AP381" s="217">
        <f t="shared" si="50"/>
        <v>55910.400000000001</v>
      </c>
      <c r="AQ381" s="217">
        <f t="shared" ref="AQ381:AR381" si="51">AQ367*$B$362</f>
        <v>63897.599999999999</v>
      </c>
      <c r="AR381" s="217">
        <f t="shared" si="51"/>
        <v>71884.800000000003</v>
      </c>
      <c r="AS381" s="217">
        <f t="shared" si="49"/>
        <v>79872</v>
      </c>
      <c r="AT381" s="217">
        <f t="shared" ref="AT381:AW381" si="52">AT367*$B$362</f>
        <v>95846.399999999994</v>
      </c>
      <c r="AU381" s="217">
        <f t="shared" si="52"/>
        <v>111820.8</v>
      </c>
      <c r="AV381" s="217">
        <f t="shared" si="52"/>
        <v>127795.2</v>
      </c>
      <c r="AW381" s="217">
        <f t="shared" si="52"/>
        <v>143769.60000000001</v>
      </c>
      <c r="AX381" s="217">
        <f t="shared" si="49"/>
        <v>159744</v>
      </c>
      <c r="AY381" s="217">
        <f t="shared" ref="AY381:BB381" si="53">AY367*$B$362</f>
        <v>191692.79999999999</v>
      </c>
      <c r="AZ381" s="217">
        <f t="shared" si="53"/>
        <v>223641.60000000001</v>
      </c>
      <c r="BA381" s="217">
        <f t="shared" si="53"/>
        <v>255590.39999999999</v>
      </c>
      <c r="BB381" s="217">
        <f t="shared" si="53"/>
        <v>287539.20000000001</v>
      </c>
      <c r="BC381" s="217">
        <f t="shared" si="49"/>
        <v>319488</v>
      </c>
      <c r="BD381" s="217">
        <f t="shared" si="49"/>
        <v>383385.59999999998</v>
      </c>
      <c r="BE381" s="217">
        <f t="shared" si="49"/>
        <v>447283.20000000001</v>
      </c>
      <c r="BF381" s="217">
        <f t="shared" si="49"/>
        <v>511180.79999999999</v>
      </c>
      <c r="BG381" s="217">
        <f t="shared" si="49"/>
        <v>575078.40000000002</v>
      </c>
      <c r="BH381" s="217">
        <f t="shared" ref="BH381:BL381" si="54">BH367*$B$362</f>
        <v>638976</v>
      </c>
      <c r="BI381" s="217">
        <f t="shared" si="54"/>
        <v>1277952</v>
      </c>
      <c r="BJ381" s="217">
        <f t="shared" si="54"/>
        <v>2555904</v>
      </c>
      <c r="BK381" s="193">
        <f t="shared" si="54"/>
        <v>5111808</v>
      </c>
      <c r="BL381" s="194">
        <f t="shared" si="54"/>
        <v>6446027.25</v>
      </c>
      <c r="BM381" s="200">
        <f t="shared" si="49"/>
        <v>6446027.25</v>
      </c>
      <c r="BN381" s="229">
        <f>BN367*B362</f>
        <v>451221.90750000009</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44170</v>
      </c>
      <c r="BD382" s="149"/>
      <c r="BE382" s="149"/>
      <c r="BF382" s="149"/>
      <c r="BG382" s="149"/>
      <c r="BH382" s="149"/>
      <c r="BI382" s="149"/>
      <c r="BJ382" s="149"/>
      <c r="BK382" s="149"/>
      <c r="BL382" s="149"/>
      <c r="BM382" s="149">
        <f>BM366-7</f>
        <v>45446</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44163</v>
      </c>
      <c r="BD383" s="149"/>
      <c r="BE383" s="149"/>
      <c r="BF383" s="149"/>
      <c r="BG383" s="149"/>
      <c r="BH383" s="149"/>
      <c r="BI383" s="149"/>
      <c r="BJ383" s="149"/>
      <c r="BK383" s="149"/>
      <c r="BL383" s="149"/>
      <c r="BM383" s="149">
        <f>BM366-14</f>
        <v>45439</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44142</v>
      </c>
      <c r="BD384" s="149"/>
      <c r="BE384" s="149"/>
      <c r="BF384" s="149"/>
      <c r="BG384" s="149"/>
      <c r="BH384" s="149"/>
      <c r="BI384" s="149"/>
      <c r="BJ384" s="149"/>
      <c r="BK384" s="149"/>
      <c r="BL384" s="149"/>
      <c r="BM384" s="149">
        <f>BM366-(7*5)</f>
        <v>45418</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44135</v>
      </c>
      <c r="BD385" s="149"/>
      <c r="BE385" s="149"/>
      <c r="BF385" s="149"/>
      <c r="BG385" s="149"/>
      <c r="BH385" s="149"/>
      <c r="BI385" s="149"/>
      <c r="BJ385" s="149"/>
      <c r="BK385" s="149"/>
      <c r="BL385" s="149"/>
      <c r="BM385" s="149">
        <f>BM366-(6*7)</f>
        <v>45411</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39.279999999999873</v>
      </c>
      <c r="AZ388" s="140">
        <f t="shared" si="60"/>
        <v>42.842857142857348</v>
      </c>
      <c r="BA388" s="140">
        <f t="shared" si="60"/>
        <v>44.25142857142886</v>
      </c>
      <c r="BB388" s="140">
        <f t="shared" si="60"/>
        <v>45.494285714285589</v>
      </c>
      <c r="BC388" s="140">
        <f t="shared" si="60"/>
        <v>46.571428571428569</v>
      </c>
      <c r="BD388" s="140">
        <f t="shared" si="60"/>
        <v>49.885714285713867</v>
      </c>
      <c r="BE388" s="140">
        <f t="shared" si="60"/>
        <v>53.200000000000209</v>
      </c>
      <c r="BF388" s="140">
        <f t="shared" si="60"/>
        <v>56.514285714285506</v>
      </c>
      <c r="BG388" s="140">
        <f t="shared" si="60"/>
        <v>59.828571428571841</v>
      </c>
      <c r="BH388" s="140">
        <f t="shared" si="60"/>
        <v>63.142857142857146</v>
      </c>
      <c r="BI388" s="140">
        <f t="shared" si="60"/>
        <v>96.285714285714292</v>
      </c>
      <c r="BJ388" s="140">
        <f t="shared" si="60"/>
        <v>129.42857142857142</v>
      </c>
      <c r="BK388" s="140">
        <f t="shared" si="60"/>
        <v>162.57142857142858</v>
      </c>
      <c r="BL388" s="140">
        <f t="shared" si="60"/>
        <v>195.71428571428572</v>
      </c>
      <c r="BM388" s="143">
        <f t="shared" si="60"/>
        <v>228.85714285714286</v>
      </c>
      <c r="BN388" s="143">
        <f t="shared" si="60"/>
        <v>236.85714285714286</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274.95999999999913</v>
      </c>
      <c r="AZ389" s="225">
        <f t="shared" si="62"/>
        <v>299.90000000000146</v>
      </c>
      <c r="BA389" s="225">
        <f t="shared" si="62"/>
        <v>309.76000000000204</v>
      </c>
      <c r="BB389" s="225">
        <f t="shared" si="62"/>
        <v>318.45999999999913</v>
      </c>
      <c r="BC389" s="225">
        <f t="shared" si="62"/>
        <v>326</v>
      </c>
      <c r="BD389" s="225">
        <f t="shared" si="62"/>
        <v>349.19999999999709</v>
      </c>
      <c r="BE389" s="225">
        <f t="shared" si="62"/>
        <v>372.40000000000146</v>
      </c>
      <c r="BF389" s="225">
        <f t="shared" si="62"/>
        <v>395.59999999999854</v>
      </c>
      <c r="BG389" s="225">
        <f t="shared" si="62"/>
        <v>418.80000000000291</v>
      </c>
      <c r="BH389" s="225">
        <f t="shared" si="62"/>
        <v>442</v>
      </c>
      <c r="BI389" s="225">
        <f t="shared" si="62"/>
        <v>674</v>
      </c>
      <c r="BJ389" s="225">
        <f t="shared" si="62"/>
        <v>906</v>
      </c>
      <c r="BK389" s="185">
        <f t="shared" si="62"/>
        <v>1138</v>
      </c>
      <c r="BL389" s="185">
        <f t="shared" si="62"/>
        <v>1370</v>
      </c>
      <c r="BM389" s="185">
        <f t="shared" si="62"/>
        <v>1602</v>
      </c>
      <c r="BN389" s="185">
        <f t="shared" si="62"/>
        <v>1658</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147">
        <v>11379657</v>
      </c>
      <c r="BA390" s="147">
        <v>13140785</v>
      </c>
      <c r="BB390" s="147">
        <v>14772535</v>
      </c>
      <c r="BC390" s="323">
        <f t="shared" ref="AZ390:BH390" si="63">BC367</f>
        <v>16384000</v>
      </c>
      <c r="BD390" s="323">
        <f t="shared" si="63"/>
        <v>19660800</v>
      </c>
      <c r="BE390" s="323">
        <f t="shared" si="63"/>
        <v>22937600</v>
      </c>
      <c r="BF390" s="323">
        <f t="shared" si="63"/>
        <v>26214400</v>
      </c>
      <c r="BG390" s="323">
        <f t="shared" si="63"/>
        <v>29491200</v>
      </c>
      <c r="BH390" s="323">
        <f t="shared" si="63"/>
        <v>32768000</v>
      </c>
      <c r="BI390" s="323">
        <f t="shared" ref="BI390" si="64">BH390*2</f>
        <v>65536000</v>
      </c>
      <c r="BJ390" s="323">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13.481315939502533</v>
      </c>
      <c r="AZ391" s="171">
        <f t="shared" si="68"/>
        <v>14.68542600670513</v>
      </c>
      <c r="BA391" s="171">
        <f t="shared" si="68"/>
        <v>15.053245990533648</v>
      </c>
      <c r="BB391" s="171">
        <f t="shared" si="68"/>
        <v>15.3827786090232</v>
      </c>
      <c r="BC391" s="324">
        <f t="shared" si="68"/>
        <v>15.661082480618884</v>
      </c>
      <c r="BD391" s="324">
        <f t="shared" si="68"/>
        <v>16.660090875436374</v>
      </c>
      <c r="BE391" s="324">
        <f t="shared" si="68"/>
        <v>17.66904412041244</v>
      </c>
      <c r="BF391" s="324">
        <f t="shared" si="68"/>
        <v>18.683472949725235</v>
      </c>
      <c r="BG391" s="324">
        <f t="shared" si="68"/>
        <v>19.700781628604748</v>
      </c>
      <c r="BH391" s="324">
        <f t="shared" si="68"/>
        <v>20.719379615037315</v>
      </c>
      <c r="BI391" s="324">
        <f t="shared" si="68"/>
        <v>30.859307507456986</v>
      </c>
      <c r="BJ391" s="324">
        <f t="shared" si="68"/>
        <v>40.070521796163007</v>
      </c>
      <c r="BK391" s="183">
        <f t="shared" si="68"/>
        <v>48.475026319592722</v>
      </c>
      <c r="BL391" s="183">
        <f t="shared" si="68"/>
        <v>56.174351468831951</v>
      </c>
      <c r="BM391" s="183">
        <f t="shared" si="68"/>
        <v>67.800039618799872</v>
      </c>
      <c r="BN391" s="184">
        <f t="shared" si="68"/>
        <v>70.216845614123102</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240">
        <v>4190450</v>
      </c>
      <c r="BA392" s="240">
        <v>5066257</v>
      </c>
      <c r="BB392" s="240">
        <v>5828103</v>
      </c>
      <c r="BC392" s="325"/>
      <c r="BD392" s="325"/>
      <c r="BE392" s="325"/>
      <c r="BF392" s="325"/>
      <c r="BG392" s="325"/>
      <c r="BH392" s="325"/>
      <c r="BI392" s="325"/>
      <c r="BJ392" s="325"/>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148">
        <f t="shared" ref="AZ393:BB393" si="78">AZ390-AZ394-AZ392</f>
        <v>6937326</v>
      </c>
      <c r="BA393" s="148">
        <f t="shared" si="78"/>
        <v>7806272</v>
      </c>
      <c r="BB393" s="148">
        <f t="shared" si="78"/>
        <v>8658882</v>
      </c>
      <c r="BC393" s="326"/>
      <c r="BD393" s="326"/>
      <c r="BE393" s="326"/>
      <c r="BF393" s="326"/>
      <c r="BG393" s="326"/>
      <c r="BH393" s="326"/>
      <c r="BI393" s="326"/>
      <c r="BJ393" s="326"/>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52">
        <v>251881</v>
      </c>
      <c r="BA394" s="52">
        <v>268256</v>
      </c>
      <c r="BB394" s="52">
        <v>285550</v>
      </c>
      <c r="BC394" s="327"/>
      <c r="BD394" s="327"/>
      <c r="BE394" s="327"/>
      <c r="BF394" s="327"/>
      <c r="BG394" s="327"/>
      <c r="BH394" s="327"/>
      <c r="BI394" s="327"/>
      <c r="BJ394" s="327"/>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79">R$367*$D$398</f>
        <v>0.90149614764379138</v>
      </c>
      <c r="S398" s="19">
        <f t="shared" si="79"/>
        <v>1.8029922952875828</v>
      </c>
      <c r="T398" s="19">
        <f t="shared" si="79"/>
        <v>3.6059845905751655</v>
      </c>
      <c r="U398" s="19">
        <f t="shared" si="79"/>
        <v>7.211969181150331</v>
      </c>
      <c r="V398" s="19">
        <f t="shared" si="79"/>
        <v>14.423938362300662</v>
      </c>
      <c r="W398" s="19">
        <f t="shared" si="79"/>
        <v>28.847876724601324</v>
      </c>
      <c r="X398" s="19">
        <f t="shared" si="79"/>
        <v>57.695753449202648</v>
      </c>
      <c r="Y398" s="19">
        <f t="shared" si="79"/>
        <v>115.3915068984053</v>
      </c>
      <c r="Z398" s="19">
        <f t="shared" si="79"/>
        <v>230.78301379681059</v>
      </c>
      <c r="AA398" s="19">
        <f t="shared" si="79"/>
        <v>461.56602759362119</v>
      </c>
      <c r="AB398" s="19">
        <f t="shared" si="79"/>
        <v>923.13205518724237</v>
      </c>
      <c r="AC398" s="19">
        <f t="shared" si="79"/>
        <v>1846.2641103744847</v>
      </c>
      <c r="AD398" s="19">
        <f t="shared" si="79"/>
        <v>3692.5282207489695</v>
      </c>
      <c r="AE398" s="19">
        <f t="shared" si="79"/>
        <v>7385.056441497939</v>
      </c>
      <c r="AF398" s="19">
        <f t="shared" si="79"/>
        <v>14770.112882995878</v>
      </c>
      <c r="AG398" s="19">
        <f t="shared" si="79"/>
        <v>18462.641103744849</v>
      </c>
      <c r="AH398" s="19">
        <f t="shared" si="79"/>
        <v>22155.169324493818</v>
      </c>
      <c r="AI398" s="19">
        <f t="shared" si="79"/>
        <v>25847.697545242787</v>
      </c>
      <c r="AJ398" s="19">
        <f t="shared" si="79"/>
        <v>29540.225765991756</v>
      </c>
      <c r="AK398" s="19">
        <f t="shared" si="79"/>
        <v>37811.488980469447</v>
      </c>
      <c r="AL398" s="19">
        <f t="shared" si="79"/>
        <v>44310.338648987636</v>
      </c>
      <c r="AM398" s="19">
        <f t="shared" si="79"/>
        <v>51695.395090485574</v>
      </c>
      <c r="AN398" s="19">
        <f t="shared" si="79"/>
        <v>59080.451531983512</v>
      </c>
      <c r="AO398" s="19">
        <f t="shared" si="79"/>
        <v>70896.541838380217</v>
      </c>
      <c r="AP398" s="19">
        <f t="shared" si="79"/>
        <v>82712.632144776915</v>
      </c>
      <c r="AQ398" s="19">
        <f t="shared" si="79"/>
        <v>94528.722451173628</v>
      </c>
      <c r="AR398" s="19">
        <f t="shared" si="79"/>
        <v>106344.81275757033</v>
      </c>
      <c r="AS398" s="19">
        <f t="shared" si="79"/>
        <v>118160.90306396702</v>
      </c>
      <c r="AT398" s="19">
        <f t="shared" si="79"/>
        <v>141793.08367676043</v>
      </c>
      <c r="AU398" s="19">
        <f t="shared" si="79"/>
        <v>165425.26428955383</v>
      </c>
      <c r="AV398" s="19">
        <f t="shared" si="79"/>
        <v>189057.44490234726</v>
      </c>
      <c r="AW398" s="19">
        <f t="shared" si="79"/>
        <v>212689.62551514065</v>
      </c>
      <c r="AX398" s="19">
        <f t="shared" si="79"/>
        <v>236321.80612793405</v>
      </c>
      <c r="AY398" s="19">
        <f t="shared" si="79"/>
        <v>283586.16735352087</v>
      </c>
      <c r="AZ398" s="19">
        <f t="shared" si="79"/>
        <v>330850.52857910766</v>
      </c>
      <c r="BA398" s="19">
        <f t="shared" si="79"/>
        <v>378114.88980469451</v>
      </c>
      <c r="BB398" s="19">
        <f t="shared" si="79"/>
        <v>425379.2510302813</v>
      </c>
      <c r="BC398" s="19">
        <f t="shared" si="79"/>
        <v>472643.61225586809</v>
      </c>
      <c r="BD398" s="19">
        <f t="shared" si="79"/>
        <v>567172.33470704174</v>
      </c>
      <c r="BE398" s="19">
        <f t="shared" si="79"/>
        <v>661701.05715821532</v>
      </c>
      <c r="BF398" s="19">
        <f t="shared" si="79"/>
        <v>756229.77960938902</v>
      </c>
      <c r="BG398" s="19">
        <f t="shared" si="79"/>
        <v>850758.50206056261</v>
      </c>
      <c r="BH398" s="18">
        <f t="shared" si="79"/>
        <v>945287.22451173619</v>
      </c>
      <c r="BI398" s="19">
        <f t="shared" si="79"/>
        <v>1890574.4490234724</v>
      </c>
      <c r="BJ398" s="19">
        <f t="shared" si="79"/>
        <v>3781148.8980469448</v>
      </c>
      <c r="BK398" s="19">
        <f t="shared" si="79"/>
        <v>7562297.7960938895</v>
      </c>
      <c r="BL398" s="19">
        <f t="shared" si="79"/>
        <v>9536112.7934061997</v>
      </c>
      <c r="BM398" s="60">
        <f t="shared" si="79"/>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80">R$367*$D$398*$E$399</f>
        <v>0.13342142985128111</v>
      </c>
      <c r="S399" s="30">
        <f t="shared" si="80"/>
        <v>0.26684285970256222</v>
      </c>
      <c r="T399" s="30">
        <f t="shared" si="80"/>
        <v>0.53368571940512444</v>
      </c>
      <c r="U399" s="30">
        <f t="shared" si="80"/>
        <v>1.0673714388102489</v>
      </c>
      <c r="V399" s="30">
        <f t="shared" si="80"/>
        <v>2.1347428776204977</v>
      </c>
      <c r="W399" s="30">
        <f t="shared" si="80"/>
        <v>4.2694857552409955</v>
      </c>
      <c r="X399" s="30">
        <f t="shared" si="80"/>
        <v>8.538971510481991</v>
      </c>
      <c r="Y399" s="30">
        <f t="shared" si="80"/>
        <v>17.077943020963982</v>
      </c>
      <c r="Z399" s="30">
        <f t="shared" si="80"/>
        <v>34.155886041927964</v>
      </c>
      <c r="AA399" s="30">
        <f t="shared" si="80"/>
        <v>68.311772083855928</v>
      </c>
      <c r="AB399" s="30">
        <f t="shared" si="80"/>
        <v>136.62354416771186</v>
      </c>
      <c r="AC399" s="30">
        <f t="shared" si="80"/>
        <v>273.24708833542371</v>
      </c>
      <c r="AD399" s="30">
        <f t="shared" si="80"/>
        <v>546.49417667084742</v>
      </c>
      <c r="AE399" s="30">
        <f t="shared" si="80"/>
        <v>1092.9883533416948</v>
      </c>
      <c r="AF399" s="30">
        <f t="shared" si="80"/>
        <v>2185.9767066833897</v>
      </c>
      <c r="AG399" s="30">
        <f t="shared" si="80"/>
        <v>2732.4708833542377</v>
      </c>
      <c r="AH399" s="30">
        <f t="shared" si="80"/>
        <v>3278.9650600250848</v>
      </c>
      <c r="AI399" s="30">
        <f t="shared" si="80"/>
        <v>3825.4592366959323</v>
      </c>
      <c r="AJ399" s="30">
        <f t="shared" si="80"/>
        <v>4371.9534133667794</v>
      </c>
      <c r="AK399" s="30">
        <f t="shared" si="80"/>
        <v>5596.1003691094775</v>
      </c>
      <c r="AL399" s="30">
        <f t="shared" si="80"/>
        <v>6557.9301200501695</v>
      </c>
      <c r="AM399" s="30">
        <f t="shared" si="80"/>
        <v>7650.9184733918646</v>
      </c>
      <c r="AN399" s="30">
        <f t="shared" si="80"/>
        <v>8743.9068267335588</v>
      </c>
      <c r="AO399" s="30">
        <f t="shared" si="80"/>
        <v>10492.688192080272</v>
      </c>
      <c r="AP399" s="30">
        <f t="shared" si="80"/>
        <v>12241.469557426983</v>
      </c>
      <c r="AQ399" s="30">
        <f t="shared" si="80"/>
        <v>13990.250922773695</v>
      </c>
      <c r="AR399" s="30">
        <f t="shared" si="80"/>
        <v>15739.032288120407</v>
      </c>
      <c r="AS399" s="30">
        <f t="shared" si="80"/>
        <v>17487.813653467118</v>
      </c>
      <c r="AT399" s="30">
        <f t="shared" si="80"/>
        <v>20985.376384160543</v>
      </c>
      <c r="AU399" s="30">
        <f t="shared" si="80"/>
        <v>24482.939114853965</v>
      </c>
      <c r="AV399" s="30">
        <f t="shared" si="80"/>
        <v>27980.501845547391</v>
      </c>
      <c r="AW399" s="30">
        <f t="shared" si="80"/>
        <v>31478.064576240813</v>
      </c>
      <c r="AX399" s="30">
        <f t="shared" si="80"/>
        <v>34975.627306934235</v>
      </c>
      <c r="AY399" s="30">
        <f t="shared" si="80"/>
        <v>41970.752768321086</v>
      </c>
      <c r="AZ399" s="30">
        <f t="shared" si="80"/>
        <v>48965.878229707931</v>
      </c>
      <c r="BA399" s="30">
        <f t="shared" si="80"/>
        <v>55961.003691094782</v>
      </c>
      <c r="BB399" s="30">
        <f t="shared" si="80"/>
        <v>62956.129152481626</v>
      </c>
      <c r="BC399" s="30">
        <f t="shared" si="80"/>
        <v>69951.25461386847</v>
      </c>
      <c r="BD399" s="30">
        <f t="shared" si="80"/>
        <v>83941.505536642173</v>
      </c>
      <c r="BE399" s="30">
        <f t="shared" si="80"/>
        <v>97931.756459415861</v>
      </c>
      <c r="BF399" s="30">
        <f t="shared" si="80"/>
        <v>111922.00738218956</v>
      </c>
      <c r="BG399" s="30">
        <f t="shared" si="80"/>
        <v>125912.25830496325</v>
      </c>
      <c r="BH399" s="29">
        <f t="shared" si="80"/>
        <v>139902.50922773694</v>
      </c>
      <c r="BI399" s="30">
        <f t="shared" si="80"/>
        <v>279805.01845547388</v>
      </c>
      <c r="BJ399" s="30">
        <f t="shared" si="80"/>
        <v>559610.03691094776</v>
      </c>
      <c r="BK399" s="30">
        <f t="shared" si="80"/>
        <v>1119220.0738218955</v>
      </c>
      <c r="BL399" s="30">
        <f t="shared" si="80"/>
        <v>1411344.6934241175</v>
      </c>
      <c r="BM399" s="71">
        <f t="shared" si="80"/>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1">R$367*$D$400</f>
        <v>3.3316161978140117</v>
      </c>
      <c r="S400" s="21">
        <f t="shared" si="81"/>
        <v>6.6632323956280235</v>
      </c>
      <c r="T400" s="21">
        <f t="shared" si="81"/>
        <v>13.326464791256047</v>
      </c>
      <c r="U400" s="21">
        <f t="shared" si="81"/>
        <v>26.652929582512094</v>
      </c>
      <c r="V400" s="21">
        <f t="shared" si="81"/>
        <v>53.305859165024188</v>
      </c>
      <c r="W400" s="21">
        <f t="shared" si="81"/>
        <v>106.61171833004838</v>
      </c>
      <c r="X400" s="21">
        <f t="shared" si="81"/>
        <v>213.22343666009675</v>
      </c>
      <c r="Y400" s="21">
        <f t="shared" si="81"/>
        <v>426.4468733201935</v>
      </c>
      <c r="Z400" s="21">
        <f t="shared" si="81"/>
        <v>852.89374664038701</v>
      </c>
      <c r="AA400" s="21">
        <f t="shared" si="81"/>
        <v>1705.787493280774</v>
      </c>
      <c r="AB400" s="21">
        <f t="shared" si="81"/>
        <v>3411.574986561548</v>
      </c>
      <c r="AC400" s="21">
        <f t="shared" si="81"/>
        <v>6823.1499731230961</v>
      </c>
      <c r="AD400" s="21">
        <f t="shared" si="81"/>
        <v>13646.299946246192</v>
      </c>
      <c r="AE400" s="21">
        <f t="shared" si="81"/>
        <v>27292.599892492384</v>
      </c>
      <c r="AF400" s="21">
        <f t="shared" si="81"/>
        <v>54585.199784984768</v>
      </c>
      <c r="AG400" s="21">
        <f t="shared" si="81"/>
        <v>68231.499731230957</v>
      </c>
      <c r="AH400" s="21">
        <f t="shared" si="81"/>
        <v>81877.799677477145</v>
      </c>
      <c r="AI400" s="21">
        <f t="shared" si="81"/>
        <v>95524.099623723334</v>
      </c>
      <c r="AJ400" s="21">
        <f t="shared" si="81"/>
        <v>109170.39956996954</v>
      </c>
      <c r="AK400" s="21">
        <f t="shared" si="81"/>
        <v>139738.11144956099</v>
      </c>
      <c r="AL400" s="21">
        <f t="shared" si="81"/>
        <v>163755.59935495429</v>
      </c>
      <c r="AM400" s="21">
        <f t="shared" si="81"/>
        <v>191048.19924744667</v>
      </c>
      <c r="AN400" s="21">
        <f t="shared" si="81"/>
        <v>218340.79913993907</v>
      </c>
      <c r="AO400" s="21">
        <f t="shared" si="81"/>
        <v>262008.95896792688</v>
      </c>
      <c r="AP400" s="21">
        <f t="shared" si="81"/>
        <v>305677.11879591469</v>
      </c>
      <c r="AQ400" s="21">
        <f t="shared" si="81"/>
        <v>349345.27862390253</v>
      </c>
      <c r="AR400" s="21">
        <f t="shared" si="81"/>
        <v>393013.43845189031</v>
      </c>
      <c r="AS400" s="21">
        <f t="shared" si="81"/>
        <v>436681.59827987815</v>
      </c>
      <c r="AT400" s="21">
        <f t="shared" si="81"/>
        <v>524017.91793585377</v>
      </c>
      <c r="AU400" s="21">
        <f t="shared" si="81"/>
        <v>611354.23759182938</v>
      </c>
      <c r="AV400" s="21">
        <f t="shared" si="81"/>
        <v>698690.55724780506</v>
      </c>
      <c r="AW400" s="21">
        <f t="shared" si="81"/>
        <v>786026.87690378062</v>
      </c>
      <c r="AX400" s="21">
        <f t="shared" si="81"/>
        <v>873363.1965597563</v>
      </c>
      <c r="AY400" s="21">
        <f t="shared" si="81"/>
        <v>1048035.8358717075</v>
      </c>
      <c r="AZ400" s="21">
        <f t="shared" si="81"/>
        <v>1222708.4751836588</v>
      </c>
      <c r="BA400" s="21">
        <f t="shared" si="81"/>
        <v>1397381.1144956101</v>
      </c>
      <c r="BB400" s="21">
        <f t="shared" si="81"/>
        <v>1572053.7538075612</v>
      </c>
      <c r="BC400" s="21">
        <f t="shared" si="81"/>
        <v>1746726.3931195126</v>
      </c>
      <c r="BD400" s="21">
        <f t="shared" si="81"/>
        <v>2096071.6717434151</v>
      </c>
      <c r="BE400" s="21">
        <f t="shared" si="81"/>
        <v>2445416.9503673175</v>
      </c>
      <c r="BF400" s="21">
        <f t="shared" si="81"/>
        <v>2794762.2289912202</v>
      </c>
      <c r="BG400" s="21">
        <f t="shared" si="81"/>
        <v>3144107.5076151225</v>
      </c>
      <c r="BH400" s="20">
        <f t="shared" si="81"/>
        <v>3493452.7862390252</v>
      </c>
      <c r="BI400" s="21">
        <f t="shared" si="81"/>
        <v>6986905.5724780504</v>
      </c>
      <c r="BJ400" s="21">
        <f t="shared" si="81"/>
        <v>13973811.144956101</v>
      </c>
      <c r="BK400" s="21">
        <f t="shared" si="81"/>
        <v>27947622.289912201</v>
      </c>
      <c r="BL400" s="21">
        <f t="shared" si="81"/>
        <v>35242155.975631602</v>
      </c>
      <c r="BM400" s="72">
        <f t="shared" si="81"/>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2">R$367*$D$400*$E$401</f>
        <v>0.26652929582512097</v>
      </c>
      <c r="S401" s="30">
        <f t="shared" si="82"/>
        <v>0.53305859165024194</v>
      </c>
      <c r="T401" s="30">
        <f t="shared" si="82"/>
        <v>1.0661171833004839</v>
      </c>
      <c r="U401" s="30">
        <f t="shared" si="82"/>
        <v>2.1322343666009678</v>
      </c>
      <c r="V401" s="30">
        <f t="shared" si="82"/>
        <v>4.2644687332019355</v>
      </c>
      <c r="W401" s="30">
        <f t="shared" si="82"/>
        <v>8.5289374664038711</v>
      </c>
      <c r="X401" s="30">
        <f t="shared" si="82"/>
        <v>17.057874932807742</v>
      </c>
      <c r="Y401" s="30">
        <f t="shared" si="82"/>
        <v>34.115749865615484</v>
      </c>
      <c r="Z401" s="30">
        <f t="shared" si="82"/>
        <v>68.231499731230969</v>
      </c>
      <c r="AA401" s="30">
        <f t="shared" si="82"/>
        <v>136.46299946246194</v>
      </c>
      <c r="AB401" s="30">
        <f t="shared" si="82"/>
        <v>272.92599892492387</v>
      </c>
      <c r="AC401" s="30">
        <f t="shared" si="82"/>
        <v>545.85199784984775</v>
      </c>
      <c r="AD401" s="30">
        <f t="shared" si="82"/>
        <v>1091.7039956996955</v>
      </c>
      <c r="AE401" s="30">
        <f t="shared" si="82"/>
        <v>2183.407991399391</v>
      </c>
      <c r="AF401" s="30">
        <f t="shared" si="82"/>
        <v>4366.815982798782</v>
      </c>
      <c r="AG401" s="30">
        <f t="shared" si="82"/>
        <v>5458.519978498477</v>
      </c>
      <c r="AH401" s="30">
        <f t="shared" si="82"/>
        <v>6550.2239741981721</v>
      </c>
      <c r="AI401" s="30">
        <f t="shared" si="82"/>
        <v>7641.9279698978671</v>
      </c>
      <c r="AJ401" s="30">
        <f t="shared" si="82"/>
        <v>8733.631965597564</v>
      </c>
      <c r="AK401" s="30">
        <f t="shared" si="82"/>
        <v>11179.048915964881</v>
      </c>
      <c r="AL401" s="30">
        <f t="shared" si="82"/>
        <v>13100.447948396344</v>
      </c>
      <c r="AM401" s="30">
        <f t="shared" si="82"/>
        <v>15283.855939795734</v>
      </c>
      <c r="AN401" s="30">
        <f t="shared" si="82"/>
        <v>17467.263931195128</v>
      </c>
      <c r="AO401" s="30">
        <f t="shared" si="82"/>
        <v>20960.716717434152</v>
      </c>
      <c r="AP401" s="30">
        <f t="shared" si="82"/>
        <v>24454.169503673176</v>
      </c>
      <c r="AQ401" s="30">
        <f t="shared" si="82"/>
        <v>27947.622289912204</v>
      </c>
      <c r="AR401" s="30">
        <f t="shared" si="82"/>
        <v>31441.075076151224</v>
      </c>
      <c r="AS401" s="30">
        <f t="shared" si="82"/>
        <v>34934.527862390256</v>
      </c>
      <c r="AT401" s="30">
        <f t="shared" si="82"/>
        <v>41921.433434868304</v>
      </c>
      <c r="AU401" s="30">
        <f t="shared" si="82"/>
        <v>48908.339007346352</v>
      </c>
      <c r="AV401" s="30">
        <f t="shared" si="82"/>
        <v>55895.244579824408</v>
      </c>
      <c r="AW401" s="30">
        <f t="shared" si="82"/>
        <v>62882.150152302449</v>
      </c>
      <c r="AX401" s="30">
        <f t="shared" si="82"/>
        <v>69869.055724780512</v>
      </c>
      <c r="AY401" s="30">
        <f t="shared" si="82"/>
        <v>83842.866869736608</v>
      </c>
      <c r="AZ401" s="30">
        <f t="shared" si="82"/>
        <v>97816.678014692705</v>
      </c>
      <c r="BA401" s="30">
        <f t="shared" si="82"/>
        <v>111790.48915964882</v>
      </c>
      <c r="BB401" s="30">
        <f t="shared" si="82"/>
        <v>125764.3003046049</v>
      </c>
      <c r="BC401" s="30">
        <f t="shared" si="82"/>
        <v>139738.11144956102</v>
      </c>
      <c r="BD401" s="30">
        <f t="shared" si="82"/>
        <v>167685.73373947322</v>
      </c>
      <c r="BE401" s="30">
        <f t="shared" si="82"/>
        <v>195633.35602938541</v>
      </c>
      <c r="BF401" s="30">
        <f t="shared" si="82"/>
        <v>223580.97831929763</v>
      </c>
      <c r="BG401" s="30">
        <f t="shared" si="82"/>
        <v>251528.6006092098</v>
      </c>
      <c r="BH401" s="29">
        <f t="shared" si="82"/>
        <v>279476.22289912205</v>
      </c>
      <c r="BI401" s="30">
        <f t="shared" si="82"/>
        <v>558952.44579824409</v>
      </c>
      <c r="BJ401" s="30">
        <f t="shared" si="82"/>
        <v>1117904.8915964882</v>
      </c>
      <c r="BK401" s="30">
        <f t="shared" si="82"/>
        <v>2235809.7831929764</v>
      </c>
      <c r="BL401" s="30">
        <f t="shared" si="82"/>
        <v>2819372.4780505281</v>
      </c>
      <c r="BM401" s="71">
        <f t="shared" si="82"/>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3">R$367*$D$402</f>
        <v>5.2297975273248518</v>
      </c>
      <c r="S402" s="21">
        <f t="shared" si="83"/>
        <v>10.459595054649704</v>
      </c>
      <c r="T402" s="21">
        <f t="shared" si="83"/>
        <v>20.919190109299407</v>
      </c>
      <c r="U402" s="21">
        <f t="shared" si="83"/>
        <v>41.838380218598815</v>
      </c>
      <c r="V402" s="21">
        <f t="shared" si="83"/>
        <v>83.676760437197629</v>
      </c>
      <c r="W402" s="21">
        <f t="shared" si="83"/>
        <v>167.35352087439526</v>
      </c>
      <c r="X402" s="21">
        <f t="shared" si="83"/>
        <v>334.70704174879052</v>
      </c>
      <c r="Y402" s="21">
        <f t="shared" si="83"/>
        <v>669.41408349758103</v>
      </c>
      <c r="Z402" s="21">
        <f t="shared" si="83"/>
        <v>1338.8281669951621</v>
      </c>
      <c r="AA402" s="21">
        <f t="shared" si="83"/>
        <v>2677.6563339903241</v>
      </c>
      <c r="AB402" s="21">
        <f t="shared" si="83"/>
        <v>5355.3126679806483</v>
      </c>
      <c r="AC402" s="21">
        <f t="shared" si="83"/>
        <v>10710.625335961297</v>
      </c>
      <c r="AD402" s="21">
        <f t="shared" si="83"/>
        <v>21421.250671922593</v>
      </c>
      <c r="AE402" s="21">
        <f t="shared" si="83"/>
        <v>42842.501343845186</v>
      </c>
      <c r="AF402" s="21">
        <f t="shared" si="83"/>
        <v>85685.002687690372</v>
      </c>
      <c r="AG402" s="21">
        <f t="shared" si="83"/>
        <v>107106.25335961297</v>
      </c>
      <c r="AH402" s="21">
        <f t="shared" si="83"/>
        <v>128527.50403153556</v>
      </c>
      <c r="AI402" s="21">
        <f t="shared" si="83"/>
        <v>149948.75470345814</v>
      </c>
      <c r="AJ402" s="21">
        <f t="shared" si="83"/>
        <v>171370.00537538074</v>
      </c>
      <c r="AK402" s="21">
        <f t="shared" si="83"/>
        <v>219353.60688048735</v>
      </c>
      <c r="AL402" s="21">
        <f t="shared" si="83"/>
        <v>257055.00806307112</v>
      </c>
      <c r="AM402" s="21">
        <f t="shared" si="83"/>
        <v>299897.50940691627</v>
      </c>
      <c r="AN402" s="21">
        <f t="shared" si="83"/>
        <v>342740.01075076149</v>
      </c>
      <c r="AO402" s="21">
        <f t="shared" si="83"/>
        <v>411288.01290091377</v>
      </c>
      <c r="AP402" s="21">
        <f t="shared" si="83"/>
        <v>479836.01505106606</v>
      </c>
      <c r="AQ402" s="21">
        <f t="shared" si="83"/>
        <v>548384.0172012184</v>
      </c>
      <c r="AR402" s="21">
        <f t="shared" si="83"/>
        <v>616932.01935137063</v>
      </c>
      <c r="AS402" s="21">
        <f t="shared" si="83"/>
        <v>685480.02150152298</v>
      </c>
      <c r="AT402" s="21">
        <f t="shared" si="83"/>
        <v>822576.02580182755</v>
      </c>
      <c r="AU402" s="21">
        <f t="shared" si="83"/>
        <v>959672.03010213212</v>
      </c>
      <c r="AV402" s="21">
        <f t="shared" si="83"/>
        <v>1096768.0344024368</v>
      </c>
      <c r="AW402" s="21">
        <f t="shared" si="83"/>
        <v>1233864.0387027413</v>
      </c>
      <c r="AX402" s="21">
        <f t="shared" si="83"/>
        <v>1370960.043003046</v>
      </c>
      <c r="AY402" s="21">
        <f t="shared" si="83"/>
        <v>1645152.0516036551</v>
      </c>
      <c r="AZ402" s="21">
        <f t="shared" si="83"/>
        <v>1919344.0602042642</v>
      </c>
      <c r="BA402" s="21">
        <f t="shared" si="83"/>
        <v>2193536.0688048736</v>
      </c>
      <c r="BB402" s="21">
        <f t="shared" si="83"/>
        <v>2467728.0774054825</v>
      </c>
      <c r="BC402" s="21">
        <f t="shared" si="83"/>
        <v>2741920.0860060919</v>
      </c>
      <c r="BD402" s="21">
        <f t="shared" si="83"/>
        <v>3290304.1032073102</v>
      </c>
      <c r="BE402" s="21">
        <f t="shared" si="83"/>
        <v>3838688.1204085285</v>
      </c>
      <c r="BF402" s="21">
        <f t="shared" si="83"/>
        <v>4387072.1376097472</v>
      </c>
      <c r="BG402" s="21">
        <f t="shared" si="83"/>
        <v>4935456.1548109651</v>
      </c>
      <c r="BH402" s="20">
        <f t="shared" si="83"/>
        <v>5483840.1720121838</v>
      </c>
      <c r="BI402" s="21">
        <f t="shared" si="83"/>
        <v>10967680.344024368</v>
      </c>
      <c r="BJ402" s="21">
        <f t="shared" si="83"/>
        <v>21935360.688048735</v>
      </c>
      <c r="BK402" s="21">
        <f t="shared" si="83"/>
        <v>43870721.376097471</v>
      </c>
      <c r="BL402" s="21">
        <f t="shared" si="83"/>
        <v>55321300.304604903</v>
      </c>
      <c r="BM402" s="72">
        <f t="shared" si="83"/>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4">R$367*$D$402*$E$403</f>
        <v>0.18827271098369466</v>
      </c>
      <c r="S403" s="30">
        <f t="shared" si="84"/>
        <v>0.37654542196738933</v>
      </c>
      <c r="T403" s="30">
        <f t="shared" si="84"/>
        <v>0.75309084393477865</v>
      </c>
      <c r="U403" s="30">
        <f t="shared" si="84"/>
        <v>1.5061816878695573</v>
      </c>
      <c r="V403" s="30">
        <f t="shared" si="84"/>
        <v>3.0123633757391146</v>
      </c>
      <c r="W403" s="30">
        <f t="shared" si="84"/>
        <v>6.0247267514782292</v>
      </c>
      <c r="X403" s="30">
        <f t="shared" si="84"/>
        <v>12.049453502956458</v>
      </c>
      <c r="Y403" s="30">
        <f t="shared" si="84"/>
        <v>24.098907005912917</v>
      </c>
      <c r="Z403" s="30">
        <f t="shared" si="84"/>
        <v>48.197814011825834</v>
      </c>
      <c r="AA403" s="30">
        <f t="shared" si="84"/>
        <v>96.395628023651668</v>
      </c>
      <c r="AB403" s="30">
        <f t="shared" si="84"/>
        <v>192.79125604730334</v>
      </c>
      <c r="AC403" s="30">
        <f t="shared" si="84"/>
        <v>385.58251209460667</v>
      </c>
      <c r="AD403" s="30">
        <f t="shared" si="84"/>
        <v>771.16502418921334</v>
      </c>
      <c r="AE403" s="30">
        <f t="shared" si="84"/>
        <v>1542.3300483784267</v>
      </c>
      <c r="AF403" s="30">
        <f t="shared" si="84"/>
        <v>3084.6600967568534</v>
      </c>
      <c r="AG403" s="30">
        <f t="shared" si="84"/>
        <v>3855.8251209460664</v>
      </c>
      <c r="AH403" s="30">
        <f t="shared" si="84"/>
        <v>4626.9901451352798</v>
      </c>
      <c r="AI403" s="30">
        <f t="shared" si="84"/>
        <v>5398.1551693244928</v>
      </c>
      <c r="AJ403" s="30">
        <f t="shared" si="84"/>
        <v>6169.3201935137067</v>
      </c>
      <c r="AK403" s="30">
        <f t="shared" si="84"/>
        <v>7896.7298476975438</v>
      </c>
      <c r="AL403" s="30">
        <f t="shared" si="84"/>
        <v>9253.9802902705596</v>
      </c>
      <c r="AM403" s="30">
        <f t="shared" si="84"/>
        <v>10796.310338648986</v>
      </c>
      <c r="AN403" s="30">
        <f t="shared" si="84"/>
        <v>12338.640387027413</v>
      </c>
      <c r="AO403" s="30">
        <f t="shared" si="84"/>
        <v>14806.368464432895</v>
      </c>
      <c r="AP403" s="30">
        <f t="shared" si="84"/>
        <v>17274.096541838378</v>
      </c>
      <c r="AQ403" s="30">
        <f t="shared" si="84"/>
        <v>19741.82461924386</v>
      </c>
      <c r="AR403" s="30">
        <f t="shared" si="84"/>
        <v>22209.552696649342</v>
      </c>
      <c r="AS403" s="30">
        <f t="shared" si="84"/>
        <v>24677.280774054827</v>
      </c>
      <c r="AT403" s="30">
        <f t="shared" si="84"/>
        <v>29612.73692886579</v>
      </c>
      <c r="AU403" s="30">
        <f t="shared" si="84"/>
        <v>34548.193083676757</v>
      </c>
      <c r="AV403" s="30">
        <f t="shared" si="84"/>
        <v>39483.64923848772</v>
      </c>
      <c r="AW403" s="30">
        <f t="shared" si="84"/>
        <v>44419.105393298683</v>
      </c>
      <c r="AX403" s="30">
        <f t="shared" si="84"/>
        <v>49354.561548109654</v>
      </c>
      <c r="AY403" s="30">
        <f t="shared" si="84"/>
        <v>59225.47385773158</v>
      </c>
      <c r="AZ403" s="30">
        <f t="shared" si="84"/>
        <v>69096.386167353514</v>
      </c>
      <c r="BA403" s="30">
        <f t="shared" si="84"/>
        <v>78967.29847697544</v>
      </c>
      <c r="BB403" s="30">
        <f t="shared" si="84"/>
        <v>88838.210786597367</v>
      </c>
      <c r="BC403" s="30">
        <f t="shared" si="84"/>
        <v>98709.123096219308</v>
      </c>
      <c r="BD403" s="30">
        <f t="shared" si="84"/>
        <v>118450.94771546316</v>
      </c>
      <c r="BE403" s="30">
        <f t="shared" si="84"/>
        <v>138192.77233470703</v>
      </c>
      <c r="BF403" s="30">
        <f t="shared" si="84"/>
        <v>157934.59695395088</v>
      </c>
      <c r="BG403" s="30">
        <f t="shared" si="84"/>
        <v>177676.42157319473</v>
      </c>
      <c r="BH403" s="29">
        <f t="shared" si="84"/>
        <v>197418.24619243862</v>
      </c>
      <c r="BI403" s="30">
        <f t="shared" si="84"/>
        <v>394836.49238487723</v>
      </c>
      <c r="BJ403" s="30">
        <f t="shared" si="84"/>
        <v>789672.98476975446</v>
      </c>
      <c r="BK403" s="30">
        <f t="shared" si="84"/>
        <v>1579345.9695395089</v>
      </c>
      <c r="BL403" s="30">
        <f t="shared" si="84"/>
        <v>1991566.8109657764</v>
      </c>
      <c r="BM403" s="71">
        <f t="shared" si="84"/>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5">R$367*$D$404</f>
        <v>4.8546407453861313</v>
      </c>
      <c r="S404" s="21">
        <f t="shared" si="85"/>
        <v>9.7092814907722627</v>
      </c>
      <c r="T404" s="21">
        <f t="shared" si="85"/>
        <v>19.418562981544525</v>
      </c>
      <c r="U404" s="21">
        <f t="shared" si="85"/>
        <v>38.837125963089051</v>
      </c>
      <c r="V404" s="21">
        <f t="shared" si="85"/>
        <v>77.674251926178101</v>
      </c>
      <c r="W404" s="21">
        <f t="shared" si="85"/>
        <v>155.3485038523562</v>
      </c>
      <c r="X404" s="21">
        <f t="shared" si="85"/>
        <v>310.69700770471241</v>
      </c>
      <c r="Y404" s="21">
        <f t="shared" si="85"/>
        <v>621.39401540942481</v>
      </c>
      <c r="Z404" s="21">
        <f t="shared" si="85"/>
        <v>1242.7880308188496</v>
      </c>
      <c r="AA404" s="21">
        <f t="shared" si="85"/>
        <v>2485.5760616376992</v>
      </c>
      <c r="AB404" s="21">
        <f t="shared" si="85"/>
        <v>4971.1521232753985</v>
      </c>
      <c r="AC404" s="21">
        <f t="shared" si="85"/>
        <v>9942.304246550797</v>
      </c>
      <c r="AD404" s="21">
        <f t="shared" si="85"/>
        <v>19884.608493101594</v>
      </c>
      <c r="AE404" s="21">
        <f t="shared" si="85"/>
        <v>39769.216986203188</v>
      </c>
      <c r="AF404" s="21">
        <f t="shared" si="85"/>
        <v>79538.433972406376</v>
      </c>
      <c r="AG404" s="21">
        <f t="shared" si="85"/>
        <v>99423.04246550797</v>
      </c>
      <c r="AH404" s="21">
        <f t="shared" si="85"/>
        <v>119307.65095860958</v>
      </c>
      <c r="AI404" s="21">
        <f t="shared" si="85"/>
        <v>139192.25945171117</v>
      </c>
      <c r="AJ404" s="21">
        <f t="shared" si="85"/>
        <v>159076.86794481275</v>
      </c>
      <c r="AK404" s="21">
        <f t="shared" si="85"/>
        <v>203618.39096936033</v>
      </c>
      <c r="AL404" s="21">
        <f t="shared" si="85"/>
        <v>238615.30191721916</v>
      </c>
      <c r="AM404" s="21">
        <f t="shared" si="85"/>
        <v>278384.51890342234</v>
      </c>
      <c r="AN404" s="21">
        <f t="shared" si="85"/>
        <v>318153.7358896255</v>
      </c>
      <c r="AO404" s="21">
        <f t="shared" si="85"/>
        <v>381784.48306755064</v>
      </c>
      <c r="AP404" s="21">
        <f t="shared" si="85"/>
        <v>445415.23024547572</v>
      </c>
      <c r="AQ404" s="21">
        <f t="shared" si="85"/>
        <v>509045.97742340085</v>
      </c>
      <c r="AR404" s="21">
        <f t="shared" si="85"/>
        <v>572676.72460132593</v>
      </c>
      <c r="AS404" s="21">
        <f t="shared" si="85"/>
        <v>636307.47177925101</v>
      </c>
      <c r="AT404" s="21">
        <f t="shared" si="85"/>
        <v>763568.96613510128</v>
      </c>
      <c r="AU404" s="21">
        <f t="shared" si="85"/>
        <v>890830.46049095143</v>
      </c>
      <c r="AV404" s="21">
        <f t="shared" si="85"/>
        <v>1018091.9548468017</v>
      </c>
      <c r="AW404" s="21">
        <f t="shared" si="85"/>
        <v>1145353.4492026519</v>
      </c>
      <c r="AX404" s="21">
        <f t="shared" si="85"/>
        <v>1272614.943558502</v>
      </c>
      <c r="AY404" s="21">
        <f t="shared" si="85"/>
        <v>1527137.9322702026</v>
      </c>
      <c r="AZ404" s="21">
        <f t="shared" si="85"/>
        <v>1781660.9209819029</v>
      </c>
      <c r="BA404" s="21">
        <f t="shared" si="85"/>
        <v>2036183.9096936034</v>
      </c>
      <c r="BB404" s="21">
        <f t="shared" si="85"/>
        <v>2290706.8984053037</v>
      </c>
      <c r="BC404" s="21">
        <f t="shared" si="85"/>
        <v>2545229.887117004</v>
      </c>
      <c r="BD404" s="21">
        <f t="shared" si="85"/>
        <v>3054275.8645404051</v>
      </c>
      <c r="BE404" s="21">
        <f t="shared" si="85"/>
        <v>3563321.8419638057</v>
      </c>
      <c r="BF404" s="21">
        <f t="shared" si="85"/>
        <v>4072367.8193872068</v>
      </c>
      <c r="BG404" s="21">
        <f t="shared" si="85"/>
        <v>4581413.7968106074</v>
      </c>
      <c r="BH404" s="20">
        <f t="shared" si="85"/>
        <v>5090459.774234008</v>
      </c>
      <c r="BI404" s="21">
        <f t="shared" si="85"/>
        <v>10180919.548468016</v>
      </c>
      <c r="BJ404" s="21">
        <f t="shared" si="85"/>
        <v>20361839.096936032</v>
      </c>
      <c r="BK404" s="21">
        <f t="shared" si="85"/>
        <v>40723678.193872064</v>
      </c>
      <c r="BL404" s="21">
        <f t="shared" si="85"/>
        <v>51352855.850206055</v>
      </c>
      <c r="BM404" s="72">
        <f t="shared" si="85"/>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6">R$367*$D$404*$E$405</f>
        <v>6.3110329690019701E-2</v>
      </c>
      <c r="S405" s="30">
        <f t="shared" si="86"/>
        <v>0.1262206593800394</v>
      </c>
      <c r="T405" s="30">
        <f t="shared" si="86"/>
        <v>0.2524413187600788</v>
      </c>
      <c r="U405" s="30">
        <f t="shared" si="86"/>
        <v>0.50488263752015761</v>
      </c>
      <c r="V405" s="30">
        <f t="shared" si="86"/>
        <v>1.0097652750403152</v>
      </c>
      <c r="W405" s="30">
        <f t="shared" si="86"/>
        <v>2.0195305500806304</v>
      </c>
      <c r="X405" s="30">
        <f t="shared" si="86"/>
        <v>4.0390611001612609</v>
      </c>
      <c r="Y405" s="30">
        <f t="shared" si="86"/>
        <v>8.0781222003225217</v>
      </c>
      <c r="Z405" s="30">
        <f t="shared" si="86"/>
        <v>16.156244400645043</v>
      </c>
      <c r="AA405" s="30">
        <f t="shared" si="86"/>
        <v>32.312488801290087</v>
      </c>
      <c r="AB405" s="30">
        <f t="shared" si="86"/>
        <v>64.624977602580174</v>
      </c>
      <c r="AC405" s="30">
        <f t="shared" si="86"/>
        <v>129.24995520516035</v>
      </c>
      <c r="AD405" s="30">
        <f t="shared" si="86"/>
        <v>258.49991041032069</v>
      </c>
      <c r="AE405" s="30">
        <f t="shared" si="86"/>
        <v>516.99982082064139</v>
      </c>
      <c r="AF405" s="30">
        <f t="shared" si="86"/>
        <v>1033.9996416412828</v>
      </c>
      <c r="AG405" s="30">
        <f t="shared" si="86"/>
        <v>1292.4995520516036</v>
      </c>
      <c r="AH405" s="30">
        <f t="shared" si="86"/>
        <v>1550.9994624619244</v>
      </c>
      <c r="AI405" s="30">
        <f t="shared" si="86"/>
        <v>1809.4993728722452</v>
      </c>
      <c r="AJ405" s="30">
        <f t="shared" si="86"/>
        <v>2067.9992832825656</v>
      </c>
      <c r="AK405" s="30">
        <f t="shared" si="86"/>
        <v>2647.0390826016842</v>
      </c>
      <c r="AL405" s="30">
        <f t="shared" si="86"/>
        <v>3101.9989249238488</v>
      </c>
      <c r="AM405" s="30">
        <f t="shared" si="86"/>
        <v>3618.9987457444904</v>
      </c>
      <c r="AN405" s="30">
        <f t="shared" si="86"/>
        <v>4135.9985665651311</v>
      </c>
      <c r="AO405" s="30">
        <f t="shared" si="86"/>
        <v>4963.1982798781582</v>
      </c>
      <c r="AP405" s="30">
        <f t="shared" si="86"/>
        <v>5790.3979931911845</v>
      </c>
      <c r="AQ405" s="30">
        <f t="shared" si="86"/>
        <v>6617.5977065042107</v>
      </c>
      <c r="AR405" s="30">
        <f t="shared" si="86"/>
        <v>7444.7974198172369</v>
      </c>
      <c r="AS405" s="30">
        <f t="shared" si="86"/>
        <v>8271.9971331302622</v>
      </c>
      <c r="AT405" s="30">
        <f t="shared" si="86"/>
        <v>9926.3965597563165</v>
      </c>
      <c r="AU405" s="30">
        <f t="shared" si="86"/>
        <v>11580.795986382369</v>
      </c>
      <c r="AV405" s="30">
        <f t="shared" si="86"/>
        <v>13235.195413008421</v>
      </c>
      <c r="AW405" s="30">
        <f t="shared" si="86"/>
        <v>14889.594839634474</v>
      </c>
      <c r="AX405" s="30">
        <f t="shared" si="86"/>
        <v>16543.994266260524</v>
      </c>
      <c r="AY405" s="30">
        <f t="shared" si="86"/>
        <v>19852.793119512633</v>
      </c>
      <c r="AZ405" s="30">
        <f t="shared" si="86"/>
        <v>23161.591972764738</v>
      </c>
      <c r="BA405" s="30">
        <f t="shared" si="86"/>
        <v>26470.390826016843</v>
      </c>
      <c r="BB405" s="30">
        <f t="shared" si="86"/>
        <v>29779.189679268948</v>
      </c>
      <c r="BC405" s="30">
        <f t="shared" si="86"/>
        <v>33087.988532521049</v>
      </c>
      <c r="BD405" s="30">
        <f t="shared" si="86"/>
        <v>39705.586239025266</v>
      </c>
      <c r="BE405" s="30">
        <f t="shared" si="86"/>
        <v>46323.183945529476</v>
      </c>
      <c r="BF405" s="30">
        <f t="shared" si="86"/>
        <v>52940.781652033686</v>
      </c>
      <c r="BG405" s="30">
        <f t="shared" si="86"/>
        <v>59558.379358537895</v>
      </c>
      <c r="BH405" s="29">
        <f t="shared" si="86"/>
        <v>66175.977065042098</v>
      </c>
      <c r="BI405" s="30">
        <f t="shared" si="86"/>
        <v>132351.9541300842</v>
      </c>
      <c r="BJ405" s="30">
        <f t="shared" si="86"/>
        <v>264703.90826016839</v>
      </c>
      <c r="BK405" s="30">
        <f t="shared" si="86"/>
        <v>529407.81652033678</v>
      </c>
      <c r="BL405" s="30">
        <f t="shared" si="86"/>
        <v>667587.12605267868</v>
      </c>
      <c r="BM405" s="71">
        <f t="shared" si="86"/>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7">R$367*$D$406</f>
        <v>4.0539329869199063</v>
      </c>
      <c r="S406" s="21">
        <f t="shared" si="87"/>
        <v>8.1078659738398127</v>
      </c>
      <c r="T406" s="21">
        <f t="shared" si="87"/>
        <v>16.215731947679625</v>
      </c>
      <c r="U406" s="21">
        <f t="shared" si="87"/>
        <v>32.431463895359251</v>
      </c>
      <c r="V406" s="21">
        <f t="shared" si="87"/>
        <v>64.862927790718501</v>
      </c>
      <c r="W406" s="21">
        <f t="shared" si="87"/>
        <v>129.725855581437</v>
      </c>
      <c r="X406" s="21">
        <f t="shared" si="87"/>
        <v>259.45171116287401</v>
      </c>
      <c r="Y406" s="21">
        <f t="shared" si="87"/>
        <v>518.90342232574801</v>
      </c>
      <c r="Z406" s="21">
        <f t="shared" si="87"/>
        <v>1037.806844651496</v>
      </c>
      <c r="AA406" s="21">
        <f t="shared" si="87"/>
        <v>2075.613689302992</v>
      </c>
      <c r="AB406" s="21">
        <f t="shared" si="87"/>
        <v>4151.2273786059841</v>
      </c>
      <c r="AC406" s="21">
        <f t="shared" si="87"/>
        <v>8302.4547572119682</v>
      </c>
      <c r="AD406" s="21">
        <f t="shared" si="87"/>
        <v>16604.909514423936</v>
      </c>
      <c r="AE406" s="21">
        <f t="shared" si="87"/>
        <v>33209.819028847873</v>
      </c>
      <c r="AF406" s="21">
        <f t="shared" si="87"/>
        <v>66419.638057695745</v>
      </c>
      <c r="AG406" s="21">
        <f t="shared" si="87"/>
        <v>83024.547572119685</v>
      </c>
      <c r="AH406" s="21">
        <f t="shared" si="87"/>
        <v>99629.457086543625</v>
      </c>
      <c r="AI406" s="21">
        <f t="shared" si="87"/>
        <v>116234.36660096757</v>
      </c>
      <c r="AJ406" s="21">
        <f t="shared" si="87"/>
        <v>132839.27611539149</v>
      </c>
      <c r="AK406" s="21">
        <f t="shared" si="87"/>
        <v>170034.27342770112</v>
      </c>
      <c r="AL406" s="21">
        <f t="shared" si="87"/>
        <v>199258.91417308725</v>
      </c>
      <c r="AM406" s="21">
        <f t="shared" si="87"/>
        <v>232468.73320193513</v>
      </c>
      <c r="AN406" s="21">
        <f t="shared" si="87"/>
        <v>265678.55223078298</v>
      </c>
      <c r="AO406" s="21">
        <f t="shared" si="87"/>
        <v>318814.2626769396</v>
      </c>
      <c r="AP406" s="21">
        <f t="shared" si="87"/>
        <v>371949.97312309622</v>
      </c>
      <c r="AQ406" s="21">
        <f t="shared" si="87"/>
        <v>425085.68356925278</v>
      </c>
      <c r="AR406" s="21">
        <f t="shared" si="87"/>
        <v>478221.3940154094</v>
      </c>
      <c r="AS406" s="21">
        <f t="shared" si="87"/>
        <v>531357.10446156596</v>
      </c>
      <c r="AT406" s="21">
        <f t="shared" si="87"/>
        <v>637628.5253538792</v>
      </c>
      <c r="AU406" s="21">
        <f t="shared" si="87"/>
        <v>743899.94624619244</v>
      </c>
      <c r="AV406" s="21">
        <f t="shared" si="87"/>
        <v>850171.36713850556</v>
      </c>
      <c r="AW406" s="21">
        <f t="shared" si="87"/>
        <v>956442.7880308188</v>
      </c>
      <c r="AX406" s="21">
        <f t="shared" si="87"/>
        <v>1062714.2089231319</v>
      </c>
      <c r="AY406" s="21">
        <f t="shared" si="87"/>
        <v>1275257.0507077584</v>
      </c>
      <c r="AZ406" s="21">
        <f t="shared" si="87"/>
        <v>1487799.8924923849</v>
      </c>
      <c r="BA406" s="21">
        <f t="shared" si="87"/>
        <v>1700342.7342770111</v>
      </c>
      <c r="BB406" s="21">
        <f t="shared" si="87"/>
        <v>1912885.5760616376</v>
      </c>
      <c r="BC406" s="21">
        <f t="shared" si="87"/>
        <v>2125428.4178462639</v>
      </c>
      <c r="BD406" s="21">
        <f t="shared" si="87"/>
        <v>2550514.1014155168</v>
      </c>
      <c r="BE406" s="21">
        <f t="shared" si="87"/>
        <v>2975599.7849847698</v>
      </c>
      <c r="BF406" s="21">
        <f t="shared" si="87"/>
        <v>3400685.4685540223</v>
      </c>
      <c r="BG406" s="21">
        <f t="shared" si="87"/>
        <v>3825771.1521232752</v>
      </c>
      <c r="BH406" s="20">
        <f t="shared" si="87"/>
        <v>4250856.8356925277</v>
      </c>
      <c r="BI406" s="21">
        <f t="shared" si="87"/>
        <v>8501713.6713850554</v>
      </c>
      <c r="BJ406" s="21">
        <f t="shared" si="87"/>
        <v>17003427.342770111</v>
      </c>
      <c r="BK406" s="21">
        <f t="shared" si="87"/>
        <v>34006854.685540222</v>
      </c>
      <c r="BL406" s="21">
        <f t="shared" si="87"/>
        <v>42882892.313205518</v>
      </c>
      <c r="BM406" s="72">
        <f t="shared" si="87"/>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88">R$367*$D$406*$E$407</f>
        <v>1.6215731947679626E-2</v>
      </c>
      <c r="S407" s="30">
        <f t="shared" si="88"/>
        <v>3.2431463895359253E-2</v>
      </c>
      <c r="T407" s="30">
        <f t="shared" si="88"/>
        <v>6.4862927790718505E-2</v>
      </c>
      <c r="U407" s="30">
        <f t="shared" si="88"/>
        <v>0.12972585558143701</v>
      </c>
      <c r="V407" s="30">
        <f t="shared" si="88"/>
        <v>0.25945171116287402</v>
      </c>
      <c r="W407" s="30">
        <f t="shared" si="88"/>
        <v>0.51890342232574804</v>
      </c>
      <c r="X407" s="30">
        <f t="shared" si="88"/>
        <v>1.0378068446514961</v>
      </c>
      <c r="Y407" s="30">
        <f t="shared" si="88"/>
        <v>2.0756136893029922</v>
      </c>
      <c r="Z407" s="30">
        <f t="shared" si="88"/>
        <v>4.1512273786059843</v>
      </c>
      <c r="AA407" s="30">
        <f t="shared" si="88"/>
        <v>8.3024547572119687</v>
      </c>
      <c r="AB407" s="30">
        <f t="shared" si="88"/>
        <v>16.604909514423937</v>
      </c>
      <c r="AC407" s="30">
        <f t="shared" si="88"/>
        <v>33.209819028847875</v>
      </c>
      <c r="AD407" s="30">
        <f t="shared" si="88"/>
        <v>66.419638057695749</v>
      </c>
      <c r="AE407" s="30">
        <f t="shared" si="88"/>
        <v>132.8392761153915</v>
      </c>
      <c r="AF407" s="30">
        <f t="shared" si="88"/>
        <v>265.678552230783</v>
      </c>
      <c r="AG407" s="30">
        <f t="shared" si="88"/>
        <v>332.09819028847875</v>
      </c>
      <c r="AH407" s="30">
        <f t="shared" si="88"/>
        <v>398.5178283461745</v>
      </c>
      <c r="AI407" s="30">
        <f t="shared" si="88"/>
        <v>464.93746640387025</v>
      </c>
      <c r="AJ407" s="30">
        <f t="shared" si="88"/>
        <v>531.357104461566</v>
      </c>
      <c r="AK407" s="30">
        <f t="shared" si="88"/>
        <v>680.13709371080449</v>
      </c>
      <c r="AL407" s="30">
        <f t="shared" si="88"/>
        <v>797.03565669234899</v>
      </c>
      <c r="AM407" s="30">
        <f t="shared" si="88"/>
        <v>929.87493280774049</v>
      </c>
      <c r="AN407" s="30">
        <f t="shared" si="88"/>
        <v>1062.714208923132</v>
      </c>
      <c r="AO407" s="30">
        <f t="shared" si="88"/>
        <v>1275.2570507077585</v>
      </c>
      <c r="AP407" s="30">
        <f t="shared" si="88"/>
        <v>1487.799892492385</v>
      </c>
      <c r="AQ407" s="30">
        <f t="shared" si="88"/>
        <v>1700.3427342770112</v>
      </c>
      <c r="AR407" s="30">
        <f t="shared" si="88"/>
        <v>1912.8855760616377</v>
      </c>
      <c r="AS407" s="30">
        <f t="shared" si="88"/>
        <v>2125.428417846264</v>
      </c>
      <c r="AT407" s="30">
        <f t="shared" si="88"/>
        <v>2550.514101415517</v>
      </c>
      <c r="AU407" s="30">
        <f t="shared" si="88"/>
        <v>2975.5997849847699</v>
      </c>
      <c r="AV407" s="30">
        <f t="shared" si="88"/>
        <v>3400.6854685540225</v>
      </c>
      <c r="AW407" s="30">
        <f t="shared" si="88"/>
        <v>3825.7711521232754</v>
      </c>
      <c r="AX407" s="30">
        <f t="shared" si="88"/>
        <v>4250.856835692528</v>
      </c>
      <c r="AY407" s="30">
        <f t="shared" si="88"/>
        <v>5101.0282028310339</v>
      </c>
      <c r="AZ407" s="30">
        <f t="shared" si="88"/>
        <v>5951.1995699695399</v>
      </c>
      <c r="BA407" s="30">
        <f t="shared" si="88"/>
        <v>6801.3709371080449</v>
      </c>
      <c r="BB407" s="30">
        <f t="shared" si="88"/>
        <v>7651.5423042465509</v>
      </c>
      <c r="BC407" s="30">
        <f t="shared" si="88"/>
        <v>8501.7136713850559</v>
      </c>
      <c r="BD407" s="30">
        <f t="shared" si="88"/>
        <v>10202.056405662068</v>
      </c>
      <c r="BE407" s="30">
        <f t="shared" si="88"/>
        <v>11902.39913993908</v>
      </c>
      <c r="BF407" s="30">
        <f t="shared" si="88"/>
        <v>13602.74187421609</v>
      </c>
      <c r="BG407" s="30">
        <f t="shared" si="88"/>
        <v>15303.084608493102</v>
      </c>
      <c r="BH407" s="29">
        <f t="shared" si="88"/>
        <v>17003.427342770112</v>
      </c>
      <c r="BI407" s="30">
        <f t="shared" si="88"/>
        <v>34006.854685540224</v>
      </c>
      <c r="BJ407" s="30">
        <f t="shared" si="88"/>
        <v>68013.709371080447</v>
      </c>
      <c r="BK407" s="30">
        <f t="shared" si="88"/>
        <v>136027.41874216089</v>
      </c>
      <c r="BL407" s="30">
        <f t="shared" si="88"/>
        <v>171531.56925282208</v>
      </c>
      <c r="BM407" s="71">
        <f t="shared" si="88"/>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89">R$367*$D$408</f>
        <v>4.9162336498835328</v>
      </c>
      <c r="S408" s="21">
        <f t="shared" si="89"/>
        <v>9.8324672997670657</v>
      </c>
      <c r="T408" s="21">
        <f t="shared" si="89"/>
        <v>19.664934599534131</v>
      </c>
      <c r="U408" s="21">
        <f t="shared" si="89"/>
        <v>39.329869199068263</v>
      </c>
      <c r="V408" s="21">
        <f t="shared" si="89"/>
        <v>78.659738398136525</v>
      </c>
      <c r="W408" s="21">
        <f t="shared" si="89"/>
        <v>157.31947679627305</v>
      </c>
      <c r="X408" s="21">
        <f t="shared" si="89"/>
        <v>314.6389535925461</v>
      </c>
      <c r="Y408" s="21">
        <f t="shared" si="89"/>
        <v>629.2779071850922</v>
      </c>
      <c r="Z408" s="21">
        <f t="shared" si="89"/>
        <v>1258.5558143701844</v>
      </c>
      <c r="AA408" s="21">
        <f t="shared" si="89"/>
        <v>2517.1116287403688</v>
      </c>
      <c r="AB408" s="21">
        <f t="shared" si="89"/>
        <v>5034.2232574807376</v>
      </c>
      <c r="AC408" s="21">
        <f t="shared" si="89"/>
        <v>10068.446514961475</v>
      </c>
      <c r="AD408" s="21">
        <f t="shared" si="89"/>
        <v>20136.893029922951</v>
      </c>
      <c r="AE408" s="21">
        <f t="shared" si="89"/>
        <v>40273.786059845901</v>
      </c>
      <c r="AF408" s="21">
        <f t="shared" si="89"/>
        <v>80547.572119691802</v>
      </c>
      <c r="AG408" s="21">
        <f t="shared" si="89"/>
        <v>100684.46514961476</v>
      </c>
      <c r="AH408" s="21">
        <f t="shared" si="89"/>
        <v>120821.35817953771</v>
      </c>
      <c r="AI408" s="21">
        <f t="shared" si="89"/>
        <v>140958.25120946066</v>
      </c>
      <c r="AJ408" s="21">
        <f t="shared" si="89"/>
        <v>161095.1442393836</v>
      </c>
      <c r="AK408" s="21">
        <f t="shared" si="89"/>
        <v>206201.78462641104</v>
      </c>
      <c r="AL408" s="21">
        <f t="shared" si="89"/>
        <v>241642.71635907542</v>
      </c>
      <c r="AM408" s="21">
        <f t="shared" si="89"/>
        <v>281916.50241892133</v>
      </c>
      <c r="AN408" s="21">
        <f t="shared" si="89"/>
        <v>322190.28847876721</v>
      </c>
      <c r="AO408" s="21">
        <f t="shared" si="89"/>
        <v>386628.34617452067</v>
      </c>
      <c r="AP408" s="21">
        <f t="shared" si="89"/>
        <v>451066.40387027414</v>
      </c>
      <c r="AQ408" s="21">
        <f t="shared" si="89"/>
        <v>515504.46156602754</v>
      </c>
      <c r="AR408" s="21">
        <f t="shared" si="89"/>
        <v>579942.51926178101</v>
      </c>
      <c r="AS408" s="21">
        <f t="shared" si="89"/>
        <v>644380.57695753442</v>
      </c>
      <c r="AT408" s="21">
        <f t="shared" si="89"/>
        <v>773256.69234904135</v>
      </c>
      <c r="AU408" s="21">
        <f t="shared" si="89"/>
        <v>902132.80774054828</v>
      </c>
      <c r="AV408" s="21">
        <f t="shared" si="89"/>
        <v>1031008.9231320551</v>
      </c>
      <c r="AW408" s="21">
        <f t="shared" si="89"/>
        <v>1159885.038523562</v>
      </c>
      <c r="AX408" s="21">
        <f t="shared" si="89"/>
        <v>1288761.1539150688</v>
      </c>
      <c r="AY408" s="21">
        <f t="shared" si="89"/>
        <v>1546513.3846980827</v>
      </c>
      <c r="AZ408" s="21">
        <f t="shared" si="89"/>
        <v>1804265.6154810966</v>
      </c>
      <c r="BA408" s="21">
        <f t="shared" si="89"/>
        <v>2062017.8462641102</v>
      </c>
      <c r="BB408" s="21">
        <f t="shared" si="89"/>
        <v>2319770.077047124</v>
      </c>
      <c r="BC408" s="21">
        <f t="shared" si="89"/>
        <v>2577522.3078301377</v>
      </c>
      <c r="BD408" s="21">
        <f t="shared" si="89"/>
        <v>3093026.7693961654</v>
      </c>
      <c r="BE408" s="21">
        <f t="shared" si="89"/>
        <v>3608531.2309621931</v>
      </c>
      <c r="BF408" s="21">
        <f t="shared" si="89"/>
        <v>4124035.6925282204</v>
      </c>
      <c r="BG408" s="21">
        <f t="shared" si="89"/>
        <v>4639540.1540942481</v>
      </c>
      <c r="BH408" s="20">
        <f t="shared" si="89"/>
        <v>5155044.6156602753</v>
      </c>
      <c r="BI408" s="21">
        <f t="shared" si="89"/>
        <v>10310089.231320551</v>
      </c>
      <c r="BJ408" s="21">
        <f t="shared" si="89"/>
        <v>20620178.462641101</v>
      </c>
      <c r="BK408" s="21">
        <f t="shared" si="89"/>
        <v>41240356.925282203</v>
      </c>
      <c r="BL408" s="21">
        <f t="shared" si="89"/>
        <v>52004391.506898403</v>
      </c>
      <c r="BM408" s="72">
        <f t="shared" si="89"/>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90">R$367*$D$408*$E$409</f>
        <v>9.8324672997670663E-3</v>
      </c>
      <c r="S409" s="30">
        <f t="shared" si="90"/>
        <v>1.9664934599534133E-2</v>
      </c>
      <c r="T409" s="30">
        <f t="shared" si="90"/>
        <v>3.9329869199068265E-2</v>
      </c>
      <c r="U409" s="30">
        <f t="shared" si="90"/>
        <v>7.8659738398136531E-2</v>
      </c>
      <c r="V409" s="30">
        <f t="shared" si="90"/>
        <v>0.15731947679627306</v>
      </c>
      <c r="W409" s="30">
        <f t="shared" si="90"/>
        <v>0.31463895359254612</v>
      </c>
      <c r="X409" s="30">
        <f t="shared" si="90"/>
        <v>0.62927790718509224</v>
      </c>
      <c r="Y409" s="30">
        <f t="shared" si="90"/>
        <v>1.2585558143701845</v>
      </c>
      <c r="Z409" s="30">
        <f t="shared" si="90"/>
        <v>2.517111628740369</v>
      </c>
      <c r="AA409" s="30">
        <f t="shared" si="90"/>
        <v>5.034223257480738</v>
      </c>
      <c r="AB409" s="30">
        <f t="shared" si="90"/>
        <v>10.068446514961476</v>
      </c>
      <c r="AC409" s="30">
        <f t="shared" si="90"/>
        <v>20.136893029922952</v>
      </c>
      <c r="AD409" s="30">
        <f t="shared" si="90"/>
        <v>40.273786059845904</v>
      </c>
      <c r="AE409" s="30">
        <f t="shared" si="90"/>
        <v>80.547572119691807</v>
      </c>
      <c r="AF409" s="30">
        <f t="shared" si="90"/>
        <v>161.09514423938361</v>
      </c>
      <c r="AG409" s="30">
        <f t="shared" si="90"/>
        <v>201.3689302992295</v>
      </c>
      <c r="AH409" s="30">
        <f t="shared" si="90"/>
        <v>241.64271635907542</v>
      </c>
      <c r="AI409" s="30">
        <f t="shared" si="90"/>
        <v>281.91650241892131</v>
      </c>
      <c r="AJ409" s="30">
        <f t="shared" si="90"/>
        <v>322.19028847876723</v>
      </c>
      <c r="AK409" s="30">
        <f t="shared" si="90"/>
        <v>412.40356925282208</v>
      </c>
      <c r="AL409" s="30">
        <f t="shared" si="90"/>
        <v>483.28543271815084</v>
      </c>
      <c r="AM409" s="30">
        <f t="shared" si="90"/>
        <v>563.83300483784262</v>
      </c>
      <c r="AN409" s="30">
        <f t="shared" si="90"/>
        <v>644.38057695753446</v>
      </c>
      <c r="AO409" s="30">
        <f t="shared" si="90"/>
        <v>773.25669234904137</v>
      </c>
      <c r="AP409" s="30">
        <f t="shared" si="90"/>
        <v>902.13280774054829</v>
      </c>
      <c r="AQ409" s="30">
        <f t="shared" si="90"/>
        <v>1031.0089231320551</v>
      </c>
      <c r="AR409" s="30">
        <f t="shared" si="90"/>
        <v>1159.8850385235621</v>
      </c>
      <c r="AS409" s="30">
        <f t="shared" si="90"/>
        <v>1288.7611539150689</v>
      </c>
      <c r="AT409" s="30">
        <f t="shared" si="90"/>
        <v>1546.5133846980827</v>
      </c>
      <c r="AU409" s="30">
        <f t="shared" si="90"/>
        <v>1804.2656154810966</v>
      </c>
      <c r="AV409" s="30">
        <f t="shared" si="90"/>
        <v>2062.0178462641102</v>
      </c>
      <c r="AW409" s="30">
        <f t="shared" si="90"/>
        <v>2319.7700770471242</v>
      </c>
      <c r="AX409" s="30">
        <f t="shared" si="90"/>
        <v>2577.5223078301378</v>
      </c>
      <c r="AY409" s="30">
        <f t="shared" si="90"/>
        <v>3093.0267693961655</v>
      </c>
      <c r="AZ409" s="30">
        <f t="shared" si="90"/>
        <v>3608.5312309621931</v>
      </c>
      <c r="BA409" s="30">
        <f t="shared" si="90"/>
        <v>4124.0356925282204</v>
      </c>
      <c r="BB409" s="30">
        <f t="shared" si="90"/>
        <v>4639.5401540942485</v>
      </c>
      <c r="BC409" s="30">
        <f t="shared" si="90"/>
        <v>5155.0446156602757</v>
      </c>
      <c r="BD409" s="30">
        <f t="shared" si="90"/>
        <v>6186.053538792331</v>
      </c>
      <c r="BE409" s="30">
        <f t="shared" si="90"/>
        <v>7217.0624619243863</v>
      </c>
      <c r="BF409" s="30">
        <f t="shared" si="90"/>
        <v>8248.0713850564407</v>
      </c>
      <c r="BG409" s="30">
        <f t="shared" si="90"/>
        <v>9279.0803081884969</v>
      </c>
      <c r="BH409" s="29">
        <f t="shared" si="90"/>
        <v>10310.089231320551</v>
      </c>
      <c r="BI409" s="30">
        <f t="shared" si="90"/>
        <v>20620.178462641103</v>
      </c>
      <c r="BJ409" s="30">
        <f t="shared" si="90"/>
        <v>41240.356925282205</v>
      </c>
      <c r="BK409" s="30">
        <f t="shared" si="90"/>
        <v>82480.713850564411</v>
      </c>
      <c r="BL409" s="30">
        <f t="shared" si="90"/>
        <v>104008.78301379681</v>
      </c>
      <c r="BM409" s="71">
        <f t="shared" si="90"/>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1">R$367*$D$410</f>
        <v>6.7528220748969714</v>
      </c>
      <c r="S410" s="21">
        <f t="shared" si="91"/>
        <v>13.505644149793943</v>
      </c>
      <c r="T410" s="21">
        <f t="shared" si="91"/>
        <v>27.011288299587886</v>
      </c>
      <c r="U410" s="21">
        <f t="shared" si="91"/>
        <v>54.022576599175771</v>
      </c>
      <c r="V410" s="21">
        <f t="shared" si="91"/>
        <v>108.04515319835154</v>
      </c>
      <c r="W410" s="21">
        <f t="shared" si="91"/>
        <v>216.09030639670308</v>
      </c>
      <c r="X410" s="21">
        <f t="shared" si="91"/>
        <v>432.18061279340617</v>
      </c>
      <c r="Y410" s="21">
        <f t="shared" si="91"/>
        <v>864.36122558681234</v>
      </c>
      <c r="Z410" s="21">
        <f t="shared" si="91"/>
        <v>1728.7224511736247</v>
      </c>
      <c r="AA410" s="21">
        <f t="shared" si="91"/>
        <v>3457.4449023472494</v>
      </c>
      <c r="AB410" s="21">
        <f t="shared" si="91"/>
        <v>6914.8898046944987</v>
      </c>
      <c r="AC410" s="21">
        <f t="shared" si="91"/>
        <v>13829.779609388997</v>
      </c>
      <c r="AD410" s="21">
        <f t="shared" si="91"/>
        <v>27659.559218777995</v>
      </c>
      <c r="AE410" s="21">
        <f t="shared" si="91"/>
        <v>55319.11843755599</v>
      </c>
      <c r="AF410" s="21">
        <f t="shared" si="91"/>
        <v>110638.23687511198</v>
      </c>
      <c r="AG410" s="21">
        <f t="shared" si="91"/>
        <v>138297.79609388998</v>
      </c>
      <c r="AH410" s="21">
        <f t="shared" si="91"/>
        <v>165957.35531266799</v>
      </c>
      <c r="AI410" s="21">
        <f t="shared" si="91"/>
        <v>193616.91453144597</v>
      </c>
      <c r="AJ410" s="21">
        <f t="shared" si="91"/>
        <v>221276.47375022396</v>
      </c>
      <c r="AK410" s="21">
        <f t="shared" si="91"/>
        <v>283233.88640028669</v>
      </c>
      <c r="AL410" s="21">
        <f t="shared" si="91"/>
        <v>331914.71062533598</v>
      </c>
      <c r="AM410" s="21">
        <f t="shared" si="91"/>
        <v>387233.82906289195</v>
      </c>
      <c r="AN410" s="21">
        <f t="shared" si="91"/>
        <v>442552.94750044792</v>
      </c>
      <c r="AO410" s="21">
        <f t="shared" si="91"/>
        <v>531063.5370005375</v>
      </c>
      <c r="AP410" s="21">
        <f t="shared" si="91"/>
        <v>619574.12650062714</v>
      </c>
      <c r="AQ410" s="21">
        <f t="shared" si="91"/>
        <v>708084.71600071667</v>
      </c>
      <c r="AR410" s="21">
        <f t="shared" si="91"/>
        <v>796595.30550080631</v>
      </c>
      <c r="AS410" s="21">
        <f t="shared" si="91"/>
        <v>885105.89500089583</v>
      </c>
      <c r="AT410" s="21">
        <f t="shared" si="91"/>
        <v>1062127.074001075</v>
      </c>
      <c r="AU410" s="21">
        <f t="shared" si="91"/>
        <v>1239148.2530012543</v>
      </c>
      <c r="AV410" s="21">
        <f t="shared" si="91"/>
        <v>1416169.4320014333</v>
      </c>
      <c r="AW410" s="21">
        <f t="shared" si="91"/>
        <v>1593190.6110016126</v>
      </c>
      <c r="AX410" s="21">
        <f t="shared" si="91"/>
        <v>1770211.7900017917</v>
      </c>
      <c r="AY410" s="21">
        <f t="shared" si="91"/>
        <v>2124254.14800215</v>
      </c>
      <c r="AZ410" s="21">
        <f t="shared" si="91"/>
        <v>2478296.5060025086</v>
      </c>
      <c r="BA410" s="21">
        <f t="shared" si="91"/>
        <v>2832338.8640028667</v>
      </c>
      <c r="BB410" s="21">
        <f t="shared" si="91"/>
        <v>3186381.2220032252</v>
      </c>
      <c r="BC410" s="21">
        <f t="shared" si="91"/>
        <v>3540423.5800035833</v>
      </c>
      <c r="BD410" s="21">
        <f t="shared" si="91"/>
        <v>4248508.2960043</v>
      </c>
      <c r="BE410" s="21">
        <f t="shared" si="91"/>
        <v>4956593.0120050171</v>
      </c>
      <c r="BF410" s="21">
        <f t="shared" si="91"/>
        <v>5664677.7280057333</v>
      </c>
      <c r="BG410" s="21">
        <f t="shared" si="91"/>
        <v>6372762.4440064505</v>
      </c>
      <c r="BH410" s="20">
        <f t="shared" si="91"/>
        <v>7080847.1600071667</v>
      </c>
      <c r="BI410" s="21">
        <f t="shared" si="91"/>
        <v>14161694.320014333</v>
      </c>
      <c r="BJ410" s="21">
        <f t="shared" si="91"/>
        <v>28323388.640028667</v>
      </c>
      <c r="BK410" s="21">
        <f t="shared" si="91"/>
        <v>56646777.280057333</v>
      </c>
      <c r="BL410" s="21">
        <f t="shared" si="91"/>
        <v>71432000.179179356</v>
      </c>
      <c r="BM410" s="72">
        <f t="shared" si="91"/>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2">R$367*$D$410*$E$411</f>
        <v>1.3505644149793944E-2</v>
      </c>
      <c r="S411" s="30">
        <f t="shared" si="92"/>
        <v>2.7011288299587887E-2</v>
      </c>
      <c r="T411" s="30">
        <f t="shared" si="92"/>
        <v>5.4022576599175774E-2</v>
      </c>
      <c r="U411" s="30">
        <f t="shared" si="92"/>
        <v>0.10804515319835155</v>
      </c>
      <c r="V411" s="30">
        <f t="shared" si="92"/>
        <v>0.2160903063967031</v>
      </c>
      <c r="W411" s="30">
        <f t="shared" si="92"/>
        <v>0.43218061279340619</v>
      </c>
      <c r="X411" s="30">
        <f t="shared" si="92"/>
        <v>0.86436122558681239</v>
      </c>
      <c r="Y411" s="30">
        <f t="shared" si="92"/>
        <v>1.7287224511736248</v>
      </c>
      <c r="Z411" s="30">
        <f t="shared" si="92"/>
        <v>3.4574449023472495</v>
      </c>
      <c r="AA411" s="30">
        <f t="shared" si="92"/>
        <v>6.9148898046944991</v>
      </c>
      <c r="AB411" s="30">
        <f t="shared" si="92"/>
        <v>13.829779609388998</v>
      </c>
      <c r="AC411" s="30">
        <f t="shared" si="92"/>
        <v>27.659559218777996</v>
      </c>
      <c r="AD411" s="30">
        <f t="shared" si="92"/>
        <v>55.319118437555993</v>
      </c>
      <c r="AE411" s="30">
        <f t="shared" si="92"/>
        <v>110.63823687511199</v>
      </c>
      <c r="AF411" s="30">
        <f t="shared" si="92"/>
        <v>221.27647375022397</v>
      </c>
      <c r="AG411" s="30">
        <f t="shared" si="92"/>
        <v>276.59559218777997</v>
      </c>
      <c r="AH411" s="30">
        <f t="shared" si="92"/>
        <v>331.914710625336</v>
      </c>
      <c r="AI411" s="30">
        <f t="shared" si="92"/>
        <v>387.23382906289197</v>
      </c>
      <c r="AJ411" s="30">
        <f t="shared" si="92"/>
        <v>442.55294750044794</v>
      </c>
      <c r="AK411" s="30">
        <f t="shared" si="92"/>
        <v>566.46777280057336</v>
      </c>
      <c r="AL411" s="30">
        <f t="shared" si="92"/>
        <v>663.829421250672</v>
      </c>
      <c r="AM411" s="30">
        <f t="shared" si="92"/>
        <v>774.46765812578394</v>
      </c>
      <c r="AN411" s="30">
        <f t="shared" si="92"/>
        <v>885.10589500089588</v>
      </c>
      <c r="AO411" s="30">
        <f t="shared" si="92"/>
        <v>1062.127074001075</v>
      </c>
      <c r="AP411" s="30">
        <f t="shared" si="92"/>
        <v>1239.1482530012543</v>
      </c>
      <c r="AQ411" s="30">
        <f t="shared" si="92"/>
        <v>1416.1694320014333</v>
      </c>
      <c r="AR411" s="30">
        <f t="shared" si="92"/>
        <v>1593.1906110016128</v>
      </c>
      <c r="AS411" s="30">
        <f t="shared" si="92"/>
        <v>1770.2117900017918</v>
      </c>
      <c r="AT411" s="30">
        <f t="shared" si="92"/>
        <v>2124.25414800215</v>
      </c>
      <c r="AU411" s="30">
        <f t="shared" si="92"/>
        <v>2478.2965060025085</v>
      </c>
      <c r="AV411" s="30">
        <f t="shared" si="92"/>
        <v>2832.3388640028666</v>
      </c>
      <c r="AW411" s="30">
        <f t="shared" si="92"/>
        <v>3186.3812220032255</v>
      </c>
      <c r="AX411" s="30">
        <f t="shared" si="92"/>
        <v>3540.4235800035835</v>
      </c>
      <c r="AY411" s="30">
        <f t="shared" si="92"/>
        <v>4248.5082960043001</v>
      </c>
      <c r="AZ411" s="30">
        <f t="shared" si="92"/>
        <v>4956.593012005017</v>
      </c>
      <c r="BA411" s="30">
        <f t="shared" si="92"/>
        <v>5664.6777280057331</v>
      </c>
      <c r="BB411" s="30">
        <f t="shared" si="92"/>
        <v>6372.762444006451</v>
      </c>
      <c r="BC411" s="30">
        <f t="shared" si="92"/>
        <v>7080.8471600071671</v>
      </c>
      <c r="BD411" s="30">
        <f t="shared" si="92"/>
        <v>8497.0165920086001</v>
      </c>
      <c r="BE411" s="30">
        <f t="shared" si="92"/>
        <v>9913.1860240100341</v>
      </c>
      <c r="BF411" s="30">
        <f t="shared" si="92"/>
        <v>11329.355456011466</v>
      </c>
      <c r="BG411" s="30">
        <f t="shared" si="92"/>
        <v>12745.524888012902</v>
      </c>
      <c r="BH411" s="29">
        <f t="shared" si="92"/>
        <v>14161.694320014334</v>
      </c>
      <c r="BI411" s="30">
        <f t="shared" si="92"/>
        <v>28323.388640028668</v>
      </c>
      <c r="BJ411" s="30">
        <f t="shared" si="92"/>
        <v>56646.777280057337</v>
      </c>
      <c r="BK411" s="30">
        <f t="shared" si="92"/>
        <v>113293.55456011467</v>
      </c>
      <c r="BL411" s="30">
        <f t="shared" si="92"/>
        <v>142864.00035835872</v>
      </c>
      <c r="BM411" s="71">
        <f t="shared" si="92"/>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3">R$367*$D$412</f>
        <v>0.90149614764379138</v>
      </c>
      <c r="S412" s="21">
        <f t="shared" si="93"/>
        <v>1.8029922952875828</v>
      </c>
      <c r="T412" s="21">
        <f t="shared" si="93"/>
        <v>3.6059845905751655</v>
      </c>
      <c r="U412" s="21">
        <f t="shared" si="93"/>
        <v>7.211969181150331</v>
      </c>
      <c r="V412" s="21">
        <f t="shared" si="93"/>
        <v>14.423938362300662</v>
      </c>
      <c r="W412" s="21">
        <f t="shared" si="93"/>
        <v>28.847876724601324</v>
      </c>
      <c r="X412" s="21">
        <f t="shared" si="93"/>
        <v>57.695753449202648</v>
      </c>
      <c r="Y412" s="21">
        <f t="shared" si="93"/>
        <v>115.3915068984053</v>
      </c>
      <c r="Z412" s="21">
        <f t="shared" si="93"/>
        <v>230.78301379681059</v>
      </c>
      <c r="AA412" s="21">
        <f t="shared" si="93"/>
        <v>461.56602759362119</v>
      </c>
      <c r="AB412" s="21">
        <f t="shared" si="93"/>
        <v>923.13205518724237</v>
      </c>
      <c r="AC412" s="21">
        <f t="shared" si="93"/>
        <v>1846.2641103744847</v>
      </c>
      <c r="AD412" s="21">
        <f t="shared" si="93"/>
        <v>3692.5282207489695</v>
      </c>
      <c r="AE412" s="21">
        <f t="shared" si="93"/>
        <v>7385.056441497939</v>
      </c>
      <c r="AF412" s="21">
        <f t="shared" si="93"/>
        <v>14770.112882995878</v>
      </c>
      <c r="AG412" s="21">
        <f t="shared" si="93"/>
        <v>18462.641103744849</v>
      </c>
      <c r="AH412" s="21">
        <f t="shared" si="93"/>
        <v>22155.169324493818</v>
      </c>
      <c r="AI412" s="21">
        <f t="shared" si="93"/>
        <v>25847.697545242787</v>
      </c>
      <c r="AJ412" s="21">
        <f t="shared" si="93"/>
        <v>29540.225765991756</v>
      </c>
      <c r="AK412" s="21">
        <f t="shared" si="93"/>
        <v>37811.488980469447</v>
      </c>
      <c r="AL412" s="21">
        <f t="shared" si="93"/>
        <v>44310.338648987636</v>
      </c>
      <c r="AM412" s="21">
        <f t="shared" si="93"/>
        <v>51695.395090485574</v>
      </c>
      <c r="AN412" s="21">
        <f t="shared" si="93"/>
        <v>59080.451531983512</v>
      </c>
      <c r="AO412" s="21">
        <f t="shared" si="93"/>
        <v>70896.541838380217</v>
      </c>
      <c r="AP412" s="21">
        <f t="shared" si="93"/>
        <v>82712.632144776915</v>
      </c>
      <c r="AQ412" s="21">
        <f t="shared" si="93"/>
        <v>94528.722451173628</v>
      </c>
      <c r="AR412" s="21">
        <f t="shared" si="93"/>
        <v>106344.81275757033</v>
      </c>
      <c r="AS412" s="21">
        <f t="shared" si="93"/>
        <v>118160.90306396702</v>
      </c>
      <c r="AT412" s="21">
        <f t="shared" si="93"/>
        <v>141793.08367676043</v>
      </c>
      <c r="AU412" s="21">
        <f t="shared" si="93"/>
        <v>165425.26428955383</v>
      </c>
      <c r="AV412" s="21">
        <f t="shared" si="93"/>
        <v>189057.44490234726</v>
      </c>
      <c r="AW412" s="21">
        <f t="shared" si="93"/>
        <v>212689.62551514065</v>
      </c>
      <c r="AX412" s="21">
        <f t="shared" si="93"/>
        <v>236321.80612793405</v>
      </c>
      <c r="AY412" s="21">
        <f t="shared" si="93"/>
        <v>283586.16735352087</v>
      </c>
      <c r="AZ412" s="21">
        <f t="shared" si="93"/>
        <v>330850.52857910766</v>
      </c>
      <c r="BA412" s="21">
        <f t="shared" si="93"/>
        <v>378114.88980469451</v>
      </c>
      <c r="BB412" s="21">
        <f t="shared" si="93"/>
        <v>425379.2510302813</v>
      </c>
      <c r="BC412" s="21">
        <f t="shared" si="93"/>
        <v>472643.61225586809</v>
      </c>
      <c r="BD412" s="21">
        <f t="shared" si="93"/>
        <v>567172.33470704174</v>
      </c>
      <c r="BE412" s="21">
        <f t="shared" si="93"/>
        <v>661701.05715821532</v>
      </c>
      <c r="BF412" s="21">
        <f t="shared" si="93"/>
        <v>756229.77960938902</v>
      </c>
      <c r="BG412" s="21">
        <f t="shared" si="93"/>
        <v>850758.50206056261</v>
      </c>
      <c r="BH412" s="20">
        <f t="shared" si="93"/>
        <v>945287.22451173619</v>
      </c>
      <c r="BI412" s="21">
        <f t="shared" si="93"/>
        <v>1890574.4490234724</v>
      </c>
      <c r="BJ412" s="21">
        <f t="shared" si="93"/>
        <v>3781148.8980469448</v>
      </c>
      <c r="BK412" s="21">
        <f t="shared" si="93"/>
        <v>7562297.7960938895</v>
      </c>
      <c r="BL412" s="21">
        <f t="shared" si="93"/>
        <v>9536112.7934061997</v>
      </c>
      <c r="BM412" s="72">
        <f t="shared" si="93"/>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4">R$367*$D$412*$E$413</f>
        <v>1.8029922952875828E-3</v>
      </c>
      <c r="S413" s="30">
        <f t="shared" si="94"/>
        <v>3.6059845905751656E-3</v>
      </c>
      <c r="T413" s="30">
        <f t="shared" si="94"/>
        <v>7.2119691811503312E-3</v>
      </c>
      <c r="U413" s="30">
        <f t="shared" si="94"/>
        <v>1.4423938362300662E-2</v>
      </c>
      <c r="V413" s="30">
        <f t="shared" si="94"/>
        <v>2.8847876724601325E-2</v>
      </c>
      <c r="W413" s="30">
        <f t="shared" si="94"/>
        <v>5.769575344920265E-2</v>
      </c>
      <c r="X413" s="30">
        <f t="shared" si="94"/>
        <v>0.1153915068984053</v>
      </c>
      <c r="Y413" s="30">
        <f t="shared" si="94"/>
        <v>0.2307830137968106</v>
      </c>
      <c r="Z413" s="30">
        <f t="shared" si="94"/>
        <v>0.4615660275936212</v>
      </c>
      <c r="AA413" s="30">
        <f t="shared" si="94"/>
        <v>0.9231320551872424</v>
      </c>
      <c r="AB413" s="30">
        <f t="shared" si="94"/>
        <v>1.8462641103744848</v>
      </c>
      <c r="AC413" s="30">
        <f t="shared" si="94"/>
        <v>3.6925282207489696</v>
      </c>
      <c r="AD413" s="30">
        <f t="shared" si="94"/>
        <v>7.3850564414979392</v>
      </c>
      <c r="AE413" s="30">
        <f t="shared" si="94"/>
        <v>14.770112882995878</v>
      </c>
      <c r="AF413" s="30">
        <f t="shared" si="94"/>
        <v>29.540225765991757</v>
      </c>
      <c r="AG413" s="30">
        <f t="shared" si="94"/>
        <v>36.925282207489701</v>
      </c>
      <c r="AH413" s="30">
        <f t="shared" si="94"/>
        <v>44.310338648987639</v>
      </c>
      <c r="AI413" s="30">
        <f t="shared" si="94"/>
        <v>51.695395090485576</v>
      </c>
      <c r="AJ413" s="30">
        <f t="shared" si="94"/>
        <v>59.080451531983513</v>
      </c>
      <c r="AK413" s="30">
        <f t="shared" si="94"/>
        <v>75.622977960938897</v>
      </c>
      <c r="AL413" s="30">
        <f t="shared" si="94"/>
        <v>88.620677297975277</v>
      </c>
      <c r="AM413" s="30">
        <f t="shared" si="94"/>
        <v>103.39079018097115</v>
      </c>
      <c r="AN413" s="30">
        <f t="shared" si="94"/>
        <v>118.16090306396703</v>
      </c>
      <c r="AO413" s="30">
        <f t="shared" si="94"/>
        <v>141.79308367676043</v>
      </c>
      <c r="AP413" s="30">
        <f t="shared" si="94"/>
        <v>165.42526428955384</v>
      </c>
      <c r="AQ413" s="30">
        <f t="shared" si="94"/>
        <v>189.05744490234727</v>
      </c>
      <c r="AR413" s="30">
        <f t="shared" si="94"/>
        <v>212.68962551514065</v>
      </c>
      <c r="AS413" s="30">
        <f t="shared" si="94"/>
        <v>236.32180612793405</v>
      </c>
      <c r="AT413" s="30">
        <f t="shared" si="94"/>
        <v>283.58616735352086</v>
      </c>
      <c r="AU413" s="30">
        <f t="shared" si="94"/>
        <v>330.85052857910767</v>
      </c>
      <c r="AV413" s="30">
        <f t="shared" si="94"/>
        <v>378.11488980469454</v>
      </c>
      <c r="AW413" s="30">
        <f t="shared" si="94"/>
        <v>425.3792510302813</v>
      </c>
      <c r="AX413" s="30">
        <f t="shared" si="94"/>
        <v>472.64361225586811</v>
      </c>
      <c r="AY413" s="30">
        <f t="shared" si="94"/>
        <v>567.17233470704173</v>
      </c>
      <c r="AZ413" s="30">
        <f t="shared" si="94"/>
        <v>661.70105715821535</v>
      </c>
      <c r="BA413" s="30">
        <f t="shared" si="94"/>
        <v>756.22977960938908</v>
      </c>
      <c r="BB413" s="30">
        <f t="shared" si="94"/>
        <v>850.75850206056259</v>
      </c>
      <c r="BC413" s="30">
        <f t="shared" si="94"/>
        <v>945.28722451173621</v>
      </c>
      <c r="BD413" s="30">
        <f t="shared" si="94"/>
        <v>1134.3446694140835</v>
      </c>
      <c r="BE413" s="30">
        <f t="shared" si="94"/>
        <v>1323.4021143164307</v>
      </c>
      <c r="BF413" s="30">
        <f t="shared" si="94"/>
        <v>1512.4595592187782</v>
      </c>
      <c r="BG413" s="30">
        <f t="shared" si="94"/>
        <v>1701.5170041211252</v>
      </c>
      <c r="BH413" s="29">
        <f t="shared" si="94"/>
        <v>1890.5744490234724</v>
      </c>
      <c r="BI413" s="30">
        <f t="shared" si="94"/>
        <v>3781.1488980469449</v>
      </c>
      <c r="BJ413" s="30">
        <f t="shared" si="94"/>
        <v>7562.2977960938897</v>
      </c>
      <c r="BK413" s="30">
        <f t="shared" si="94"/>
        <v>15124.595592187779</v>
      </c>
      <c r="BL413" s="30">
        <f t="shared" si="94"/>
        <v>19072.225586812401</v>
      </c>
      <c r="BM413" s="71">
        <f t="shared" si="94"/>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5">R$367*$D$414</f>
        <v>0.30796452248700945</v>
      </c>
      <c r="S414" s="21">
        <f t="shared" si="95"/>
        <v>0.6159290449740189</v>
      </c>
      <c r="T414" s="21">
        <f t="shared" si="95"/>
        <v>1.2318580899480378</v>
      </c>
      <c r="U414" s="21">
        <f t="shared" si="95"/>
        <v>2.4637161798960756</v>
      </c>
      <c r="V414" s="21">
        <f t="shared" si="95"/>
        <v>4.9274323597921512</v>
      </c>
      <c r="W414" s="21">
        <f t="shared" si="95"/>
        <v>9.8548647195843024</v>
      </c>
      <c r="X414" s="21">
        <f t="shared" si="95"/>
        <v>19.709729439168605</v>
      </c>
      <c r="Y414" s="21">
        <f t="shared" si="95"/>
        <v>39.41945887833721</v>
      </c>
      <c r="Z414" s="21">
        <f t="shared" si="95"/>
        <v>78.838917756674419</v>
      </c>
      <c r="AA414" s="21">
        <f t="shared" si="95"/>
        <v>157.67783551334884</v>
      </c>
      <c r="AB414" s="21">
        <f t="shared" si="95"/>
        <v>315.35567102669768</v>
      </c>
      <c r="AC414" s="21">
        <f t="shared" si="95"/>
        <v>630.71134205339536</v>
      </c>
      <c r="AD414" s="21">
        <f t="shared" si="95"/>
        <v>1261.4226841067907</v>
      </c>
      <c r="AE414" s="21">
        <f t="shared" si="95"/>
        <v>2522.8453682135814</v>
      </c>
      <c r="AF414" s="21">
        <f t="shared" si="95"/>
        <v>5045.6907364271628</v>
      </c>
      <c r="AG414" s="21">
        <f t="shared" si="95"/>
        <v>6307.113420533954</v>
      </c>
      <c r="AH414" s="21">
        <f t="shared" si="95"/>
        <v>7568.5361046407452</v>
      </c>
      <c r="AI414" s="21">
        <f t="shared" si="95"/>
        <v>8829.9587887475354</v>
      </c>
      <c r="AJ414" s="21">
        <f t="shared" si="95"/>
        <v>10091.381472854326</v>
      </c>
      <c r="AK414" s="21">
        <f t="shared" si="95"/>
        <v>12916.968285253537</v>
      </c>
      <c r="AL414" s="21">
        <f t="shared" si="95"/>
        <v>15137.07220928149</v>
      </c>
      <c r="AM414" s="21">
        <f t="shared" si="95"/>
        <v>17659.917577495071</v>
      </c>
      <c r="AN414" s="21">
        <f t="shared" si="95"/>
        <v>20182.762945708651</v>
      </c>
      <c r="AO414" s="21">
        <f t="shared" si="95"/>
        <v>24219.315534850382</v>
      </c>
      <c r="AP414" s="21">
        <f t="shared" si="95"/>
        <v>28255.868123992113</v>
      </c>
      <c r="AQ414" s="21">
        <f t="shared" si="95"/>
        <v>32292.420713133844</v>
      </c>
      <c r="AR414" s="21">
        <f t="shared" si="95"/>
        <v>36328.973302275575</v>
      </c>
      <c r="AS414" s="21">
        <f t="shared" si="95"/>
        <v>40365.525891417303</v>
      </c>
      <c r="AT414" s="21">
        <f t="shared" si="95"/>
        <v>48438.631069700765</v>
      </c>
      <c r="AU414" s="21">
        <f t="shared" si="95"/>
        <v>56511.736247984227</v>
      </c>
      <c r="AV414" s="21">
        <f t="shared" si="95"/>
        <v>64584.841426267689</v>
      </c>
      <c r="AW414" s="21">
        <f t="shared" si="95"/>
        <v>72657.946604551151</v>
      </c>
      <c r="AX414" s="21">
        <f t="shared" si="95"/>
        <v>80731.051782834606</v>
      </c>
      <c r="AY414" s="21">
        <f t="shared" si="95"/>
        <v>96877.26213940153</v>
      </c>
      <c r="AZ414" s="21">
        <f t="shared" si="95"/>
        <v>113023.47249596845</v>
      </c>
      <c r="BA414" s="21">
        <f t="shared" si="95"/>
        <v>129169.68285253538</v>
      </c>
      <c r="BB414" s="21">
        <f t="shared" si="95"/>
        <v>145315.8932091023</v>
      </c>
      <c r="BC414" s="21">
        <f t="shared" si="95"/>
        <v>161462.10356566921</v>
      </c>
      <c r="BD414" s="21">
        <f t="shared" si="95"/>
        <v>193754.52427880306</v>
      </c>
      <c r="BE414" s="21">
        <f t="shared" si="95"/>
        <v>226046.94499193691</v>
      </c>
      <c r="BF414" s="21">
        <f t="shared" si="95"/>
        <v>258339.36570507076</v>
      </c>
      <c r="BG414" s="21">
        <f t="shared" si="95"/>
        <v>290631.7864182046</v>
      </c>
      <c r="BH414" s="20">
        <f t="shared" si="95"/>
        <v>322924.20713133842</v>
      </c>
      <c r="BI414" s="21">
        <f t="shared" si="95"/>
        <v>645848.41426267684</v>
      </c>
      <c r="BJ414" s="21">
        <f t="shared" si="95"/>
        <v>1291696.8285253537</v>
      </c>
      <c r="BK414" s="21">
        <f t="shared" si="95"/>
        <v>2583393.6570507074</v>
      </c>
      <c r="BL414" s="21">
        <f t="shared" si="95"/>
        <v>3257678.2834617449</v>
      </c>
      <c r="BM414" s="72">
        <f t="shared" si="95"/>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6">R$367*$D$414*$E$415</f>
        <v>0</v>
      </c>
      <c r="S415" s="32">
        <f t="shared" si="96"/>
        <v>0</v>
      </c>
      <c r="T415" s="32">
        <f t="shared" si="96"/>
        <v>0</v>
      </c>
      <c r="U415" s="32">
        <f t="shared" si="96"/>
        <v>0</v>
      </c>
      <c r="V415" s="32">
        <f t="shared" si="96"/>
        <v>0</v>
      </c>
      <c r="W415" s="32">
        <f t="shared" si="96"/>
        <v>0</v>
      </c>
      <c r="X415" s="32">
        <f t="shared" si="96"/>
        <v>0</v>
      </c>
      <c r="Y415" s="32">
        <f t="shared" si="96"/>
        <v>0</v>
      </c>
      <c r="Z415" s="32">
        <f t="shared" si="96"/>
        <v>0</v>
      </c>
      <c r="AA415" s="32">
        <f t="shared" si="96"/>
        <v>0</v>
      </c>
      <c r="AB415" s="32">
        <f t="shared" si="96"/>
        <v>0</v>
      </c>
      <c r="AC415" s="32">
        <f t="shared" si="96"/>
        <v>0</v>
      </c>
      <c r="AD415" s="32">
        <f t="shared" si="96"/>
        <v>0</v>
      </c>
      <c r="AE415" s="32">
        <f t="shared" si="96"/>
        <v>0</v>
      </c>
      <c r="AF415" s="32">
        <f t="shared" si="96"/>
        <v>0</v>
      </c>
      <c r="AG415" s="32">
        <f t="shared" si="96"/>
        <v>0</v>
      </c>
      <c r="AH415" s="32">
        <f t="shared" si="96"/>
        <v>0</v>
      </c>
      <c r="AI415" s="32">
        <f t="shared" si="96"/>
        <v>0</v>
      </c>
      <c r="AJ415" s="32">
        <f t="shared" si="96"/>
        <v>0</v>
      </c>
      <c r="AK415" s="32">
        <f t="shared" si="96"/>
        <v>0</v>
      </c>
      <c r="AL415" s="32">
        <f t="shared" si="96"/>
        <v>0</v>
      </c>
      <c r="AM415" s="32">
        <f t="shared" si="96"/>
        <v>0</v>
      </c>
      <c r="AN415" s="32">
        <f t="shared" si="96"/>
        <v>0</v>
      </c>
      <c r="AO415" s="32">
        <f t="shared" si="96"/>
        <v>0</v>
      </c>
      <c r="AP415" s="32">
        <f t="shared" si="96"/>
        <v>0</v>
      </c>
      <c r="AQ415" s="32">
        <f t="shared" si="96"/>
        <v>0</v>
      </c>
      <c r="AR415" s="32">
        <f t="shared" si="96"/>
        <v>0</v>
      </c>
      <c r="AS415" s="32">
        <f t="shared" si="96"/>
        <v>0</v>
      </c>
      <c r="AT415" s="32">
        <f t="shared" si="96"/>
        <v>0</v>
      </c>
      <c r="AU415" s="32">
        <f t="shared" si="96"/>
        <v>0</v>
      </c>
      <c r="AV415" s="32">
        <f t="shared" si="96"/>
        <v>0</v>
      </c>
      <c r="AW415" s="32">
        <f t="shared" si="96"/>
        <v>0</v>
      </c>
      <c r="AX415" s="32">
        <f t="shared" si="96"/>
        <v>0</v>
      </c>
      <c r="AY415" s="32">
        <f t="shared" si="96"/>
        <v>0</v>
      </c>
      <c r="AZ415" s="32">
        <f t="shared" si="96"/>
        <v>0</v>
      </c>
      <c r="BA415" s="32">
        <f t="shared" si="96"/>
        <v>0</v>
      </c>
      <c r="BB415" s="32">
        <f t="shared" si="96"/>
        <v>0</v>
      </c>
      <c r="BC415" s="32">
        <f t="shared" si="96"/>
        <v>0</v>
      </c>
      <c r="BD415" s="32">
        <f t="shared" si="96"/>
        <v>0</v>
      </c>
      <c r="BE415" s="32">
        <f t="shared" si="96"/>
        <v>0</v>
      </c>
      <c r="BF415" s="32">
        <f t="shared" si="96"/>
        <v>0</v>
      </c>
      <c r="BG415" s="32">
        <f t="shared" si="96"/>
        <v>0</v>
      </c>
      <c r="BH415" s="29">
        <f t="shared" si="96"/>
        <v>0</v>
      </c>
      <c r="BI415" s="30">
        <f t="shared" si="96"/>
        <v>0</v>
      </c>
      <c r="BJ415" s="30">
        <f t="shared" si="96"/>
        <v>0</v>
      </c>
      <c r="BK415" s="30">
        <f t="shared" si="96"/>
        <v>0</v>
      </c>
      <c r="BL415" s="30">
        <f t="shared" si="96"/>
        <v>0</v>
      </c>
      <c r="BM415" s="71">
        <f t="shared" si="96"/>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7">SUM(R398,R400,R402,R404,R406,R408,R410,R412,R414)</f>
        <v>31.249999999999996</v>
      </c>
      <c r="S416" s="19">
        <f t="shared" si="97"/>
        <v>62.499999999999993</v>
      </c>
      <c r="T416" s="19">
        <f t="shared" si="97"/>
        <v>124.99999999999999</v>
      </c>
      <c r="U416" s="19">
        <f t="shared" si="97"/>
        <v>249.99999999999997</v>
      </c>
      <c r="V416" s="19">
        <f t="shared" si="97"/>
        <v>499.99999999999994</v>
      </c>
      <c r="W416" s="19">
        <f>SUM(W398,W400,W402,W404,W406,W408,W410,W412,W414)</f>
        <v>999.99999999999989</v>
      </c>
      <c r="X416" s="19">
        <f t="shared" si="97"/>
        <v>1999.9999999999998</v>
      </c>
      <c r="Y416" s="19">
        <f t="shared" si="97"/>
        <v>3999.9999999999995</v>
      </c>
      <c r="Z416" s="19">
        <f t="shared" si="97"/>
        <v>7999.9999999999991</v>
      </c>
      <c r="AA416" s="19">
        <f t="shared" si="97"/>
        <v>15999.999999999998</v>
      </c>
      <c r="AB416" s="19">
        <f t="shared" si="97"/>
        <v>31999.999999999996</v>
      </c>
      <c r="AC416" s="19">
        <f t="shared" si="97"/>
        <v>63999.999999999993</v>
      </c>
      <c r="AD416" s="19">
        <f t="shared" si="97"/>
        <v>127999.99999999999</v>
      </c>
      <c r="AE416" s="19">
        <f t="shared" si="97"/>
        <v>255999.99999999997</v>
      </c>
      <c r="AF416" s="19">
        <f t="shared" si="97"/>
        <v>511999.99999999994</v>
      </c>
      <c r="AG416" s="19">
        <f t="shared" ref="AG416:AI416" si="98">SUM(AG398,AG400,AG402,AG404,AG406,AG408,AG410,AG412,AG414)</f>
        <v>640000</v>
      </c>
      <c r="AH416" s="19">
        <f t="shared" si="98"/>
        <v>768000</v>
      </c>
      <c r="AI416" s="19">
        <f t="shared" si="98"/>
        <v>895999.99999999988</v>
      </c>
      <c r="AJ416" s="19">
        <f t="shared" si="97"/>
        <v>1023999.9999999999</v>
      </c>
      <c r="AK416" s="19">
        <f t="shared" ref="AK416:AM416" si="99">SUM(AK398,AK400,AK402,AK404,AK406,AK408,AK410,AK412,AK414)</f>
        <v>1310720</v>
      </c>
      <c r="AL416" s="19">
        <f t="shared" si="99"/>
        <v>1536000</v>
      </c>
      <c r="AM416" s="19">
        <f t="shared" si="99"/>
        <v>1791999.9999999998</v>
      </c>
      <c r="AN416" s="19">
        <f t="shared" si="97"/>
        <v>2047999.9999999998</v>
      </c>
      <c r="AO416" s="19">
        <f t="shared" si="97"/>
        <v>2457600</v>
      </c>
      <c r="AP416" s="19">
        <f t="shared" si="97"/>
        <v>2867200</v>
      </c>
      <c r="AQ416" s="19">
        <f t="shared" si="97"/>
        <v>3276799.9999999995</v>
      </c>
      <c r="AR416" s="19">
        <f t="shared" si="97"/>
        <v>3686400</v>
      </c>
      <c r="AS416" s="19">
        <f t="shared" ref="AS416:BC417" si="100">SUM(AS398,AS400,AS402,AS404,AS406,AS408,AS410,AS412,AS414)</f>
        <v>4095999.9999999995</v>
      </c>
      <c r="AT416" s="19">
        <f t="shared" ref="AT416:AW416" si="101">SUM(AT398,AT400,AT402,AT404,AT406,AT408,AT410,AT412,AT414)</f>
        <v>4915200</v>
      </c>
      <c r="AU416" s="19">
        <f t="shared" si="101"/>
        <v>5734400</v>
      </c>
      <c r="AV416" s="19">
        <f t="shared" si="101"/>
        <v>6553599.9999999991</v>
      </c>
      <c r="AW416" s="19">
        <f t="shared" si="101"/>
        <v>7372800</v>
      </c>
      <c r="AX416" s="19">
        <f t="shared" si="100"/>
        <v>8191999.9999999991</v>
      </c>
      <c r="AY416" s="19">
        <f t="shared" ref="AY416:BB416" si="102">SUM(AY398,AY400,AY402,AY404,AY406,AY408,AY410,AY412,AY414)</f>
        <v>9830400</v>
      </c>
      <c r="AZ416" s="19">
        <f t="shared" si="102"/>
        <v>11468800</v>
      </c>
      <c r="BA416" s="19">
        <f t="shared" si="102"/>
        <v>13107199.999999998</v>
      </c>
      <c r="BB416" s="19">
        <f t="shared" si="102"/>
        <v>14745600</v>
      </c>
      <c r="BC416" s="19">
        <f t="shared" si="100"/>
        <v>16383999.999999998</v>
      </c>
      <c r="BD416" s="19">
        <f t="shared" ref="BD416:BG416" si="103">SUM(BD398,BD400,BD402,BD404,BD406,BD408,BD410,BD412,BD414)</f>
        <v>19660800</v>
      </c>
      <c r="BE416" s="19">
        <f t="shared" si="103"/>
        <v>22937600</v>
      </c>
      <c r="BF416" s="19">
        <f t="shared" si="103"/>
        <v>26214399.999999996</v>
      </c>
      <c r="BG416" s="19">
        <f t="shared" si="103"/>
        <v>29491200</v>
      </c>
      <c r="BH416" s="18">
        <f t="shared" ref="BH416:BM416" si="104">SUM(BH398,BH400,BH402,BH404,BH406,BH408,BH410,BH412,BH414)</f>
        <v>32767999.999999996</v>
      </c>
      <c r="BI416" s="19">
        <f t="shared" si="104"/>
        <v>65535999.999999993</v>
      </c>
      <c r="BJ416" s="19">
        <f t="shared" si="104"/>
        <v>131071999.99999999</v>
      </c>
      <c r="BK416" s="19">
        <f t="shared" si="104"/>
        <v>262143999.99999997</v>
      </c>
      <c r="BL416" s="19">
        <f t="shared" si="104"/>
        <v>330565499.99999994</v>
      </c>
      <c r="BM416" s="60">
        <f t="shared" si="104"/>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5">SUM(T399,T401,T403,T405,T407,T409,T411,T413,T415)</f>
        <v>2.7707624081705791</v>
      </c>
      <c r="U417" s="32">
        <f t="shared" si="105"/>
        <v>5.5415248163411581</v>
      </c>
      <c r="V417" s="32">
        <f t="shared" si="105"/>
        <v>11.083049632682316</v>
      </c>
      <c r="W417" s="32">
        <f t="shared" si="105"/>
        <v>22.166099265364632</v>
      </c>
      <c r="X417" s="32">
        <f t="shared" si="105"/>
        <v>44.332198530729265</v>
      </c>
      <c r="Y417" s="32">
        <f t="shared" si="105"/>
        <v>88.66439706145853</v>
      </c>
      <c r="Z417" s="32">
        <f t="shared" si="105"/>
        <v>177.32879412291706</v>
      </c>
      <c r="AA417" s="32">
        <f t="shared" si="105"/>
        <v>354.65758824583412</v>
      </c>
      <c r="AB417" s="32">
        <f t="shared" si="105"/>
        <v>709.31517649166824</v>
      </c>
      <c r="AC417" s="32">
        <f t="shared" si="105"/>
        <v>1418.6303529833365</v>
      </c>
      <c r="AD417" s="32">
        <f t="shared" si="105"/>
        <v>2837.260705966673</v>
      </c>
      <c r="AE417" s="32">
        <f t="shared" si="105"/>
        <v>5674.5214119333459</v>
      </c>
      <c r="AF417" s="32">
        <f t="shared" si="105"/>
        <v>11349.042823866692</v>
      </c>
      <c r="AG417" s="32">
        <f t="shared" ref="AG417:AI417" si="106">SUM(AG399,AG401,AG403,AG405,AG407,AG409,AG411,AG413,AG415)</f>
        <v>14186.303529833365</v>
      </c>
      <c r="AH417" s="32">
        <f t="shared" si="106"/>
        <v>17023.564235800037</v>
      </c>
      <c r="AI417" s="32">
        <f t="shared" si="106"/>
        <v>19860.824941766703</v>
      </c>
      <c r="AJ417" s="32">
        <f t="shared" si="105"/>
        <v>22698.085647733384</v>
      </c>
      <c r="AK417" s="32">
        <f t="shared" ref="AK417:AM417" si="107">SUM(AK399,AK401,AK403,AK405,AK407,AK409,AK411,AK413,AK415)</f>
        <v>29053.549629098728</v>
      </c>
      <c r="AL417" s="32">
        <f t="shared" si="107"/>
        <v>34047.128471600074</v>
      </c>
      <c r="AM417" s="32">
        <f t="shared" si="107"/>
        <v>39721.649883533406</v>
      </c>
      <c r="AN417" s="32">
        <f t="shared" si="105"/>
        <v>45396.171295466767</v>
      </c>
      <c r="AO417" s="32">
        <f t="shared" si="105"/>
        <v>54475.405554560122</v>
      </c>
      <c r="AP417" s="32">
        <f t="shared" si="105"/>
        <v>63554.639813653455</v>
      </c>
      <c r="AQ417" s="32">
        <f t="shared" si="105"/>
        <v>72633.874072746825</v>
      </c>
      <c r="AR417" s="32">
        <f t="shared" si="105"/>
        <v>81713.108331840151</v>
      </c>
      <c r="AS417" s="32">
        <f t="shared" si="100"/>
        <v>90792.342590933535</v>
      </c>
      <c r="AT417" s="32">
        <f t="shared" ref="AT417:AW417" si="108">SUM(AT399,AT401,AT403,AT405,AT407,AT409,AT411,AT413,AT415)</f>
        <v>108950.81110912024</v>
      </c>
      <c r="AU417" s="32">
        <f t="shared" si="108"/>
        <v>127109.27962730691</v>
      </c>
      <c r="AV417" s="32">
        <f t="shared" si="108"/>
        <v>145267.74814549365</v>
      </c>
      <c r="AW417" s="32">
        <f t="shared" si="108"/>
        <v>163426.2166636803</v>
      </c>
      <c r="AX417" s="32">
        <f t="shared" si="100"/>
        <v>181584.68518186707</v>
      </c>
      <c r="AY417" s="32">
        <f t="shared" ref="AY417:BB417" si="109">SUM(AY399,AY401,AY403,AY405,AY407,AY409,AY411,AY413,AY415)</f>
        <v>217901.62221824049</v>
      </c>
      <c r="AZ417" s="32">
        <f t="shared" si="109"/>
        <v>254218.55925461382</v>
      </c>
      <c r="BA417" s="32">
        <f t="shared" si="109"/>
        <v>290535.4962909873</v>
      </c>
      <c r="BB417" s="32">
        <f t="shared" si="109"/>
        <v>326852.4333273606</v>
      </c>
      <c r="BC417" s="32">
        <f t="shared" si="100"/>
        <v>363169.37036373414</v>
      </c>
      <c r="BD417" s="32">
        <f t="shared" ref="BD417:BG417" si="110">SUM(BD399,BD401,BD403,BD405,BD407,BD409,BD411,BD413,BD415)</f>
        <v>435803.24443648098</v>
      </c>
      <c r="BE417" s="32">
        <f t="shared" si="110"/>
        <v>508437.11850922764</v>
      </c>
      <c r="BF417" s="32">
        <f t="shared" si="110"/>
        <v>581070.9925819746</v>
      </c>
      <c r="BG417" s="32">
        <f t="shared" si="110"/>
        <v>653704.86665472121</v>
      </c>
      <c r="BH417" s="31">
        <f t="shared" ref="BH417:BM417" si="111">SUM(BH399,BH401,BH403,BH405,BH407,BH409,BH411,BH413,BH415)</f>
        <v>726338.74072746828</v>
      </c>
      <c r="BI417" s="32">
        <f t="shared" si="111"/>
        <v>1452677.4814549366</v>
      </c>
      <c r="BJ417" s="32">
        <f t="shared" si="111"/>
        <v>2905354.9629098731</v>
      </c>
      <c r="BK417" s="32">
        <f t="shared" si="111"/>
        <v>5810709.9258197462</v>
      </c>
      <c r="BL417" s="32">
        <f t="shared" si="111"/>
        <v>7327347.6867048908</v>
      </c>
      <c r="BM417" s="73">
        <f t="shared" si="111"/>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2">R$367*$B$421</f>
        <v>11.5</v>
      </c>
      <c r="S421" s="19">
        <f t="shared" si="112"/>
        <v>23</v>
      </c>
      <c r="T421" s="19">
        <f t="shared" si="112"/>
        <v>46</v>
      </c>
      <c r="U421" s="19">
        <f t="shared" si="112"/>
        <v>92</v>
      </c>
      <c r="V421" s="19">
        <f t="shared" si="112"/>
        <v>184</v>
      </c>
      <c r="W421" s="19">
        <f t="shared" si="112"/>
        <v>368</v>
      </c>
      <c r="X421" s="19">
        <f t="shared" si="112"/>
        <v>736</v>
      </c>
      <c r="Y421" s="19">
        <f t="shared" si="112"/>
        <v>1472</v>
      </c>
      <c r="Z421" s="19">
        <f t="shared" si="112"/>
        <v>2944</v>
      </c>
      <c r="AA421" s="19">
        <f t="shared" si="112"/>
        <v>5888</v>
      </c>
      <c r="AB421" s="19">
        <f t="shared" si="112"/>
        <v>11776</v>
      </c>
      <c r="AC421" s="19">
        <f t="shared" si="112"/>
        <v>23552</v>
      </c>
      <c r="AD421" s="19">
        <f t="shared" si="112"/>
        <v>47104</v>
      </c>
      <c r="AE421" s="19">
        <f t="shared" si="112"/>
        <v>94208</v>
      </c>
      <c r="AF421" s="19">
        <f t="shared" si="112"/>
        <v>188416</v>
      </c>
      <c r="AG421" s="19">
        <f t="shared" si="112"/>
        <v>235520</v>
      </c>
      <c r="AH421" s="19">
        <f t="shared" si="112"/>
        <v>282624</v>
      </c>
      <c r="AI421" s="19">
        <f t="shared" si="112"/>
        <v>329728</v>
      </c>
      <c r="AJ421" s="19">
        <f t="shared" si="112"/>
        <v>376832</v>
      </c>
      <c r="AK421" s="19">
        <f t="shared" si="112"/>
        <v>482344.95999999996</v>
      </c>
      <c r="AL421" s="19">
        <f t="shared" si="112"/>
        <v>565248</v>
      </c>
      <c r="AM421" s="19">
        <f t="shared" si="112"/>
        <v>659456</v>
      </c>
      <c r="AN421" s="19">
        <f t="shared" si="112"/>
        <v>753664</v>
      </c>
      <c r="AO421" s="19">
        <f t="shared" si="112"/>
        <v>904396.79999999993</v>
      </c>
      <c r="AP421" s="19">
        <f t="shared" si="112"/>
        <v>1055129.6000000001</v>
      </c>
      <c r="AQ421" s="19">
        <f t="shared" si="112"/>
        <v>1205862.3999999999</v>
      </c>
      <c r="AR421" s="19">
        <f t="shared" si="112"/>
        <v>1356595.2</v>
      </c>
      <c r="AS421" s="19">
        <f t="shared" si="112"/>
        <v>1507328</v>
      </c>
      <c r="AT421" s="19">
        <f t="shared" si="112"/>
        <v>1808793.5999999999</v>
      </c>
      <c r="AU421" s="19">
        <f t="shared" si="112"/>
        <v>2110259.2000000002</v>
      </c>
      <c r="AV421" s="19">
        <f t="shared" si="112"/>
        <v>2411724.7999999998</v>
      </c>
      <c r="AW421" s="19">
        <f t="shared" si="112"/>
        <v>2713190.3999999999</v>
      </c>
      <c r="AX421" s="19">
        <f t="shared" si="112"/>
        <v>3014656</v>
      </c>
      <c r="AY421" s="19">
        <f t="shared" si="112"/>
        <v>3617587.1999999997</v>
      </c>
      <c r="AZ421" s="19">
        <f t="shared" si="112"/>
        <v>4220518.4000000004</v>
      </c>
      <c r="BA421" s="19">
        <f t="shared" si="112"/>
        <v>4823449.5999999996</v>
      </c>
      <c r="BB421" s="19">
        <f t="shared" si="112"/>
        <v>5426380.7999999998</v>
      </c>
      <c r="BC421" s="19">
        <f t="shared" si="112"/>
        <v>6029312</v>
      </c>
      <c r="BD421" s="19">
        <f t="shared" si="112"/>
        <v>7235174.3999999994</v>
      </c>
      <c r="BE421" s="19">
        <f t="shared" si="112"/>
        <v>8441036.8000000007</v>
      </c>
      <c r="BF421" s="19">
        <f t="shared" si="112"/>
        <v>9646899.1999999993</v>
      </c>
      <c r="BG421" s="19">
        <f t="shared" si="112"/>
        <v>10852761.6</v>
      </c>
      <c r="BH421" s="18">
        <f t="shared" si="112"/>
        <v>12058624</v>
      </c>
      <c r="BI421" s="19">
        <f t="shared" si="112"/>
        <v>24117248</v>
      </c>
      <c r="BJ421" s="19">
        <f t="shared" si="112"/>
        <v>48234496</v>
      </c>
      <c r="BK421" s="19">
        <f t="shared" si="112"/>
        <v>96468992</v>
      </c>
      <c r="BL421" s="19">
        <f t="shared" si="112"/>
        <v>121648104</v>
      </c>
      <c r="BM421" s="60">
        <f t="shared" si="112"/>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3">S421*$E$422</f>
        <v>2.415</v>
      </c>
      <c r="T422" s="30">
        <f t="shared" si="113"/>
        <v>4.83</v>
      </c>
      <c r="U422" s="30">
        <f t="shared" si="113"/>
        <v>9.66</v>
      </c>
      <c r="V422" s="30">
        <f t="shared" si="113"/>
        <v>19.32</v>
      </c>
      <c r="W422" s="30">
        <f t="shared" si="113"/>
        <v>38.64</v>
      </c>
      <c r="X422" s="30">
        <f t="shared" si="113"/>
        <v>77.28</v>
      </c>
      <c r="Y422" s="30">
        <f t="shared" si="113"/>
        <v>154.56</v>
      </c>
      <c r="Z422" s="30">
        <f t="shared" si="113"/>
        <v>309.12</v>
      </c>
      <c r="AA422" s="30">
        <f t="shared" si="113"/>
        <v>618.24</v>
      </c>
      <c r="AB422" s="30">
        <f t="shared" si="113"/>
        <v>1236.48</v>
      </c>
      <c r="AC422" s="30">
        <f t="shared" si="113"/>
        <v>2472.96</v>
      </c>
      <c r="AD422" s="30">
        <f t="shared" si="113"/>
        <v>4945.92</v>
      </c>
      <c r="AE422" s="30">
        <f t="shared" si="113"/>
        <v>9891.84</v>
      </c>
      <c r="AF422" s="30">
        <f t="shared" si="113"/>
        <v>19783.68</v>
      </c>
      <c r="AG422" s="30">
        <f t="shared" ref="AG422:AI422" si="114">AG421*$E$422</f>
        <v>24729.599999999999</v>
      </c>
      <c r="AH422" s="30">
        <f t="shared" si="114"/>
        <v>29675.52</v>
      </c>
      <c r="AI422" s="30">
        <f t="shared" si="114"/>
        <v>34621.440000000002</v>
      </c>
      <c r="AJ422" s="30">
        <f t="shared" si="113"/>
        <v>39567.360000000001</v>
      </c>
      <c r="AK422" s="30">
        <f t="shared" ref="AK422:AM422" si="115">AK421*$E$422</f>
        <v>50646.220799999996</v>
      </c>
      <c r="AL422" s="30">
        <f t="shared" si="115"/>
        <v>59351.040000000001</v>
      </c>
      <c r="AM422" s="30">
        <f t="shared" si="115"/>
        <v>69242.880000000005</v>
      </c>
      <c r="AN422" s="30">
        <f t="shared" si="113"/>
        <v>79134.720000000001</v>
      </c>
      <c r="AO422" s="30">
        <f t="shared" si="113"/>
        <v>94961.66399999999</v>
      </c>
      <c r="AP422" s="30">
        <f t="shared" si="113"/>
        <v>110788.60800000001</v>
      </c>
      <c r="AQ422" s="30">
        <f t="shared" si="113"/>
        <v>126615.55199999998</v>
      </c>
      <c r="AR422" s="30">
        <f t="shared" si="113"/>
        <v>142442.49599999998</v>
      </c>
      <c r="AS422" s="30">
        <f>AS421*$E$422</f>
        <v>158269.44</v>
      </c>
      <c r="AT422" s="30">
        <f t="shared" ref="AT422:AW422" si="116">AT421*$E$422</f>
        <v>189923.32799999998</v>
      </c>
      <c r="AU422" s="30">
        <f t="shared" si="116"/>
        <v>221577.21600000001</v>
      </c>
      <c r="AV422" s="30">
        <f t="shared" si="116"/>
        <v>253231.10399999996</v>
      </c>
      <c r="AW422" s="30">
        <f t="shared" si="116"/>
        <v>284884.99199999997</v>
      </c>
      <c r="AX422" s="30">
        <f>AX421*$E$422</f>
        <v>316538.88</v>
      </c>
      <c r="AY422" s="30">
        <f t="shared" ref="AY422:BB422" si="117">AY421*$E$422</f>
        <v>379846.65599999996</v>
      </c>
      <c r="AZ422" s="30">
        <f t="shared" si="117"/>
        <v>443154.43200000003</v>
      </c>
      <c r="BA422" s="30">
        <f t="shared" si="117"/>
        <v>506462.20799999993</v>
      </c>
      <c r="BB422" s="30">
        <f t="shared" si="117"/>
        <v>569769.98399999994</v>
      </c>
      <c r="BC422" s="30">
        <f>BC421*$E$422</f>
        <v>633077.76000000001</v>
      </c>
      <c r="BD422" s="30">
        <f t="shared" ref="BD422:BG422" si="118">BD421*$E$422</f>
        <v>759693.31199999992</v>
      </c>
      <c r="BE422" s="30">
        <f t="shared" si="118"/>
        <v>886308.86400000006</v>
      </c>
      <c r="BF422" s="30">
        <f t="shared" si="118"/>
        <v>1012924.4159999999</v>
      </c>
      <c r="BG422" s="30">
        <f t="shared" si="118"/>
        <v>1139539.9679999999</v>
      </c>
      <c r="BH422" s="29">
        <f t="shared" ref="BH422:BM422" si="119">BH421*$E$422</f>
        <v>1266155.52</v>
      </c>
      <c r="BI422" s="30">
        <f t="shared" si="119"/>
        <v>2532311.04</v>
      </c>
      <c r="BJ422" s="30">
        <f t="shared" si="119"/>
        <v>5064622.0800000001</v>
      </c>
      <c r="BK422" s="30">
        <f t="shared" si="119"/>
        <v>10129244.16</v>
      </c>
      <c r="BL422" s="30">
        <f t="shared" si="119"/>
        <v>12773050.92</v>
      </c>
      <c r="BM422" s="71">
        <f t="shared" si="119"/>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20">R$367*$B$423</f>
        <v>3.0625</v>
      </c>
      <c r="S423" s="21">
        <f t="shared" si="120"/>
        <v>6.125</v>
      </c>
      <c r="T423" s="21">
        <f t="shared" si="120"/>
        <v>12.25</v>
      </c>
      <c r="U423" s="21">
        <f t="shared" si="120"/>
        <v>24.5</v>
      </c>
      <c r="V423" s="21">
        <f t="shared" si="120"/>
        <v>49</v>
      </c>
      <c r="W423" s="21">
        <f t="shared" si="120"/>
        <v>98</v>
      </c>
      <c r="X423" s="21">
        <f t="shared" si="120"/>
        <v>196</v>
      </c>
      <c r="Y423" s="21">
        <f t="shared" si="120"/>
        <v>392</v>
      </c>
      <c r="Z423" s="21">
        <f t="shared" si="120"/>
        <v>784</v>
      </c>
      <c r="AA423" s="21">
        <f t="shared" si="120"/>
        <v>1568</v>
      </c>
      <c r="AB423" s="21">
        <f t="shared" si="120"/>
        <v>3136</v>
      </c>
      <c r="AC423" s="21">
        <f t="shared" si="120"/>
        <v>6272</v>
      </c>
      <c r="AD423" s="21">
        <f t="shared" si="120"/>
        <v>12544</v>
      </c>
      <c r="AE423" s="21">
        <f t="shared" si="120"/>
        <v>25088</v>
      </c>
      <c r="AF423" s="21">
        <f t="shared" si="120"/>
        <v>50176</v>
      </c>
      <c r="AG423" s="21">
        <f t="shared" si="120"/>
        <v>62720</v>
      </c>
      <c r="AH423" s="21">
        <f t="shared" si="120"/>
        <v>75264</v>
      </c>
      <c r="AI423" s="21">
        <f t="shared" si="120"/>
        <v>87808</v>
      </c>
      <c r="AJ423" s="21">
        <f t="shared" si="120"/>
        <v>100352</v>
      </c>
      <c r="AK423" s="21">
        <f t="shared" si="120"/>
        <v>128450.56</v>
      </c>
      <c r="AL423" s="21">
        <f t="shared" si="120"/>
        <v>150528</v>
      </c>
      <c r="AM423" s="21">
        <f t="shared" si="120"/>
        <v>175616</v>
      </c>
      <c r="AN423" s="21">
        <f t="shared" si="120"/>
        <v>200704</v>
      </c>
      <c r="AO423" s="21">
        <f t="shared" si="120"/>
        <v>240844.80000000002</v>
      </c>
      <c r="AP423" s="21">
        <f t="shared" si="120"/>
        <v>280985.60000000003</v>
      </c>
      <c r="AQ423" s="21">
        <f t="shared" si="120"/>
        <v>321126.40000000002</v>
      </c>
      <c r="AR423" s="21">
        <f t="shared" si="120"/>
        <v>361267.20000000001</v>
      </c>
      <c r="AS423" s="21">
        <f t="shared" si="120"/>
        <v>401408</v>
      </c>
      <c r="AT423" s="21">
        <f t="shared" si="120"/>
        <v>481689.60000000003</v>
      </c>
      <c r="AU423" s="21">
        <f t="shared" si="120"/>
        <v>561971.20000000007</v>
      </c>
      <c r="AV423" s="21">
        <f t="shared" si="120"/>
        <v>642252.80000000005</v>
      </c>
      <c r="AW423" s="21">
        <f t="shared" si="120"/>
        <v>722534.40000000002</v>
      </c>
      <c r="AX423" s="21">
        <f t="shared" si="120"/>
        <v>802816</v>
      </c>
      <c r="AY423" s="21">
        <f t="shared" si="120"/>
        <v>963379.20000000007</v>
      </c>
      <c r="AZ423" s="21">
        <f t="shared" si="120"/>
        <v>1123942.4000000001</v>
      </c>
      <c r="BA423" s="21">
        <f t="shared" si="120"/>
        <v>1284505.6000000001</v>
      </c>
      <c r="BB423" s="21">
        <f t="shared" si="120"/>
        <v>1445068.8</v>
      </c>
      <c r="BC423" s="21">
        <f t="shared" si="120"/>
        <v>1605632</v>
      </c>
      <c r="BD423" s="21">
        <f t="shared" si="120"/>
        <v>1926758.4000000001</v>
      </c>
      <c r="BE423" s="21">
        <f t="shared" si="120"/>
        <v>2247884.8000000003</v>
      </c>
      <c r="BF423" s="21">
        <f t="shared" si="120"/>
        <v>2569011.2000000002</v>
      </c>
      <c r="BG423" s="21">
        <f t="shared" si="120"/>
        <v>2890137.6000000001</v>
      </c>
      <c r="BH423" s="20">
        <f t="shared" si="120"/>
        <v>3211264</v>
      </c>
      <c r="BI423" s="21">
        <f t="shared" si="120"/>
        <v>6422528</v>
      </c>
      <c r="BJ423" s="21">
        <f t="shared" si="120"/>
        <v>12845056</v>
      </c>
      <c r="BK423" s="21">
        <f t="shared" si="120"/>
        <v>25690112</v>
      </c>
      <c r="BL423" s="21">
        <f t="shared" si="120"/>
        <v>32395419</v>
      </c>
      <c r="BM423" s="72">
        <f t="shared" si="120"/>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1">R423*$E$424</f>
        <v>0.2235625</v>
      </c>
      <c r="S424" s="30">
        <f t="shared" si="121"/>
        <v>0.44712499999999999</v>
      </c>
      <c r="T424" s="30">
        <f t="shared" si="121"/>
        <v>0.89424999999999999</v>
      </c>
      <c r="U424" s="30">
        <f t="shared" si="121"/>
        <v>1.7885</v>
      </c>
      <c r="V424" s="30">
        <f t="shared" si="121"/>
        <v>3.577</v>
      </c>
      <c r="W424" s="30">
        <f t="shared" si="121"/>
        <v>7.1539999999999999</v>
      </c>
      <c r="X424" s="30">
        <f t="shared" si="121"/>
        <v>14.308</v>
      </c>
      <c r="Y424" s="30">
        <f t="shared" si="121"/>
        <v>28.616</v>
      </c>
      <c r="Z424" s="30">
        <f t="shared" si="121"/>
        <v>57.231999999999999</v>
      </c>
      <c r="AA424" s="30">
        <f t="shared" si="121"/>
        <v>114.464</v>
      </c>
      <c r="AB424" s="30">
        <f t="shared" si="121"/>
        <v>228.928</v>
      </c>
      <c r="AC424" s="30">
        <f t="shared" si="121"/>
        <v>457.85599999999999</v>
      </c>
      <c r="AD424" s="30">
        <f t="shared" si="121"/>
        <v>915.71199999999999</v>
      </c>
      <c r="AE424" s="30">
        <f t="shared" si="121"/>
        <v>1831.424</v>
      </c>
      <c r="AF424" s="30">
        <f t="shared" si="121"/>
        <v>3662.848</v>
      </c>
      <c r="AG424" s="30">
        <f t="shared" ref="AG424:AI424" si="122">AG423*$E$424</f>
        <v>4578.5599999999995</v>
      </c>
      <c r="AH424" s="30">
        <f t="shared" si="122"/>
        <v>5494.2719999999999</v>
      </c>
      <c r="AI424" s="30">
        <f t="shared" si="122"/>
        <v>6409.9839999999995</v>
      </c>
      <c r="AJ424" s="30">
        <f t="shared" si="121"/>
        <v>7325.6959999999999</v>
      </c>
      <c r="AK424" s="30">
        <f t="shared" ref="AK424:AM424" si="123">AK423*$E$424</f>
        <v>9376.890879999999</v>
      </c>
      <c r="AL424" s="30">
        <f t="shared" si="123"/>
        <v>10988.544</v>
      </c>
      <c r="AM424" s="30">
        <f t="shared" si="123"/>
        <v>12819.967999999999</v>
      </c>
      <c r="AN424" s="30">
        <f t="shared" si="121"/>
        <v>14651.392</v>
      </c>
      <c r="AO424" s="30">
        <f t="shared" si="121"/>
        <v>17581.670399999999</v>
      </c>
      <c r="AP424" s="30">
        <f t="shared" si="121"/>
        <v>20511.948800000002</v>
      </c>
      <c r="AQ424" s="30">
        <f t="shared" si="121"/>
        <v>23442.227200000001</v>
      </c>
      <c r="AR424" s="30">
        <f t="shared" si="121"/>
        <v>26372.5056</v>
      </c>
      <c r="AS424" s="30">
        <f>AS423*$E$424</f>
        <v>29302.784</v>
      </c>
      <c r="AT424" s="30">
        <f t="shared" ref="AT424:AW424" si="124">AT423*$E$424</f>
        <v>35163.340799999998</v>
      </c>
      <c r="AU424" s="30">
        <f t="shared" si="124"/>
        <v>41023.897600000004</v>
      </c>
      <c r="AV424" s="30">
        <f t="shared" si="124"/>
        <v>46884.454400000002</v>
      </c>
      <c r="AW424" s="30">
        <f t="shared" si="124"/>
        <v>52745.011200000001</v>
      </c>
      <c r="AX424" s="30">
        <f>AX423*$E$424</f>
        <v>58605.567999999999</v>
      </c>
      <c r="AY424" s="30">
        <f t="shared" ref="AY424:BB424" si="125">AY423*$E$424</f>
        <v>70326.681599999996</v>
      </c>
      <c r="AZ424" s="30">
        <f t="shared" si="125"/>
        <v>82047.795200000008</v>
      </c>
      <c r="BA424" s="30">
        <f t="shared" si="125"/>
        <v>93768.908800000005</v>
      </c>
      <c r="BB424" s="30">
        <f t="shared" si="125"/>
        <v>105490.0224</v>
      </c>
      <c r="BC424" s="30">
        <f>BC423*$E$424</f>
        <v>117211.136</v>
      </c>
      <c r="BD424" s="30">
        <f t="shared" ref="BD424:BG424" si="126">BD423*$E$424</f>
        <v>140653.36319999999</v>
      </c>
      <c r="BE424" s="30">
        <f t="shared" si="126"/>
        <v>164095.59040000002</v>
      </c>
      <c r="BF424" s="30">
        <f t="shared" si="126"/>
        <v>187537.81760000001</v>
      </c>
      <c r="BG424" s="30">
        <f t="shared" si="126"/>
        <v>210980.0448</v>
      </c>
      <c r="BH424" s="29">
        <f t="shared" ref="BH424:BM424" si="127">BH423*$E$424</f>
        <v>234422.272</v>
      </c>
      <c r="BI424" s="30">
        <f t="shared" si="127"/>
        <v>468844.54399999999</v>
      </c>
      <c r="BJ424" s="30">
        <f t="shared" si="127"/>
        <v>937689.08799999999</v>
      </c>
      <c r="BK424" s="30">
        <f t="shared" si="127"/>
        <v>1875378.176</v>
      </c>
      <c r="BL424" s="30">
        <f t="shared" si="127"/>
        <v>2364865.5869999998</v>
      </c>
      <c r="BM424" s="71">
        <f t="shared" si="127"/>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28">R$367*$B$425</f>
        <v>4.1875</v>
      </c>
      <c r="S425" s="21">
        <f t="shared" si="128"/>
        <v>8.375</v>
      </c>
      <c r="T425" s="21">
        <f t="shared" si="128"/>
        <v>16.75</v>
      </c>
      <c r="U425" s="21">
        <f t="shared" si="128"/>
        <v>33.5</v>
      </c>
      <c r="V425" s="21">
        <f t="shared" si="128"/>
        <v>67</v>
      </c>
      <c r="W425" s="21">
        <f t="shared" si="128"/>
        <v>134</v>
      </c>
      <c r="X425" s="21">
        <f t="shared" si="128"/>
        <v>268</v>
      </c>
      <c r="Y425" s="21">
        <f t="shared" si="128"/>
        <v>536</v>
      </c>
      <c r="Z425" s="21">
        <f t="shared" si="128"/>
        <v>1072</v>
      </c>
      <c r="AA425" s="21">
        <f t="shared" si="128"/>
        <v>2144</v>
      </c>
      <c r="AB425" s="21">
        <f t="shared" si="128"/>
        <v>4288</v>
      </c>
      <c r="AC425" s="21">
        <f t="shared" si="128"/>
        <v>8576</v>
      </c>
      <c r="AD425" s="21">
        <f t="shared" si="128"/>
        <v>17152</v>
      </c>
      <c r="AE425" s="21">
        <f t="shared" si="128"/>
        <v>34304</v>
      </c>
      <c r="AF425" s="21">
        <f t="shared" si="128"/>
        <v>68608</v>
      </c>
      <c r="AG425" s="21">
        <f t="shared" si="128"/>
        <v>85760</v>
      </c>
      <c r="AH425" s="21">
        <f t="shared" si="128"/>
        <v>102912</v>
      </c>
      <c r="AI425" s="21">
        <f t="shared" si="128"/>
        <v>120064</v>
      </c>
      <c r="AJ425" s="21">
        <f t="shared" si="128"/>
        <v>137216</v>
      </c>
      <c r="AK425" s="21">
        <f t="shared" si="128"/>
        <v>175636.48000000001</v>
      </c>
      <c r="AL425" s="21">
        <f t="shared" si="128"/>
        <v>205824</v>
      </c>
      <c r="AM425" s="21">
        <f t="shared" si="128"/>
        <v>240128</v>
      </c>
      <c r="AN425" s="21">
        <f t="shared" si="128"/>
        <v>274432</v>
      </c>
      <c r="AO425" s="21">
        <f t="shared" si="128"/>
        <v>329318.40000000002</v>
      </c>
      <c r="AP425" s="21">
        <f t="shared" si="128"/>
        <v>384204.80000000005</v>
      </c>
      <c r="AQ425" s="21">
        <f t="shared" si="128"/>
        <v>439091.20000000001</v>
      </c>
      <c r="AR425" s="21">
        <f t="shared" si="128"/>
        <v>493977.60000000003</v>
      </c>
      <c r="AS425" s="21">
        <f t="shared" si="128"/>
        <v>548864</v>
      </c>
      <c r="AT425" s="21">
        <f t="shared" si="128"/>
        <v>658636.80000000005</v>
      </c>
      <c r="AU425" s="21">
        <f t="shared" si="128"/>
        <v>768409.60000000009</v>
      </c>
      <c r="AV425" s="21">
        <f t="shared" si="128"/>
        <v>878182.40000000002</v>
      </c>
      <c r="AW425" s="21">
        <f t="shared" si="128"/>
        <v>987955.20000000007</v>
      </c>
      <c r="AX425" s="21">
        <f t="shared" si="128"/>
        <v>1097728</v>
      </c>
      <c r="AY425" s="21">
        <f t="shared" si="128"/>
        <v>1317273.6000000001</v>
      </c>
      <c r="AZ425" s="21">
        <f t="shared" si="128"/>
        <v>1536819.2000000002</v>
      </c>
      <c r="BA425" s="21">
        <f t="shared" si="128"/>
        <v>1756364.8</v>
      </c>
      <c r="BB425" s="21">
        <f t="shared" si="128"/>
        <v>1975910.4000000001</v>
      </c>
      <c r="BC425" s="21">
        <f t="shared" si="128"/>
        <v>2195456</v>
      </c>
      <c r="BD425" s="21">
        <f t="shared" si="128"/>
        <v>2634547.2000000002</v>
      </c>
      <c r="BE425" s="21">
        <f t="shared" si="128"/>
        <v>3073638.4000000004</v>
      </c>
      <c r="BF425" s="21">
        <f t="shared" si="128"/>
        <v>3512729.6000000001</v>
      </c>
      <c r="BG425" s="21">
        <f t="shared" si="128"/>
        <v>3951820.8000000003</v>
      </c>
      <c r="BH425" s="20">
        <f t="shared" si="128"/>
        <v>4390912</v>
      </c>
      <c r="BI425" s="21">
        <f t="shared" si="128"/>
        <v>8781824</v>
      </c>
      <c r="BJ425" s="21">
        <f t="shared" si="128"/>
        <v>17563648</v>
      </c>
      <c r="BK425" s="21">
        <f t="shared" si="128"/>
        <v>35127296</v>
      </c>
      <c r="BL425" s="21">
        <f t="shared" si="128"/>
        <v>44295777</v>
      </c>
      <c r="BM425" s="72">
        <f t="shared" si="128"/>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29">R425*$E$426</f>
        <v>0.26381250000000001</v>
      </c>
      <c r="S426" s="30">
        <f t="shared" si="129"/>
        <v>0.52762500000000001</v>
      </c>
      <c r="T426" s="30">
        <f t="shared" si="129"/>
        <v>1.05525</v>
      </c>
      <c r="U426" s="30">
        <f t="shared" si="129"/>
        <v>2.1105</v>
      </c>
      <c r="V426" s="30">
        <f t="shared" si="129"/>
        <v>4.2210000000000001</v>
      </c>
      <c r="W426" s="30">
        <f t="shared" si="129"/>
        <v>8.4420000000000002</v>
      </c>
      <c r="X426" s="30">
        <f t="shared" si="129"/>
        <v>16.884</v>
      </c>
      <c r="Y426" s="30">
        <f t="shared" si="129"/>
        <v>33.768000000000001</v>
      </c>
      <c r="Z426" s="30">
        <f t="shared" si="129"/>
        <v>67.536000000000001</v>
      </c>
      <c r="AA426" s="30">
        <f t="shared" si="129"/>
        <v>135.072</v>
      </c>
      <c r="AB426" s="30">
        <f t="shared" si="129"/>
        <v>270.14400000000001</v>
      </c>
      <c r="AC426" s="30">
        <f t="shared" si="129"/>
        <v>540.28800000000001</v>
      </c>
      <c r="AD426" s="30">
        <f t="shared" si="129"/>
        <v>1080.576</v>
      </c>
      <c r="AE426" s="30">
        <f t="shared" si="129"/>
        <v>2161.152</v>
      </c>
      <c r="AF426" s="30">
        <f t="shared" si="129"/>
        <v>4322.3040000000001</v>
      </c>
      <c r="AG426" s="30">
        <f t="shared" ref="AG426:AI426" si="130">AG425*$E$426</f>
        <v>5402.88</v>
      </c>
      <c r="AH426" s="30">
        <f t="shared" si="130"/>
        <v>6483.4560000000001</v>
      </c>
      <c r="AI426" s="30">
        <f t="shared" si="130"/>
        <v>7564.0320000000002</v>
      </c>
      <c r="AJ426" s="30">
        <f t="shared" si="129"/>
        <v>8644.6080000000002</v>
      </c>
      <c r="AK426" s="30">
        <f t="shared" ref="AK426:AM426" si="131">AK425*$E$426</f>
        <v>11065.098240000001</v>
      </c>
      <c r="AL426" s="30">
        <f t="shared" si="131"/>
        <v>12966.912</v>
      </c>
      <c r="AM426" s="30">
        <f t="shared" si="131"/>
        <v>15128.064</v>
      </c>
      <c r="AN426" s="30">
        <f t="shared" si="129"/>
        <v>17289.216</v>
      </c>
      <c r="AO426" s="30">
        <f t="shared" si="129"/>
        <v>20747.059200000003</v>
      </c>
      <c r="AP426" s="30">
        <f t="shared" si="129"/>
        <v>24204.902400000003</v>
      </c>
      <c r="AQ426" s="30">
        <f t="shared" si="129"/>
        <v>27662.745600000002</v>
      </c>
      <c r="AR426" s="30">
        <f t="shared" si="129"/>
        <v>31120.588800000001</v>
      </c>
      <c r="AS426" s="30">
        <f>AS425*$E$426</f>
        <v>34578.432000000001</v>
      </c>
      <c r="AT426" s="30">
        <f t="shared" ref="AT426:AW426" si="132">AT425*$E$426</f>
        <v>41494.118400000007</v>
      </c>
      <c r="AU426" s="30">
        <f t="shared" si="132"/>
        <v>48409.804800000005</v>
      </c>
      <c r="AV426" s="30">
        <f t="shared" si="132"/>
        <v>55325.491200000004</v>
      </c>
      <c r="AW426" s="30">
        <f t="shared" si="132"/>
        <v>62241.177600000003</v>
      </c>
      <c r="AX426" s="30">
        <f>AX425*$E$426</f>
        <v>69156.864000000001</v>
      </c>
      <c r="AY426" s="30">
        <f t="shared" ref="AY426:BB426" si="133">AY425*$E$426</f>
        <v>82988.236800000013</v>
      </c>
      <c r="AZ426" s="30">
        <f t="shared" si="133"/>
        <v>96819.609600000011</v>
      </c>
      <c r="BA426" s="30">
        <f t="shared" si="133"/>
        <v>110650.98240000001</v>
      </c>
      <c r="BB426" s="30">
        <f t="shared" si="133"/>
        <v>124482.35520000001</v>
      </c>
      <c r="BC426" s="30">
        <f>BC425*$E$426</f>
        <v>138313.728</v>
      </c>
      <c r="BD426" s="30">
        <f t="shared" ref="BD426:BG426" si="134">BD425*$E$426</f>
        <v>165976.47360000003</v>
      </c>
      <c r="BE426" s="30">
        <f t="shared" si="134"/>
        <v>193639.21920000002</v>
      </c>
      <c r="BF426" s="30">
        <f t="shared" si="134"/>
        <v>221301.96480000002</v>
      </c>
      <c r="BG426" s="30">
        <f t="shared" si="134"/>
        <v>248964.71040000001</v>
      </c>
      <c r="BH426" s="29">
        <f t="shared" ref="BH426:BM426" si="135">BH425*$E$426</f>
        <v>276627.45600000001</v>
      </c>
      <c r="BI426" s="30">
        <f t="shared" si="135"/>
        <v>553254.91200000001</v>
      </c>
      <c r="BJ426" s="30">
        <f t="shared" si="135"/>
        <v>1106509.824</v>
      </c>
      <c r="BK426" s="30">
        <f t="shared" si="135"/>
        <v>2213019.648</v>
      </c>
      <c r="BL426" s="30">
        <f t="shared" si="135"/>
        <v>2790633.9509999999</v>
      </c>
      <c r="BM426" s="71">
        <f t="shared" si="135"/>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6">R$367*$B$427</f>
        <v>14.375</v>
      </c>
      <c r="S427" s="21">
        <f t="shared" si="136"/>
        <v>28.75</v>
      </c>
      <c r="T427" s="21">
        <f t="shared" si="136"/>
        <v>57.5</v>
      </c>
      <c r="U427" s="21">
        <f t="shared" si="136"/>
        <v>115</v>
      </c>
      <c r="V427" s="21">
        <f t="shared" si="136"/>
        <v>230</v>
      </c>
      <c r="W427" s="21">
        <f t="shared" si="136"/>
        <v>460</v>
      </c>
      <c r="X427" s="21">
        <f t="shared" si="136"/>
        <v>920</v>
      </c>
      <c r="Y427" s="21">
        <f t="shared" si="136"/>
        <v>1840</v>
      </c>
      <c r="Z427" s="21">
        <f t="shared" si="136"/>
        <v>3680</v>
      </c>
      <c r="AA427" s="21">
        <f t="shared" si="136"/>
        <v>7360</v>
      </c>
      <c r="AB427" s="21">
        <f t="shared" si="136"/>
        <v>14720</v>
      </c>
      <c r="AC427" s="21">
        <f t="shared" si="136"/>
        <v>29440</v>
      </c>
      <c r="AD427" s="21">
        <f t="shared" si="136"/>
        <v>58880</v>
      </c>
      <c r="AE427" s="21">
        <f t="shared" si="136"/>
        <v>117760</v>
      </c>
      <c r="AF427" s="21">
        <f t="shared" si="136"/>
        <v>235520</v>
      </c>
      <c r="AG427" s="21">
        <f t="shared" si="136"/>
        <v>294400</v>
      </c>
      <c r="AH427" s="21">
        <f t="shared" si="136"/>
        <v>353280</v>
      </c>
      <c r="AI427" s="21">
        <f t="shared" si="136"/>
        <v>412160</v>
      </c>
      <c r="AJ427" s="21">
        <f t="shared" si="136"/>
        <v>471040</v>
      </c>
      <c r="AK427" s="21">
        <f t="shared" si="136"/>
        <v>602931.20000000007</v>
      </c>
      <c r="AL427" s="21">
        <f t="shared" si="136"/>
        <v>706560</v>
      </c>
      <c r="AM427" s="21">
        <f t="shared" si="136"/>
        <v>824320</v>
      </c>
      <c r="AN427" s="21">
        <f t="shared" si="136"/>
        <v>942080</v>
      </c>
      <c r="AO427" s="21">
        <f t="shared" si="136"/>
        <v>1130496</v>
      </c>
      <c r="AP427" s="21">
        <f t="shared" si="136"/>
        <v>1318912</v>
      </c>
      <c r="AQ427" s="21">
        <f t="shared" si="136"/>
        <v>1507328</v>
      </c>
      <c r="AR427" s="21">
        <f t="shared" si="136"/>
        <v>1695744</v>
      </c>
      <c r="AS427" s="21">
        <f t="shared" si="136"/>
        <v>1884160</v>
      </c>
      <c r="AT427" s="21">
        <f t="shared" si="136"/>
        <v>2260992</v>
      </c>
      <c r="AU427" s="21">
        <f t="shared" si="136"/>
        <v>2637824</v>
      </c>
      <c r="AV427" s="21">
        <f t="shared" si="136"/>
        <v>3014656</v>
      </c>
      <c r="AW427" s="21">
        <f t="shared" si="136"/>
        <v>3391488</v>
      </c>
      <c r="AX427" s="21">
        <f t="shared" si="136"/>
        <v>3768320</v>
      </c>
      <c r="AY427" s="21">
        <f t="shared" si="136"/>
        <v>4521984</v>
      </c>
      <c r="AZ427" s="21">
        <f t="shared" si="136"/>
        <v>5275648</v>
      </c>
      <c r="BA427" s="21">
        <f t="shared" si="136"/>
        <v>6029312</v>
      </c>
      <c r="BB427" s="21">
        <f t="shared" si="136"/>
        <v>6782976</v>
      </c>
      <c r="BC427" s="21">
        <f t="shared" si="136"/>
        <v>7536640</v>
      </c>
      <c r="BD427" s="21">
        <f t="shared" si="136"/>
        <v>9043968</v>
      </c>
      <c r="BE427" s="21">
        <f t="shared" si="136"/>
        <v>10551296</v>
      </c>
      <c r="BF427" s="21">
        <f t="shared" si="136"/>
        <v>12058624</v>
      </c>
      <c r="BG427" s="21">
        <f t="shared" si="136"/>
        <v>13565952</v>
      </c>
      <c r="BH427" s="20">
        <f t="shared" si="136"/>
        <v>15073280</v>
      </c>
      <c r="BI427" s="21">
        <f t="shared" si="136"/>
        <v>30146560</v>
      </c>
      <c r="BJ427" s="21">
        <f t="shared" si="136"/>
        <v>60293120</v>
      </c>
      <c r="BK427" s="21">
        <f t="shared" si="136"/>
        <v>120586240</v>
      </c>
      <c r="BL427" s="21">
        <f t="shared" si="136"/>
        <v>152060130</v>
      </c>
      <c r="BM427" s="72">
        <f t="shared" si="136"/>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7">R427*$E$428</f>
        <v>0.86249999999999993</v>
      </c>
      <c r="S428" s="30">
        <f t="shared" si="137"/>
        <v>1.7249999999999999</v>
      </c>
      <c r="T428" s="30">
        <f t="shared" si="137"/>
        <v>3.4499999999999997</v>
      </c>
      <c r="U428" s="30">
        <f t="shared" si="137"/>
        <v>6.8999999999999995</v>
      </c>
      <c r="V428" s="30">
        <f t="shared" si="137"/>
        <v>13.799999999999999</v>
      </c>
      <c r="W428" s="30">
        <f t="shared" si="137"/>
        <v>27.599999999999998</v>
      </c>
      <c r="X428" s="30">
        <f t="shared" si="137"/>
        <v>55.199999999999996</v>
      </c>
      <c r="Y428" s="30">
        <f t="shared" si="137"/>
        <v>110.39999999999999</v>
      </c>
      <c r="Z428" s="30">
        <f t="shared" si="137"/>
        <v>220.79999999999998</v>
      </c>
      <c r="AA428" s="30">
        <f t="shared" si="137"/>
        <v>441.59999999999997</v>
      </c>
      <c r="AB428" s="30">
        <f t="shared" si="137"/>
        <v>883.19999999999993</v>
      </c>
      <c r="AC428" s="30">
        <f t="shared" si="137"/>
        <v>1766.3999999999999</v>
      </c>
      <c r="AD428" s="30">
        <f t="shared" si="137"/>
        <v>3532.7999999999997</v>
      </c>
      <c r="AE428" s="30">
        <f t="shared" si="137"/>
        <v>7065.5999999999995</v>
      </c>
      <c r="AF428" s="30">
        <f t="shared" si="137"/>
        <v>14131.199999999999</v>
      </c>
      <c r="AG428" s="30">
        <f t="shared" ref="AG428:AI428" si="138">AG427*$E$428</f>
        <v>17664</v>
      </c>
      <c r="AH428" s="30">
        <f t="shared" si="138"/>
        <v>21196.799999999999</v>
      </c>
      <c r="AI428" s="30">
        <f t="shared" si="138"/>
        <v>24729.599999999999</v>
      </c>
      <c r="AJ428" s="30">
        <f t="shared" si="137"/>
        <v>28262.399999999998</v>
      </c>
      <c r="AK428" s="30">
        <f t="shared" ref="AK428:AM428" si="139">AK427*$E$428</f>
        <v>36175.872000000003</v>
      </c>
      <c r="AL428" s="30">
        <f t="shared" si="139"/>
        <v>42393.599999999999</v>
      </c>
      <c r="AM428" s="30">
        <f t="shared" si="139"/>
        <v>49459.199999999997</v>
      </c>
      <c r="AN428" s="30">
        <f t="shared" si="137"/>
        <v>56524.799999999996</v>
      </c>
      <c r="AO428" s="30">
        <f t="shared" si="137"/>
        <v>67829.759999999995</v>
      </c>
      <c r="AP428" s="30">
        <f t="shared" si="137"/>
        <v>79134.720000000001</v>
      </c>
      <c r="AQ428" s="30">
        <f t="shared" si="137"/>
        <v>90439.679999999993</v>
      </c>
      <c r="AR428" s="30">
        <f t="shared" si="137"/>
        <v>101744.64</v>
      </c>
      <c r="AS428" s="30">
        <f>AS427*$E$428</f>
        <v>113049.59999999999</v>
      </c>
      <c r="AT428" s="30">
        <f t="shared" ref="AT428:AW428" si="140">AT427*$E$428</f>
        <v>135659.51999999999</v>
      </c>
      <c r="AU428" s="30">
        <f t="shared" si="140"/>
        <v>158269.44</v>
      </c>
      <c r="AV428" s="30">
        <f t="shared" si="140"/>
        <v>180879.35999999999</v>
      </c>
      <c r="AW428" s="30">
        <f t="shared" si="140"/>
        <v>203489.28</v>
      </c>
      <c r="AX428" s="30">
        <f>AX427*$E$428</f>
        <v>226099.19999999998</v>
      </c>
      <c r="AY428" s="30">
        <f t="shared" ref="AY428:BB428" si="141">AY427*$E$428</f>
        <v>271319.03999999998</v>
      </c>
      <c r="AZ428" s="30">
        <f t="shared" si="141"/>
        <v>316538.88</v>
      </c>
      <c r="BA428" s="30">
        <f t="shared" si="141"/>
        <v>361758.71999999997</v>
      </c>
      <c r="BB428" s="30">
        <f t="shared" si="141"/>
        <v>406978.56</v>
      </c>
      <c r="BC428" s="30">
        <f>BC427*$E$428</f>
        <v>452198.39999999997</v>
      </c>
      <c r="BD428" s="30">
        <f t="shared" ref="BD428:BG428" si="142">BD427*$E$428</f>
        <v>542638.07999999996</v>
      </c>
      <c r="BE428" s="30">
        <f t="shared" si="142"/>
        <v>633077.76000000001</v>
      </c>
      <c r="BF428" s="30">
        <f t="shared" si="142"/>
        <v>723517.43999999994</v>
      </c>
      <c r="BG428" s="30">
        <f t="shared" si="142"/>
        <v>813957.12</v>
      </c>
      <c r="BH428" s="29">
        <f t="shared" ref="BH428:BM428" si="143">BH427*$E$428</f>
        <v>904396.79999999993</v>
      </c>
      <c r="BI428" s="30">
        <f t="shared" si="143"/>
        <v>1808793.5999999999</v>
      </c>
      <c r="BJ428" s="30">
        <f t="shared" si="143"/>
        <v>3617587.1999999997</v>
      </c>
      <c r="BK428" s="30">
        <f t="shared" si="143"/>
        <v>7235174.3999999994</v>
      </c>
      <c r="BL428" s="30">
        <f t="shared" si="143"/>
        <v>9123607.7999999989</v>
      </c>
      <c r="BM428" s="71">
        <f t="shared" si="143"/>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4">R$367*$B$429</f>
        <v>0.13718749999999999</v>
      </c>
      <c r="S429" s="21">
        <f t="shared" si="144"/>
        <v>0.27437499999999998</v>
      </c>
      <c r="T429" s="21">
        <f t="shared" si="144"/>
        <v>0.54874999999999996</v>
      </c>
      <c r="U429" s="21">
        <f t="shared" si="144"/>
        <v>1.0974999999999999</v>
      </c>
      <c r="V429" s="21">
        <f t="shared" si="144"/>
        <v>2.1949999999999998</v>
      </c>
      <c r="W429" s="21">
        <f t="shared" si="144"/>
        <v>4.3899999999999997</v>
      </c>
      <c r="X429" s="21">
        <f t="shared" si="144"/>
        <v>8.7799999999999994</v>
      </c>
      <c r="Y429" s="21">
        <f t="shared" si="144"/>
        <v>17.559999999999999</v>
      </c>
      <c r="Z429" s="21">
        <f t="shared" si="144"/>
        <v>35.119999999999997</v>
      </c>
      <c r="AA429" s="21">
        <f t="shared" si="144"/>
        <v>70.239999999999995</v>
      </c>
      <c r="AB429" s="21">
        <f t="shared" si="144"/>
        <v>140.47999999999999</v>
      </c>
      <c r="AC429" s="21">
        <f t="shared" si="144"/>
        <v>280.95999999999998</v>
      </c>
      <c r="AD429" s="21">
        <f t="shared" si="144"/>
        <v>561.91999999999996</v>
      </c>
      <c r="AE429" s="21">
        <f t="shared" si="144"/>
        <v>1123.8399999999999</v>
      </c>
      <c r="AF429" s="21">
        <f t="shared" si="144"/>
        <v>2247.6799999999998</v>
      </c>
      <c r="AG429" s="21">
        <f t="shared" si="144"/>
        <v>2809.6</v>
      </c>
      <c r="AH429" s="21">
        <f t="shared" si="144"/>
        <v>3371.52</v>
      </c>
      <c r="AI429" s="21">
        <f t="shared" si="144"/>
        <v>3933.4399999999996</v>
      </c>
      <c r="AJ429" s="21">
        <f t="shared" si="144"/>
        <v>4495.3599999999997</v>
      </c>
      <c r="AK429" s="21">
        <f t="shared" si="144"/>
        <v>5754.0607999999993</v>
      </c>
      <c r="AL429" s="21">
        <f t="shared" si="144"/>
        <v>6743.04</v>
      </c>
      <c r="AM429" s="21">
        <f t="shared" si="144"/>
        <v>7866.8799999999992</v>
      </c>
      <c r="AN429" s="21">
        <f t="shared" si="144"/>
        <v>8990.7199999999993</v>
      </c>
      <c r="AO429" s="21">
        <f t="shared" si="144"/>
        <v>10788.864</v>
      </c>
      <c r="AP429" s="21">
        <f t="shared" si="144"/>
        <v>12587.008</v>
      </c>
      <c r="AQ429" s="21">
        <f t="shared" si="144"/>
        <v>14385.152</v>
      </c>
      <c r="AR429" s="21">
        <f t="shared" si="144"/>
        <v>16183.295999999998</v>
      </c>
      <c r="AS429" s="21">
        <f t="shared" si="144"/>
        <v>17981.439999999999</v>
      </c>
      <c r="AT429" s="21">
        <f t="shared" si="144"/>
        <v>21577.727999999999</v>
      </c>
      <c r="AU429" s="21">
        <f t="shared" si="144"/>
        <v>25174.016</v>
      </c>
      <c r="AV429" s="21">
        <f t="shared" si="144"/>
        <v>28770.304</v>
      </c>
      <c r="AW429" s="21">
        <f t="shared" si="144"/>
        <v>32366.591999999997</v>
      </c>
      <c r="AX429" s="21">
        <f t="shared" si="144"/>
        <v>35962.879999999997</v>
      </c>
      <c r="AY429" s="21">
        <f t="shared" si="144"/>
        <v>43155.455999999998</v>
      </c>
      <c r="AZ429" s="21">
        <f t="shared" si="144"/>
        <v>50348.031999999999</v>
      </c>
      <c r="BA429" s="21">
        <f t="shared" si="144"/>
        <v>57540.608</v>
      </c>
      <c r="BB429" s="21">
        <f t="shared" si="144"/>
        <v>64733.183999999994</v>
      </c>
      <c r="BC429" s="21">
        <f t="shared" si="144"/>
        <v>71925.759999999995</v>
      </c>
      <c r="BD429" s="21">
        <f t="shared" si="144"/>
        <v>86310.911999999997</v>
      </c>
      <c r="BE429" s="21">
        <f t="shared" si="144"/>
        <v>100696.064</v>
      </c>
      <c r="BF429" s="21">
        <f t="shared" si="144"/>
        <v>115081.216</v>
      </c>
      <c r="BG429" s="21">
        <f t="shared" si="144"/>
        <v>129466.36799999999</v>
      </c>
      <c r="BH429" s="20">
        <f t="shared" si="144"/>
        <v>143851.51999999999</v>
      </c>
      <c r="BI429" s="21">
        <f t="shared" si="144"/>
        <v>287703.03999999998</v>
      </c>
      <c r="BJ429" s="21">
        <f t="shared" si="144"/>
        <v>575406.07999999996</v>
      </c>
      <c r="BK429" s="21">
        <f t="shared" si="144"/>
        <v>1150812.1599999999</v>
      </c>
      <c r="BL429" s="21">
        <f t="shared" si="144"/>
        <v>1451182.5449999999</v>
      </c>
      <c r="BM429" s="72">
        <f t="shared" si="144"/>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5">R429*$E$430</f>
        <v>7.6824999999999992E-3</v>
      </c>
      <c r="S430" s="30">
        <f t="shared" si="145"/>
        <v>1.5364999999999998E-2</v>
      </c>
      <c r="T430" s="30">
        <f t="shared" si="145"/>
        <v>3.0729999999999997E-2</v>
      </c>
      <c r="U430" s="30">
        <f t="shared" si="145"/>
        <v>6.1459999999999994E-2</v>
      </c>
      <c r="V430" s="30">
        <f t="shared" si="145"/>
        <v>0.12291999999999999</v>
      </c>
      <c r="W430" s="30">
        <f t="shared" si="145"/>
        <v>0.24583999999999998</v>
      </c>
      <c r="X430" s="30">
        <f t="shared" si="145"/>
        <v>0.49167999999999995</v>
      </c>
      <c r="Y430" s="30">
        <f t="shared" si="145"/>
        <v>0.9833599999999999</v>
      </c>
      <c r="Z430" s="30">
        <f t="shared" si="145"/>
        <v>1.9667199999999998</v>
      </c>
      <c r="AA430" s="30">
        <f t="shared" si="145"/>
        <v>3.9334399999999996</v>
      </c>
      <c r="AB430" s="30">
        <f t="shared" si="145"/>
        <v>7.8668799999999992</v>
      </c>
      <c r="AC430" s="30">
        <f t="shared" si="145"/>
        <v>15.733759999999998</v>
      </c>
      <c r="AD430" s="30">
        <f t="shared" si="145"/>
        <v>31.467519999999997</v>
      </c>
      <c r="AE430" s="30">
        <f t="shared" si="145"/>
        <v>62.935039999999994</v>
      </c>
      <c r="AF430" s="30">
        <f t="shared" si="145"/>
        <v>125.87007999999999</v>
      </c>
      <c r="AG430" s="30">
        <f t="shared" ref="AG430:AI430" si="146">AG429*$E$430</f>
        <v>157.33760000000001</v>
      </c>
      <c r="AH430" s="30">
        <f t="shared" si="146"/>
        <v>188.80512000000002</v>
      </c>
      <c r="AI430" s="30">
        <f t="shared" si="146"/>
        <v>220.27264</v>
      </c>
      <c r="AJ430" s="30">
        <f t="shared" si="145"/>
        <v>251.74015999999997</v>
      </c>
      <c r="AK430" s="30">
        <f t="shared" ref="AK430:AM430" si="147">AK429*$E$430</f>
        <v>322.22740479999999</v>
      </c>
      <c r="AL430" s="30">
        <f t="shared" si="147"/>
        <v>377.61024000000003</v>
      </c>
      <c r="AM430" s="30">
        <f t="shared" si="147"/>
        <v>440.54527999999999</v>
      </c>
      <c r="AN430" s="30">
        <f t="shared" si="145"/>
        <v>503.48031999999995</v>
      </c>
      <c r="AO430" s="30">
        <f t="shared" si="145"/>
        <v>604.17638399999998</v>
      </c>
      <c r="AP430" s="30">
        <f t="shared" si="145"/>
        <v>704.87244799999996</v>
      </c>
      <c r="AQ430" s="30">
        <f t="shared" si="145"/>
        <v>805.56851200000006</v>
      </c>
      <c r="AR430" s="30">
        <f t="shared" si="145"/>
        <v>906.26457599999992</v>
      </c>
      <c r="AS430" s="30">
        <f>AS429*$E$430</f>
        <v>1006.9606399999999</v>
      </c>
      <c r="AT430" s="30">
        <f t="shared" ref="AT430:AW430" si="148">AT429*$E$430</f>
        <v>1208.352768</v>
      </c>
      <c r="AU430" s="30">
        <f t="shared" si="148"/>
        <v>1409.7448959999999</v>
      </c>
      <c r="AV430" s="30">
        <f t="shared" si="148"/>
        <v>1611.1370240000001</v>
      </c>
      <c r="AW430" s="30">
        <f t="shared" si="148"/>
        <v>1812.5291519999998</v>
      </c>
      <c r="AX430" s="30">
        <f>AX429*$E$430</f>
        <v>2013.9212799999998</v>
      </c>
      <c r="AY430" s="30">
        <f t="shared" ref="AY430:BB430" si="149">AY429*$E$430</f>
        <v>2416.7055359999999</v>
      </c>
      <c r="AZ430" s="30">
        <f t="shared" si="149"/>
        <v>2819.4897919999999</v>
      </c>
      <c r="BA430" s="30">
        <f t="shared" si="149"/>
        <v>3222.2740480000002</v>
      </c>
      <c r="BB430" s="30">
        <f t="shared" si="149"/>
        <v>3625.0583039999997</v>
      </c>
      <c r="BC430" s="30">
        <f>BC429*$E$430</f>
        <v>4027.8425599999996</v>
      </c>
      <c r="BD430" s="30">
        <f t="shared" ref="BD430:BG430" si="150">BD429*$E$430</f>
        <v>4833.4110719999999</v>
      </c>
      <c r="BE430" s="30">
        <f t="shared" si="150"/>
        <v>5638.9795839999997</v>
      </c>
      <c r="BF430" s="30">
        <f t="shared" si="150"/>
        <v>6444.5480960000004</v>
      </c>
      <c r="BG430" s="30">
        <f t="shared" si="150"/>
        <v>7250.1166079999994</v>
      </c>
      <c r="BH430" s="29">
        <f t="shared" ref="BH430:BM430" si="151">BH429*$E$430</f>
        <v>8055.6851199999992</v>
      </c>
      <c r="BI430" s="30">
        <f t="shared" si="151"/>
        <v>16111.370239999998</v>
      </c>
      <c r="BJ430" s="30">
        <f t="shared" si="151"/>
        <v>32222.740479999997</v>
      </c>
      <c r="BK430" s="30">
        <f t="shared" si="151"/>
        <v>64445.480959999994</v>
      </c>
      <c r="BL430" s="30">
        <f t="shared" si="151"/>
        <v>81266.222519999996</v>
      </c>
      <c r="BM430" s="71">
        <f t="shared" si="151"/>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2">R$367*$B$431</f>
        <v>4.84375</v>
      </c>
      <c r="S431" s="21">
        <f t="shared" si="152"/>
        <v>9.6875</v>
      </c>
      <c r="T431" s="21">
        <f t="shared" si="152"/>
        <v>19.375</v>
      </c>
      <c r="U431" s="21">
        <f t="shared" si="152"/>
        <v>38.75</v>
      </c>
      <c r="V431" s="21">
        <f t="shared" si="152"/>
        <v>77.5</v>
      </c>
      <c r="W431" s="21">
        <f t="shared" si="152"/>
        <v>155</v>
      </c>
      <c r="X431" s="21">
        <f t="shared" si="152"/>
        <v>310</v>
      </c>
      <c r="Y431" s="21">
        <f t="shared" si="152"/>
        <v>620</v>
      </c>
      <c r="Z431" s="21">
        <f t="shared" si="152"/>
        <v>1240</v>
      </c>
      <c r="AA431" s="21">
        <f t="shared" si="152"/>
        <v>2480</v>
      </c>
      <c r="AB431" s="21">
        <f t="shared" si="152"/>
        <v>4960</v>
      </c>
      <c r="AC431" s="21">
        <f t="shared" si="152"/>
        <v>9920</v>
      </c>
      <c r="AD431" s="21">
        <f t="shared" si="152"/>
        <v>19840</v>
      </c>
      <c r="AE431" s="21">
        <f t="shared" si="152"/>
        <v>39680</v>
      </c>
      <c r="AF431" s="21">
        <f t="shared" si="152"/>
        <v>79360</v>
      </c>
      <c r="AG431" s="21">
        <f t="shared" si="152"/>
        <v>99200</v>
      </c>
      <c r="AH431" s="21">
        <f t="shared" si="152"/>
        <v>119040</v>
      </c>
      <c r="AI431" s="21">
        <f t="shared" si="152"/>
        <v>138880</v>
      </c>
      <c r="AJ431" s="21">
        <f t="shared" si="152"/>
        <v>158720</v>
      </c>
      <c r="AK431" s="21">
        <f t="shared" si="152"/>
        <v>203161.60000000001</v>
      </c>
      <c r="AL431" s="21">
        <f t="shared" si="152"/>
        <v>238080</v>
      </c>
      <c r="AM431" s="21">
        <f t="shared" si="152"/>
        <v>277760</v>
      </c>
      <c r="AN431" s="21">
        <f t="shared" si="152"/>
        <v>317440</v>
      </c>
      <c r="AO431" s="21">
        <f t="shared" si="152"/>
        <v>380928</v>
      </c>
      <c r="AP431" s="21">
        <f t="shared" si="152"/>
        <v>444416</v>
      </c>
      <c r="AQ431" s="21">
        <f t="shared" si="152"/>
        <v>507904</v>
      </c>
      <c r="AR431" s="21">
        <f t="shared" si="152"/>
        <v>571392</v>
      </c>
      <c r="AS431" s="21">
        <f t="shared" si="152"/>
        <v>634880</v>
      </c>
      <c r="AT431" s="21">
        <f t="shared" si="152"/>
        <v>761856</v>
      </c>
      <c r="AU431" s="21">
        <f t="shared" si="152"/>
        <v>888832</v>
      </c>
      <c r="AV431" s="21">
        <f t="shared" si="152"/>
        <v>1015808</v>
      </c>
      <c r="AW431" s="21">
        <f t="shared" si="152"/>
        <v>1142784</v>
      </c>
      <c r="AX431" s="21">
        <f t="shared" si="152"/>
        <v>1269760</v>
      </c>
      <c r="AY431" s="21">
        <f t="shared" si="152"/>
        <v>1523712</v>
      </c>
      <c r="AZ431" s="21">
        <f t="shared" si="152"/>
        <v>1777664</v>
      </c>
      <c r="BA431" s="21">
        <f t="shared" si="152"/>
        <v>2031616</v>
      </c>
      <c r="BB431" s="21">
        <f t="shared" si="152"/>
        <v>2285568</v>
      </c>
      <c r="BC431" s="21">
        <f t="shared" si="152"/>
        <v>2539520</v>
      </c>
      <c r="BD431" s="21">
        <f t="shared" si="152"/>
        <v>3047424</v>
      </c>
      <c r="BE431" s="21">
        <f t="shared" si="152"/>
        <v>3555328</v>
      </c>
      <c r="BF431" s="21">
        <f t="shared" si="152"/>
        <v>4063232</v>
      </c>
      <c r="BG431" s="21">
        <f t="shared" si="152"/>
        <v>4571136</v>
      </c>
      <c r="BH431" s="20">
        <f t="shared" si="152"/>
        <v>5079040</v>
      </c>
      <c r="BI431" s="21">
        <f t="shared" si="152"/>
        <v>10158080</v>
      </c>
      <c r="BJ431" s="21">
        <f t="shared" si="152"/>
        <v>20316160</v>
      </c>
      <c r="BK431" s="21">
        <f t="shared" si="152"/>
        <v>40632320</v>
      </c>
      <c r="BL431" s="21">
        <f t="shared" si="152"/>
        <v>51237652.5</v>
      </c>
      <c r="BM431" s="72">
        <f t="shared" si="152"/>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3">SUM(S421,S423,S425,S427,S429,S431)</f>
        <v>76.211875000000006</v>
      </c>
      <c r="T433" s="21">
        <f t="shared" si="153"/>
        <v>152.42375000000001</v>
      </c>
      <c r="U433" s="21">
        <f t="shared" si="153"/>
        <v>304.84750000000003</v>
      </c>
      <c r="V433" s="21">
        <f t="shared" si="153"/>
        <v>609.69500000000005</v>
      </c>
      <c r="W433" s="21">
        <f t="shared" si="153"/>
        <v>1219.3900000000001</v>
      </c>
      <c r="X433" s="21">
        <f>SUM(X421,X423,X425,X427,X429,X431)</f>
        <v>2438.7800000000002</v>
      </c>
      <c r="Y433" s="21">
        <f t="shared" si="153"/>
        <v>4877.5600000000004</v>
      </c>
      <c r="Z433" s="21">
        <f t="shared" si="153"/>
        <v>9755.1200000000008</v>
      </c>
      <c r="AA433" s="21">
        <f t="shared" si="153"/>
        <v>19510.240000000002</v>
      </c>
      <c r="AB433" s="21">
        <f t="shared" si="153"/>
        <v>39020.480000000003</v>
      </c>
      <c r="AC433" s="21">
        <f t="shared" si="153"/>
        <v>78040.960000000006</v>
      </c>
      <c r="AD433" s="21">
        <f t="shared" si="153"/>
        <v>156081.92000000001</v>
      </c>
      <c r="AE433" s="21">
        <f t="shared" si="153"/>
        <v>312163.84000000003</v>
      </c>
      <c r="AF433" s="21">
        <f t="shared" si="153"/>
        <v>624327.68000000005</v>
      </c>
      <c r="AG433" s="21">
        <f t="shared" ref="AG433:AI433" si="154">SUM(AG421,AG423,AG425,AG427,AG429,AG431)</f>
        <v>780409.6</v>
      </c>
      <c r="AH433" s="21">
        <f t="shared" si="154"/>
        <v>936491.52000000002</v>
      </c>
      <c r="AI433" s="21">
        <f t="shared" si="154"/>
        <v>1092573.44</v>
      </c>
      <c r="AJ433" s="21">
        <f t="shared" si="153"/>
        <v>1248655.3600000001</v>
      </c>
      <c r="AK433" s="21">
        <f t="shared" ref="AK433:AM433" si="155">SUM(AK421,AK423,AK425,AK427,AK429,AK431)</f>
        <v>1598278.8608000004</v>
      </c>
      <c r="AL433" s="21">
        <f t="shared" si="155"/>
        <v>1872983.04</v>
      </c>
      <c r="AM433" s="21">
        <f t="shared" si="155"/>
        <v>2185146.88</v>
      </c>
      <c r="AN433" s="21">
        <f t="shared" si="153"/>
        <v>2497310.7200000002</v>
      </c>
      <c r="AO433" s="21">
        <f t="shared" si="153"/>
        <v>2996772.8640000001</v>
      </c>
      <c r="AP433" s="21">
        <f t="shared" si="153"/>
        <v>3496235.0079999999</v>
      </c>
      <c r="AQ433" s="21">
        <f t="shared" si="153"/>
        <v>3995697.1519999998</v>
      </c>
      <c r="AR433" s="21">
        <f t="shared" si="153"/>
        <v>4495159.2960000001</v>
      </c>
      <c r="AS433" s="21">
        <f t="shared" ref="AS433:BC434" si="156">SUM(AS421,AS423,AS425,AS427,AS429,AS431)</f>
        <v>4994621.4400000004</v>
      </c>
      <c r="AT433" s="21">
        <f t="shared" ref="AT433:AW433" si="157">SUM(AT421,AT423,AT425,AT427,AT429,AT431)</f>
        <v>5993545.7280000001</v>
      </c>
      <c r="AU433" s="21">
        <f t="shared" si="157"/>
        <v>6992470.0159999998</v>
      </c>
      <c r="AV433" s="21">
        <f t="shared" si="157"/>
        <v>7991394.3039999995</v>
      </c>
      <c r="AW433" s="21">
        <f t="shared" si="157"/>
        <v>8990318.5920000002</v>
      </c>
      <c r="AX433" s="21">
        <f t="shared" si="156"/>
        <v>9989242.8800000008</v>
      </c>
      <c r="AY433" s="21">
        <f t="shared" ref="AY433:BB433" si="158">SUM(AY421,AY423,AY425,AY427,AY429,AY431)</f>
        <v>11987091.456</v>
      </c>
      <c r="AZ433" s="21">
        <f t="shared" si="158"/>
        <v>13984940.032</v>
      </c>
      <c r="BA433" s="21">
        <f t="shared" si="158"/>
        <v>15982788.607999999</v>
      </c>
      <c r="BB433" s="21">
        <f t="shared" si="158"/>
        <v>17980637.184</v>
      </c>
      <c r="BC433" s="21">
        <f t="shared" si="156"/>
        <v>19978485.760000002</v>
      </c>
      <c r="BD433" s="21">
        <f t="shared" ref="BD433:BG433" si="159">SUM(BD421,BD423,BD425,BD427,BD429,BD431)</f>
        <v>23974182.912</v>
      </c>
      <c r="BE433" s="21">
        <f t="shared" si="159"/>
        <v>27969880.063999999</v>
      </c>
      <c r="BF433" s="21">
        <f t="shared" si="159"/>
        <v>31965577.215999998</v>
      </c>
      <c r="BG433" s="21">
        <f t="shared" si="159"/>
        <v>35961274.368000001</v>
      </c>
      <c r="BH433" s="18">
        <f t="shared" ref="BH433:BM433" si="160">SUM(BH421,BH423,BH425,BH427,BH429,BH431)</f>
        <v>39956971.520000003</v>
      </c>
      <c r="BI433" s="19">
        <f t="shared" si="160"/>
        <v>79913943.040000007</v>
      </c>
      <c r="BJ433" s="19">
        <f t="shared" si="160"/>
        <v>159827886.08000001</v>
      </c>
      <c r="BK433" s="19">
        <f t="shared" si="160"/>
        <v>319655772.16000003</v>
      </c>
      <c r="BL433" s="19">
        <f t="shared" si="160"/>
        <v>403088265.04500002</v>
      </c>
      <c r="BM433" s="60">
        <f t="shared" si="160"/>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1">SUM(S422,S424,S426,S428,S430,S432)</f>
        <v>5.130115</v>
      </c>
      <c r="T434" s="32">
        <f t="shared" si="161"/>
        <v>10.26023</v>
      </c>
      <c r="U434" s="32">
        <f t="shared" si="161"/>
        <v>20.52046</v>
      </c>
      <c r="V434" s="32">
        <f t="shared" si="161"/>
        <v>41.04092</v>
      </c>
      <c r="W434" s="32">
        <f t="shared" si="161"/>
        <v>82.08184</v>
      </c>
      <c r="X434" s="32">
        <f t="shared" si="161"/>
        <v>164.16368</v>
      </c>
      <c r="Y434" s="32">
        <f t="shared" si="161"/>
        <v>328.32736</v>
      </c>
      <c r="Z434" s="32">
        <f t="shared" si="161"/>
        <v>656.65472</v>
      </c>
      <c r="AA434" s="32">
        <f t="shared" si="161"/>
        <v>1313.30944</v>
      </c>
      <c r="AB434" s="32">
        <f t="shared" si="161"/>
        <v>2626.61888</v>
      </c>
      <c r="AC434" s="32">
        <f t="shared" si="161"/>
        <v>5253.23776</v>
      </c>
      <c r="AD434" s="32">
        <f t="shared" si="161"/>
        <v>10506.47552</v>
      </c>
      <c r="AE434" s="32">
        <f t="shared" si="161"/>
        <v>21012.95104</v>
      </c>
      <c r="AF434" s="32">
        <f t="shared" si="161"/>
        <v>42025.90208</v>
      </c>
      <c r="AG434" s="32">
        <f t="shared" ref="AG434:AI434" si="162">SUM(AG422,AG424,AG426,AG428,AG430,AG432)</f>
        <v>52532.377599999993</v>
      </c>
      <c r="AH434" s="32">
        <f t="shared" si="162"/>
        <v>63038.853119999992</v>
      </c>
      <c r="AI434" s="32">
        <f t="shared" si="162"/>
        <v>73545.328639999992</v>
      </c>
      <c r="AJ434" s="32">
        <f t="shared" si="161"/>
        <v>84051.80416</v>
      </c>
      <c r="AK434" s="32">
        <f t="shared" ref="AK434:AM434" si="163">SUM(AK422,AK424,AK426,AK428,AK430,AK432)</f>
        <v>107586.30932479999</v>
      </c>
      <c r="AL434" s="32">
        <f t="shared" si="163"/>
        <v>126077.70623999998</v>
      </c>
      <c r="AM434" s="32">
        <f t="shared" si="163"/>
        <v>147090.65727999998</v>
      </c>
      <c r="AN434" s="32">
        <f t="shared" si="161"/>
        <v>168103.60832</v>
      </c>
      <c r="AO434" s="32">
        <f t="shared" si="161"/>
        <v>201724.32998400001</v>
      </c>
      <c r="AP434" s="32">
        <f t="shared" si="161"/>
        <v>235345.05164800002</v>
      </c>
      <c r="AQ434" s="32">
        <f t="shared" si="161"/>
        <v>268965.77331199998</v>
      </c>
      <c r="AR434" s="32">
        <f t="shared" si="161"/>
        <v>302586.49497599999</v>
      </c>
      <c r="AS434" s="32">
        <f t="shared" si="156"/>
        <v>336207.21664</v>
      </c>
      <c r="AT434" s="32">
        <f t="shared" ref="AT434:AW434" si="164">SUM(AT422,AT424,AT426,AT428,AT430,AT432)</f>
        <v>403448.65996800002</v>
      </c>
      <c r="AU434" s="32">
        <f t="shared" si="164"/>
        <v>470690.10329600004</v>
      </c>
      <c r="AV434" s="32">
        <f t="shared" si="164"/>
        <v>537931.54662399995</v>
      </c>
      <c r="AW434" s="32">
        <f t="shared" si="164"/>
        <v>605172.98995199997</v>
      </c>
      <c r="AX434" s="32">
        <f t="shared" si="156"/>
        <v>672414.43328</v>
      </c>
      <c r="AY434" s="32">
        <f t="shared" ref="AY434:BB434" si="165">SUM(AY422,AY424,AY426,AY428,AY430,AY432)</f>
        <v>806897.31993600004</v>
      </c>
      <c r="AZ434" s="32">
        <f t="shared" si="165"/>
        <v>941380.20659200009</v>
      </c>
      <c r="BA434" s="32">
        <f t="shared" si="165"/>
        <v>1075863.0932479999</v>
      </c>
      <c r="BB434" s="32">
        <f t="shared" si="165"/>
        <v>1210345.9799039999</v>
      </c>
      <c r="BC434" s="32">
        <f t="shared" si="156"/>
        <v>1344828.86656</v>
      </c>
      <c r="BD434" s="32">
        <f t="shared" ref="BD434:BG434" si="166">SUM(BD422,BD424,BD426,BD428,BD430,BD432)</f>
        <v>1613794.6398720001</v>
      </c>
      <c r="BE434" s="32">
        <f t="shared" si="166"/>
        <v>1882760.4131840002</v>
      </c>
      <c r="BF434" s="32">
        <f t="shared" si="166"/>
        <v>2151726.1864959998</v>
      </c>
      <c r="BG434" s="32">
        <f t="shared" si="166"/>
        <v>2420691.9598079999</v>
      </c>
      <c r="BH434" s="31">
        <f t="shared" ref="BH434:BM434" si="167">SUM(BH422,BH424,BH426,BH428,BH430,BH432)</f>
        <v>2689657.73312</v>
      </c>
      <c r="BI434" s="32">
        <f t="shared" si="167"/>
        <v>5379315.46624</v>
      </c>
      <c r="BJ434" s="32">
        <f t="shared" si="167"/>
        <v>10758630.93248</v>
      </c>
      <c r="BK434" s="32">
        <f t="shared" si="167"/>
        <v>21517261.86496</v>
      </c>
      <c r="BL434" s="32">
        <f t="shared" si="167"/>
        <v>27133424.480520003</v>
      </c>
      <c r="BM434" s="73">
        <f t="shared" si="167"/>
        <v>27133424.480520003</v>
      </c>
      <c r="BN434" s="45"/>
    </row>
  </sheetData>
  <conditionalFormatting sqref="BN378 R378:BC378 BK378:BL378">
    <cfRule type="cellIs" dxfId="33" priority="47" operator="greaterThan">
      <formula>$C$356</formula>
    </cfRule>
  </conditionalFormatting>
  <conditionalFormatting sqref="R380:BC380 BK380:BL380">
    <cfRule type="cellIs" dxfId="32" priority="46" operator="greaterThan">
      <formula>$C$357</formula>
    </cfRule>
  </conditionalFormatting>
  <conditionalFormatting sqref="R398:BM398">
    <cfRule type="cellIs" dxfId="31" priority="45" operator="greaterThan">
      <formula>$C$398</formula>
    </cfRule>
  </conditionalFormatting>
  <conditionalFormatting sqref="R400:BM400">
    <cfRule type="cellIs" dxfId="30" priority="44" operator="greaterThan">
      <formula>$C$400</formula>
    </cfRule>
  </conditionalFormatting>
  <conditionalFormatting sqref="R402:BM402">
    <cfRule type="cellIs" dxfId="29" priority="43" operator="greaterThan">
      <formula>$C$402</formula>
    </cfRule>
  </conditionalFormatting>
  <conditionalFormatting sqref="R404:BM404">
    <cfRule type="cellIs" dxfId="28" priority="35" operator="greaterThan">
      <formula>$C$404</formula>
    </cfRule>
  </conditionalFormatting>
  <conditionalFormatting sqref="R406:BM406">
    <cfRule type="cellIs" dxfId="27" priority="34" operator="greaterThan">
      <formula>$C$406</formula>
    </cfRule>
  </conditionalFormatting>
  <conditionalFormatting sqref="R408:BM408">
    <cfRule type="cellIs" dxfId="26" priority="33" operator="greaterThan">
      <formula>$C$408</formula>
    </cfRule>
  </conditionalFormatting>
  <conditionalFormatting sqref="R410:BM410">
    <cfRule type="cellIs" dxfId="25" priority="32" operator="greaterThan">
      <formula>$C$410</formula>
    </cfRule>
  </conditionalFormatting>
  <conditionalFormatting sqref="R412:BM412">
    <cfRule type="cellIs" dxfId="24" priority="31" operator="greaterThan">
      <formula>$C$412</formula>
    </cfRule>
  </conditionalFormatting>
  <conditionalFormatting sqref="R414:BM414">
    <cfRule type="cellIs" dxfId="23" priority="30" operator="greaterThan">
      <formula>$C$414</formula>
    </cfRule>
  </conditionalFormatting>
  <conditionalFormatting sqref="R369:BC369 BK369:BM369">
    <cfRule type="cellIs" dxfId="22" priority="29" operator="equal">
      <formula>0</formula>
    </cfRule>
  </conditionalFormatting>
  <conditionalFormatting sqref="R376:BC376 R378:BC378 S380:BC380 BK380:BL380 BK378:BL378 BK376:BL376">
    <cfRule type="cellIs" dxfId="21" priority="28" operator="equal">
      <formula>0</formula>
    </cfRule>
  </conditionalFormatting>
  <conditionalFormatting sqref="D398">
    <cfRule type="cellIs" dxfId="20" priority="25" operator="greaterThan">
      <formula>$B$398</formula>
    </cfRule>
  </conditionalFormatting>
  <conditionalFormatting sqref="D400">
    <cfRule type="cellIs" dxfId="19" priority="24" operator="greaterThan">
      <formula>$B$400</formula>
    </cfRule>
  </conditionalFormatting>
  <conditionalFormatting sqref="D402">
    <cfRule type="cellIs" dxfId="18" priority="23" operator="greaterThan">
      <formula>$B$402</formula>
    </cfRule>
  </conditionalFormatting>
  <conditionalFormatting sqref="D404">
    <cfRule type="cellIs" dxfId="17" priority="22" operator="greaterThan">
      <formula>$B$404</formula>
    </cfRule>
  </conditionalFormatting>
  <conditionalFormatting sqref="D406">
    <cfRule type="cellIs" dxfId="16" priority="21" operator="greaterThan">
      <formula>$B$406</formula>
    </cfRule>
  </conditionalFormatting>
  <conditionalFormatting sqref="D408">
    <cfRule type="cellIs" dxfId="15" priority="20" operator="greaterThan">
      <formula>$B$408</formula>
    </cfRule>
  </conditionalFormatting>
  <conditionalFormatting sqref="D410">
    <cfRule type="cellIs" dxfId="14" priority="19" operator="greaterThan">
      <formula>$B$410</formula>
    </cfRule>
  </conditionalFormatting>
  <conditionalFormatting sqref="D412">
    <cfRule type="cellIs" dxfId="13" priority="18" operator="greaterThan">
      <formula>$B$412</formula>
    </cfRule>
  </conditionalFormatting>
  <conditionalFormatting sqref="D414">
    <cfRule type="cellIs" dxfId="12" priority="17" operator="greaterThan">
      <formula>$B$414</formula>
    </cfRule>
  </conditionalFormatting>
  <conditionalFormatting sqref="BD378:BG378">
    <cfRule type="cellIs" dxfId="11" priority="12" operator="greaterThan">
      <formula>$C$356</formula>
    </cfRule>
  </conditionalFormatting>
  <conditionalFormatting sqref="BD380:BG380">
    <cfRule type="cellIs" dxfId="10" priority="11" operator="greaterThan">
      <formula>$C$357</formula>
    </cfRule>
  </conditionalFormatting>
  <conditionalFormatting sqref="BD369:BG369">
    <cfRule type="cellIs" dxfId="9" priority="10" operator="equal">
      <formula>0</formula>
    </cfRule>
  </conditionalFormatting>
  <conditionalFormatting sqref="BD376:BG376 BD378:BG378 BD380:BG380">
    <cfRule type="cellIs" dxfId="8" priority="9" operator="equal">
      <formula>0</formula>
    </cfRule>
  </conditionalFormatting>
  <conditionalFormatting sqref="BH378:BI378">
    <cfRule type="cellIs" dxfId="7" priority="8" operator="greaterThan">
      <formula>$C$356</formula>
    </cfRule>
  </conditionalFormatting>
  <conditionalFormatting sqref="BH380:BI380">
    <cfRule type="cellIs" dxfId="6" priority="7" operator="greaterThan">
      <formula>$C$357</formula>
    </cfRule>
  </conditionalFormatting>
  <conditionalFormatting sqref="BH369:BI369">
    <cfRule type="cellIs" dxfId="5" priority="6" operator="equal">
      <formula>0</formula>
    </cfRule>
  </conditionalFormatting>
  <conditionalFormatting sqref="BH376:BI376 BH378:BI378 BH380:BI380">
    <cfRule type="cellIs" dxfId="4" priority="5" operator="equal">
      <formula>0</formula>
    </cfRule>
  </conditionalFormatting>
  <conditionalFormatting sqref="BJ378">
    <cfRule type="cellIs" dxfId="3" priority="4" operator="greaterThan">
      <formula>$C$356</formula>
    </cfRule>
  </conditionalFormatting>
  <conditionalFormatting sqref="BJ380">
    <cfRule type="cellIs" dxfId="2" priority="3" operator="greaterThan">
      <formula>$C$357</formula>
    </cfRule>
  </conditionalFormatting>
  <conditionalFormatting sqref="BJ369">
    <cfRule type="cellIs" dxfId="1" priority="2" operator="equal">
      <formula>0</formula>
    </cfRule>
  </conditionalFormatting>
  <conditionalFormatting sqref="BJ376 BJ378 BJ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6" sqref="M1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14772535</v>
      </c>
    </row>
    <row r="7" spans="2:10" x14ac:dyDescent="0.25">
      <c r="B7" s="177" t="s">
        <v>117</v>
      </c>
      <c r="C7" s="158">
        <f ca="1">NOW()</f>
        <v>44170.784177893518</v>
      </c>
    </row>
    <row r="8" spans="2:10" x14ac:dyDescent="0.25">
      <c r="B8" s="177" t="s">
        <v>133</v>
      </c>
      <c r="C8" s="159">
        <f ca="1">C7-C5</f>
        <v>288.78417789351806</v>
      </c>
    </row>
    <row r="9" spans="2:10" x14ac:dyDescent="0.25">
      <c r="B9" s="177" t="s">
        <v>116</v>
      </c>
      <c r="C9" s="161">
        <f ca="1">C8/(LOG(C6/C4)/LOG(2))</f>
        <v>15.319603695458236</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20576030.892857142</v>
      </c>
    </row>
    <row r="13" spans="2:10" s="69" customFormat="1" x14ac:dyDescent="0.25">
      <c r="B13" s="48" t="s">
        <v>163</v>
      </c>
      <c r="C13" s="167">
        <f ca="1">(C4/Projections!B354)*(2^(((C7-21)-C5)/C9))</f>
        <v>7956313.7480243957</v>
      </c>
    </row>
    <row r="14" spans="2:10" s="69" customFormat="1" x14ac:dyDescent="0.25">
      <c r="B14" s="49" t="s">
        <v>164</v>
      </c>
      <c r="C14" s="150">
        <f ca="1">C12-C13</f>
        <v>12619717.144832745</v>
      </c>
      <c r="E14" s="163"/>
      <c r="F14" s="164" t="s">
        <v>138</v>
      </c>
      <c r="G14" s="162"/>
    </row>
    <row r="15" spans="2:10" x14ac:dyDescent="0.25">
      <c r="B15" s="4" t="s">
        <v>135</v>
      </c>
      <c r="C15" s="64">
        <f>C6*Projections!B359</f>
        <v>11965753.350000001</v>
      </c>
      <c r="I15" s="157"/>
    </row>
    <row r="16" spans="2:10" x14ac:dyDescent="0.25">
      <c r="B16" s="41" t="s">
        <v>145</v>
      </c>
      <c r="C16" s="83">
        <f ca="1">(C4*Projections!B359)*(2^(((C7-21)-C5)/C9))</f>
        <v>4626902.4565434176</v>
      </c>
      <c r="I16" s="157"/>
    </row>
    <row r="17" spans="2:9" x14ac:dyDescent="0.25">
      <c r="B17" s="41" t="s">
        <v>136</v>
      </c>
      <c r="C17" s="83">
        <f ca="1">C15-C16</f>
        <v>7338850.8934565838</v>
      </c>
      <c r="F17" t="s">
        <v>139</v>
      </c>
      <c r="I17" s="157"/>
    </row>
    <row r="18" spans="2:9" x14ac:dyDescent="0.25">
      <c r="B18" s="4" t="s">
        <v>141</v>
      </c>
      <c r="C18" s="64">
        <f>C6*Projections!B360</f>
        <v>2068154.9000000001</v>
      </c>
    </row>
    <row r="19" spans="2:9" x14ac:dyDescent="0.25">
      <c r="B19" s="41" t="s">
        <v>146</v>
      </c>
      <c r="C19" s="83">
        <f ca="1">(C4*Projections!B360)*(2^(((C7-49)-C5)/C9))</f>
        <v>225285.76818146565</v>
      </c>
    </row>
    <row r="20" spans="2:9" x14ac:dyDescent="0.25">
      <c r="B20" s="41" t="s">
        <v>140</v>
      </c>
      <c r="C20" s="83">
        <f ca="1">C18-C19</f>
        <v>1842869.1318185346</v>
      </c>
      <c r="F20" t="s">
        <v>144</v>
      </c>
    </row>
    <row r="21" spans="2:9" x14ac:dyDescent="0.25">
      <c r="B21" s="4" t="s">
        <v>142</v>
      </c>
      <c r="C21" s="64">
        <f>C6*Projections!B361</f>
        <v>738626.75</v>
      </c>
      <c r="I21" s="157"/>
    </row>
    <row r="22" spans="2:9" x14ac:dyDescent="0.25">
      <c r="B22" s="41" t="s">
        <v>147</v>
      </c>
      <c r="C22" s="83">
        <f ca="1">(C4*Projections!B361)*(2^(((C7-49)-C5)/C9))</f>
        <v>80459.202921952019</v>
      </c>
      <c r="I22" s="157"/>
    </row>
    <row r="23" spans="2:9" x14ac:dyDescent="0.25">
      <c r="B23" s="41" t="s">
        <v>143</v>
      </c>
      <c r="C23" s="83">
        <f ca="1">C21-C22</f>
        <v>658167.547078048</v>
      </c>
      <c r="I23" s="157"/>
    </row>
    <row r="24" spans="2:9" x14ac:dyDescent="0.25">
      <c r="B24" s="4" t="s">
        <v>148</v>
      </c>
      <c r="C24" s="64">
        <f>C6*Projections!B362</f>
        <v>288064.4325</v>
      </c>
    </row>
    <row r="25" spans="2:9" x14ac:dyDescent="0.25">
      <c r="B25" s="37" t="s">
        <v>149</v>
      </c>
      <c r="C25" s="61">
        <f ca="1">(C4*Projections!B362)*(2^(((C7-42)-C5)/C9))</f>
        <v>43071.523512616805</v>
      </c>
      <c r="F25" t="s">
        <v>150</v>
      </c>
    </row>
    <row r="26" spans="2:9" x14ac:dyDescent="0.25">
      <c r="B26" s="41" t="s">
        <v>126</v>
      </c>
      <c r="C26" s="170">
        <f ca="1">C9*(LOG(C10/C21)/LOG(2))</f>
        <v>1.5798350074858378</v>
      </c>
      <c r="D26" t="s">
        <v>96</v>
      </c>
      <c r="F26" s="69" t="s">
        <v>151</v>
      </c>
    </row>
    <row r="27" spans="2:9" x14ac:dyDescent="0.25">
      <c r="B27" s="37" t="s">
        <v>123</v>
      </c>
      <c r="C27" s="169">
        <f ca="1">C7+C26</f>
        <v>44172.364012901002</v>
      </c>
      <c r="F27" t="s">
        <v>152</v>
      </c>
    </row>
    <row r="28" spans="2:9" x14ac:dyDescent="0.25">
      <c r="B28" s="4" t="s">
        <v>127</v>
      </c>
      <c r="C28" s="168">
        <f ca="1">C9*(LOG(C11/C21)/LOG(2))</f>
        <v>-41.162270449104582</v>
      </c>
      <c r="D28" t="s">
        <v>96</v>
      </c>
    </row>
    <row r="29" spans="2:9" x14ac:dyDescent="0.25">
      <c r="B29" s="37" t="s">
        <v>124</v>
      </c>
      <c r="C29" s="169">
        <f ca="1">C7+C28</f>
        <v>44129.621907444416</v>
      </c>
      <c r="F29" t="s">
        <v>152</v>
      </c>
    </row>
    <row r="30" spans="2:9" x14ac:dyDescent="0.25">
      <c r="B30" s="4" t="s">
        <v>128</v>
      </c>
      <c r="C30" s="168">
        <f ca="1">C9*(LOG((C3*0.6)/C12)/LOG(2))</f>
        <v>50.078772623344832</v>
      </c>
      <c r="D30" t="s">
        <v>96</v>
      </c>
    </row>
    <row r="31" spans="2:9" x14ac:dyDescent="0.25">
      <c r="B31" s="37" t="s">
        <v>125</v>
      </c>
      <c r="C31" s="169">
        <f ca="1">C7+C30</f>
        <v>44220.862950516865</v>
      </c>
    </row>
    <row r="34" spans="2:6" x14ac:dyDescent="0.25">
      <c r="B34" s="4" t="s">
        <v>129</v>
      </c>
      <c r="C34" s="158">
        <f ca="1">C7+30</f>
        <v>44200.784177893518</v>
      </c>
      <c r="F34" t="s">
        <v>165</v>
      </c>
    </row>
    <row r="35" spans="2:6" x14ac:dyDescent="0.25">
      <c r="B35" s="41" t="s">
        <v>130</v>
      </c>
      <c r="C35" s="83">
        <f ca="1">C6*(2^((C34-C7)/C9))</f>
        <v>57405645.23698023</v>
      </c>
      <c r="F35" t="s">
        <v>137</v>
      </c>
    </row>
    <row r="36" spans="2:6" x14ac:dyDescent="0.25">
      <c r="B36" s="41" t="s">
        <v>184</v>
      </c>
      <c r="C36" s="83">
        <f ca="1">C35/Projections!B354</f>
        <v>79957863.008651033</v>
      </c>
    </row>
    <row r="37" spans="2:6" x14ac:dyDescent="0.25">
      <c r="B37" s="41" t="s">
        <v>72</v>
      </c>
      <c r="C37" s="83">
        <f ca="1">C35*Projections!B359</f>
        <v>46498572.64195399</v>
      </c>
    </row>
    <row r="38" spans="2:6" x14ac:dyDescent="0.25">
      <c r="B38" s="41" t="s">
        <v>118</v>
      </c>
      <c r="C38" s="83">
        <f ca="1">C35*Projections!B360</f>
        <v>8036790.3331772331</v>
      </c>
    </row>
    <row r="39" spans="2:6" x14ac:dyDescent="0.25">
      <c r="B39" s="41" t="s">
        <v>119</v>
      </c>
      <c r="C39" s="83">
        <f ca="1">C35*Projections!B361</f>
        <v>2870282.2618490118</v>
      </c>
    </row>
    <row r="40" spans="2:6" x14ac:dyDescent="0.25">
      <c r="B40" s="37" t="s">
        <v>120</v>
      </c>
      <c r="C40" s="61">
        <f ca="1">C35*Projections!B362</f>
        <v>1119410.0821211145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2" t="s">
        <v>179</v>
      </c>
      <c r="B2" s="219"/>
      <c r="C2" s="76"/>
    </row>
    <row r="3" spans="1:4" ht="30" x14ac:dyDescent="0.25">
      <c r="A3" s="352"/>
      <c r="B3" s="219" t="s">
        <v>180</v>
      </c>
      <c r="C3" s="76"/>
    </row>
    <row r="4" spans="1:4" x14ac:dyDescent="0.25">
      <c r="A4" s="351" t="s">
        <v>47</v>
      </c>
      <c r="B4" s="222">
        <v>308745538</v>
      </c>
      <c r="C4" s="76"/>
    </row>
    <row r="5" spans="1:4" x14ac:dyDescent="0.25">
      <c r="A5" s="351"/>
      <c r="B5" s="220">
        <v>1</v>
      </c>
      <c r="C5" s="76"/>
    </row>
    <row r="6" spans="1:4" x14ac:dyDescent="0.25">
      <c r="A6" s="351" t="s">
        <v>21</v>
      </c>
      <c r="B6" s="222">
        <v>20201362</v>
      </c>
      <c r="C6" s="76"/>
    </row>
    <row r="7" spans="1:4" x14ac:dyDescent="0.25">
      <c r="A7" s="351"/>
      <c r="B7" s="221">
        <f>B6/$B$4</f>
        <v>6.5430458139932701E-2</v>
      </c>
      <c r="C7" s="77"/>
    </row>
    <row r="8" spans="1:4" x14ac:dyDescent="0.25">
      <c r="A8" s="351" t="s">
        <v>22</v>
      </c>
      <c r="B8" s="222">
        <v>20348657</v>
      </c>
      <c r="C8" s="76"/>
    </row>
    <row r="9" spans="1:4" x14ac:dyDescent="0.25">
      <c r="A9" s="351"/>
      <c r="B9" s="221">
        <f>B8/$B$4</f>
        <v>6.590753386045696E-2</v>
      </c>
      <c r="C9" s="222">
        <f>B6+B8</f>
        <v>40550019</v>
      </c>
      <c r="D9" s="1">
        <f>C9/$B$4</f>
        <v>0.13133799200038965</v>
      </c>
    </row>
    <row r="10" spans="1:4" x14ac:dyDescent="0.25">
      <c r="A10" s="351" t="s">
        <v>23</v>
      </c>
      <c r="B10" s="222">
        <v>20677194</v>
      </c>
      <c r="C10" s="76"/>
    </row>
    <row r="11" spans="1:4" x14ac:dyDescent="0.25">
      <c r="A11" s="351"/>
      <c r="B11" s="221">
        <f>B10/$B$4</f>
        <v>6.6971636688074182E-2</v>
      </c>
      <c r="C11" s="76"/>
    </row>
    <row r="12" spans="1:4" x14ac:dyDescent="0.25">
      <c r="A12" s="351" t="s">
        <v>24</v>
      </c>
      <c r="B12" s="222">
        <v>22040343</v>
      </c>
      <c r="C12" s="76"/>
    </row>
    <row r="13" spans="1:4" x14ac:dyDescent="0.25">
      <c r="A13" s="351"/>
      <c r="B13" s="221">
        <f>B12/$B$4</f>
        <v>7.13867579844992E-2</v>
      </c>
      <c r="C13" s="222">
        <f>B10+B12</f>
        <v>42717537</v>
      </c>
      <c r="D13" s="1">
        <f>C13/$B$4</f>
        <v>0.13835839467257338</v>
      </c>
    </row>
    <row r="14" spans="1:4" x14ac:dyDescent="0.25">
      <c r="A14" s="351" t="s">
        <v>25</v>
      </c>
      <c r="B14" s="222">
        <v>21585999</v>
      </c>
      <c r="C14" s="76"/>
    </row>
    <row r="15" spans="1:4" x14ac:dyDescent="0.25">
      <c r="A15" s="351"/>
      <c r="B15" s="221">
        <f>B14/$B$4</f>
        <v>6.9915177203305853E-2</v>
      </c>
      <c r="C15" s="76"/>
    </row>
    <row r="16" spans="1:4" x14ac:dyDescent="0.25">
      <c r="A16" s="351" t="s">
        <v>26</v>
      </c>
      <c r="B16" s="222">
        <v>21101849</v>
      </c>
      <c r="C16" s="76"/>
    </row>
    <row r="17" spans="1:4" x14ac:dyDescent="0.25">
      <c r="A17" s="351"/>
      <c r="B17" s="221">
        <f>B16/$B$4</f>
        <v>6.8347057375125531E-2</v>
      </c>
      <c r="C17" s="222">
        <f>B14+B16</f>
        <v>42687848</v>
      </c>
      <c r="D17" s="1">
        <f>C17/$B$4</f>
        <v>0.13826223457843137</v>
      </c>
    </row>
    <row r="18" spans="1:4" x14ac:dyDescent="0.25">
      <c r="A18" s="351" t="s">
        <v>27</v>
      </c>
      <c r="B18" s="222">
        <v>19962099</v>
      </c>
      <c r="C18" s="76"/>
    </row>
    <row r="19" spans="1:4" x14ac:dyDescent="0.25">
      <c r="A19" s="351"/>
      <c r="B19" s="221">
        <f>B18/$B$4</f>
        <v>6.465550604977488E-2</v>
      </c>
      <c r="C19" s="77"/>
    </row>
    <row r="20" spans="1:4" x14ac:dyDescent="0.25">
      <c r="A20" s="351" t="s">
        <v>28</v>
      </c>
      <c r="B20" s="222">
        <v>20179642</v>
      </c>
      <c r="C20" s="76"/>
    </row>
    <row r="21" spans="1:4" x14ac:dyDescent="0.25">
      <c r="A21" s="351"/>
      <c r="B21" s="221">
        <f>B20/$B$4</f>
        <v>6.5360108945121009E-2</v>
      </c>
      <c r="C21" s="222">
        <f>B18+B20</f>
        <v>40141741</v>
      </c>
      <c r="D21" s="1">
        <f>C21/$B$4</f>
        <v>0.13001561499489589</v>
      </c>
    </row>
    <row r="22" spans="1:4" x14ac:dyDescent="0.25">
      <c r="A22" s="351" t="s">
        <v>29</v>
      </c>
      <c r="B22" s="222">
        <v>20890964</v>
      </c>
      <c r="C22" s="76"/>
    </row>
    <row r="23" spans="1:4" x14ac:dyDescent="0.25">
      <c r="A23" s="351"/>
      <c r="B23" s="221">
        <f>B22/$B$4</f>
        <v>6.7664019163898012E-2</v>
      </c>
      <c r="C23" s="76"/>
    </row>
    <row r="24" spans="1:4" x14ac:dyDescent="0.25">
      <c r="A24" s="351" t="s">
        <v>30</v>
      </c>
      <c r="B24" s="222">
        <v>22708591</v>
      </c>
      <c r="C24" s="76"/>
    </row>
    <row r="25" spans="1:4" x14ac:dyDescent="0.25">
      <c r="A25" s="351"/>
      <c r="B25" s="221">
        <f>B24/$B$4</f>
        <v>7.3551155255885833E-2</v>
      </c>
      <c r="C25" s="222">
        <f>B22+B24</f>
        <v>43599555</v>
      </c>
      <c r="D25" s="1">
        <f>C25/$B$4</f>
        <v>0.14121517441978385</v>
      </c>
    </row>
    <row r="26" spans="1:4" x14ac:dyDescent="0.25">
      <c r="A26" s="351" t="s">
        <v>31</v>
      </c>
      <c r="B26" s="222">
        <v>22298125</v>
      </c>
      <c r="C26" s="76"/>
    </row>
    <row r="27" spans="1:4" x14ac:dyDescent="0.25">
      <c r="A27" s="351"/>
      <c r="B27" s="221">
        <f>B26/$B$4</f>
        <v>7.2221691508299629E-2</v>
      </c>
      <c r="C27" s="76"/>
    </row>
    <row r="28" spans="1:4" x14ac:dyDescent="0.25">
      <c r="A28" s="351" t="s">
        <v>32</v>
      </c>
      <c r="B28" s="222">
        <v>19664805</v>
      </c>
      <c r="C28" s="76"/>
    </row>
    <row r="29" spans="1:4" x14ac:dyDescent="0.25">
      <c r="A29" s="351"/>
      <c r="B29" s="221">
        <f>B28/$B$4</f>
        <v>6.3692596587420158E-2</v>
      </c>
      <c r="C29" s="222">
        <f>B26+B28</f>
        <v>41962930</v>
      </c>
      <c r="D29" s="1">
        <f>C29/$B$4</f>
        <v>0.13591428809571979</v>
      </c>
    </row>
    <row r="30" spans="1:4" x14ac:dyDescent="0.25">
      <c r="A30" s="351" t="s">
        <v>33</v>
      </c>
      <c r="B30" s="222">
        <v>16817924</v>
      </c>
      <c r="C30" s="76"/>
    </row>
    <row r="31" spans="1:4" x14ac:dyDescent="0.25">
      <c r="A31" s="351"/>
      <c r="B31" s="221">
        <f>B30/$B$4</f>
        <v>5.4471796123576693E-2</v>
      </c>
      <c r="C31" s="77"/>
    </row>
    <row r="32" spans="1:4" x14ac:dyDescent="0.25">
      <c r="A32" s="351" t="s">
        <v>34</v>
      </c>
      <c r="B32" s="222">
        <v>12435263</v>
      </c>
      <c r="C32" s="76"/>
    </row>
    <row r="33" spans="1:4" x14ac:dyDescent="0.25">
      <c r="A33" s="351"/>
      <c r="B33" s="221">
        <f>B32/$B$4</f>
        <v>4.027673753782314E-2</v>
      </c>
      <c r="C33" s="222">
        <f>B30+B32</f>
        <v>29253187</v>
      </c>
      <c r="D33" s="1">
        <f>C33/$B$4</f>
        <v>9.4748533661399834E-2</v>
      </c>
    </row>
    <row r="34" spans="1:4" x14ac:dyDescent="0.25">
      <c r="A34" s="351" t="s">
        <v>35</v>
      </c>
      <c r="B34" s="222">
        <v>9278166</v>
      </c>
      <c r="C34" s="76"/>
    </row>
    <row r="35" spans="1:4" x14ac:dyDescent="0.25">
      <c r="A35" s="351"/>
      <c r="B35" s="221">
        <f>B34/$B$4</f>
        <v>3.0051174375190486E-2</v>
      </c>
      <c r="C35" s="76"/>
    </row>
    <row r="36" spans="1:4" x14ac:dyDescent="0.25">
      <c r="A36" s="351" t="s">
        <v>36</v>
      </c>
      <c r="B36" s="222">
        <v>7317795</v>
      </c>
      <c r="C36" s="76"/>
    </row>
    <row r="37" spans="1:4" x14ac:dyDescent="0.25">
      <c r="A37" s="351"/>
      <c r="B37" s="221">
        <f>B36/$B$4</f>
        <v>2.370170285667416E-2</v>
      </c>
      <c r="C37" s="222">
        <f>B34+B36</f>
        <v>16595961</v>
      </c>
      <c r="D37" s="1">
        <f>C37/$B$4</f>
        <v>5.3752877231864643E-2</v>
      </c>
    </row>
    <row r="38" spans="1:4" x14ac:dyDescent="0.25">
      <c r="A38" s="351" t="s">
        <v>37</v>
      </c>
      <c r="B38" s="222">
        <v>5743327</v>
      </c>
      <c r="C38" s="76"/>
    </row>
    <row r="39" spans="1:4" x14ac:dyDescent="0.25">
      <c r="A39" s="351"/>
      <c r="B39" s="221">
        <f>B38/$B$4</f>
        <v>1.8602137660690663E-2</v>
      </c>
      <c r="C39" s="76"/>
    </row>
    <row r="40" spans="1:4" x14ac:dyDescent="0.25">
      <c r="A40" s="351" t="s">
        <v>178</v>
      </c>
      <c r="B40" s="222">
        <v>5493433</v>
      </c>
      <c r="C40" s="76"/>
    </row>
    <row r="41" spans="1:4" x14ac:dyDescent="0.25">
      <c r="A41" s="351"/>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610</v>
      </c>
      <c r="J1" s="208">
        <v>44059</v>
      </c>
    </row>
    <row r="2" spans="1:18" x14ac:dyDescent="0.25">
      <c r="A2" s="272" t="s">
        <v>581</v>
      </c>
      <c r="J2" t="s">
        <v>677</v>
      </c>
    </row>
    <row r="3" spans="1:18" x14ac:dyDescent="0.25">
      <c r="A3" t="s">
        <v>611</v>
      </c>
      <c r="J3" t="s">
        <v>678</v>
      </c>
      <c r="O3" t="s">
        <v>679</v>
      </c>
    </row>
    <row r="4" spans="1:18" x14ac:dyDescent="0.25">
      <c r="B4" t="s">
        <v>588</v>
      </c>
      <c r="C4" t="s">
        <v>589</v>
      </c>
      <c r="J4" t="s">
        <v>582</v>
      </c>
      <c r="K4">
        <v>61827</v>
      </c>
      <c r="L4" s="1">
        <v>1.6E-2</v>
      </c>
      <c r="M4" s="1">
        <f>K4/(SUM($K$4:$K$12))</f>
        <v>1.638828902784872E-2</v>
      </c>
      <c r="O4" t="s">
        <v>582</v>
      </c>
      <c r="P4">
        <v>30</v>
      </c>
      <c r="R4" s="1">
        <f>P4/SUM($P$4:$P$12)</f>
        <v>2.3869006890186656E-4</v>
      </c>
    </row>
    <row r="5" spans="1:18" x14ac:dyDescent="0.25">
      <c r="A5" t="s">
        <v>582</v>
      </c>
      <c r="B5">
        <v>5.6</v>
      </c>
      <c r="C5" s="1">
        <f>B5/100000</f>
        <v>5.5999999999999999E-5</v>
      </c>
      <c r="J5" s="328" t="s">
        <v>583</v>
      </c>
      <c r="K5">
        <v>228450</v>
      </c>
      <c r="L5" s="1">
        <v>6.0999999999999999E-2</v>
      </c>
      <c r="M5" s="1">
        <f t="shared" ref="M5:M12" si="0">K5/(SUM($K$4:$K$12))</f>
        <v>6.0554525181749724E-2</v>
      </c>
      <c r="O5" s="328" t="s">
        <v>583</v>
      </c>
      <c r="P5">
        <v>43</v>
      </c>
      <c r="R5" s="1">
        <f t="shared" ref="R5:R12" si="1">P5/SUM($P$4:$P$12)</f>
        <v>3.4212243209267538E-4</v>
      </c>
    </row>
    <row r="6" spans="1:18" x14ac:dyDescent="0.25">
      <c r="A6" s="328" t="s">
        <v>583</v>
      </c>
      <c r="B6">
        <v>3.1</v>
      </c>
      <c r="C6" s="1">
        <f t="shared" ref="C6:C13" si="2">B6/100000</f>
        <v>3.1000000000000001E-5</v>
      </c>
      <c r="J6" t="s">
        <v>584</v>
      </c>
      <c r="K6">
        <v>824150</v>
      </c>
      <c r="L6" s="1">
        <v>0.219</v>
      </c>
      <c r="M6" s="1">
        <f t="shared" si="0"/>
        <v>0.21845485632978348</v>
      </c>
      <c r="O6" t="s">
        <v>584</v>
      </c>
      <c r="P6">
        <v>627</v>
      </c>
      <c r="Q6" s="1">
        <v>5.0000000000000001E-3</v>
      </c>
      <c r="R6" s="1">
        <f t="shared" si="1"/>
        <v>4.988622440049011E-3</v>
      </c>
    </row>
    <row r="7" spans="1:18" x14ac:dyDescent="0.25">
      <c r="A7" t="s">
        <v>584</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585</v>
      </c>
      <c r="K9">
        <v>811597</v>
      </c>
      <c r="L9" s="1">
        <v>0.215</v>
      </c>
      <c r="M9" s="1">
        <f t="shared" si="0"/>
        <v>0.21512747198044443</v>
      </c>
      <c r="O9" t="s">
        <v>585</v>
      </c>
      <c r="P9">
        <v>19686</v>
      </c>
      <c r="Q9" s="1">
        <v>0.157</v>
      </c>
      <c r="R9" s="1">
        <f t="shared" si="1"/>
        <v>0.15662842321340484</v>
      </c>
    </row>
    <row r="10" spans="1:18" x14ac:dyDescent="0.25">
      <c r="A10" t="s">
        <v>585</v>
      </c>
      <c r="B10">
        <v>136.1</v>
      </c>
      <c r="C10" s="1">
        <f t="shared" si="2"/>
        <v>1.361E-3</v>
      </c>
      <c r="J10" t="s">
        <v>586</v>
      </c>
      <c r="K10">
        <v>297916</v>
      </c>
      <c r="L10" s="1">
        <v>7.9000000000000001E-2</v>
      </c>
      <c r="M10" s="1">
        <f t="shared" si="0"/>
        <v>7.8967659987070032E-2</v>
      </c>
      <c r="O10" t="s">
        <v>586</v>
      </c>
      <c r="P10">
        <v>26506</v>
      </c>
      <c r="Q10" s="1">
        <v>0.21099999999999999</v>
      </c>
      <c r="R10" s="1">
        <f t="shared" si="1"/>
        <v>0.21089063221042917</v>
      </c>
    </row>
    <row r="11" spans="1:18" x14ac:dyDescent="0.25">
      <c r="A11" t="s">
        <v>586</v>
      </c>
      <c r="B11">
        <v>198.7</v>
      </c>
      <c r="C11" s="1">
        <f t="shared" si="2"/>
        <v>1.9870000000000001E-3</v>
      </c>
      <c r="J11" t="s">
        <v>587</v>
      </c>
      <c r="K11">
        <v>173573</v>
      </c>
      <c r="L11" s="1">
        <v>4.5999999999999999E-2</v>
      </c>
      <c r="M11" s="1">
        <f t="shared" si="0"/>
        <v>4.6008450861772139E-2</v>
      </c>
      <c r="O11" t="s">
        <v>587</v>
      </c>
      <c r="P11">
        <v>33050</v>
      </c>
      <c r="Q11" s="1">
        <v>0.26300000000000001</v>
      </c>
      <c r="R11" s="1">
        <f t="shared" si="1"/>
        <v>0.26295689257355631</v>
      </c>
    </row>
    <row r="12" spans="1:18" x14ac:dyDescent="0.25">
      <c r="A12" t="s">
        <v>587</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612</v>
      </c>
      <c r="C15" s="1"/>
    </row>
    <row r="16" spans="1:18" x14ac:dyDescent="0.25">
      <c r="A16" t="s">
        <v>614</v>
      </c>
      <c r="B16" t="s">
        <v>588</v>
      </c>
      <c r="C16" s="1" t="s">
        <v>589</v>
      </c>
      <c r="D16" t="s">
        <v>619</v>
      </c>
    </row>
    <row r="17" spans="1:4" x14ac:dyDescent="0.25">
      <c r="A17" t="s">
        <v>613</v>
      </c>
      <c r="B17">
        <v>221.2</v>
      </c>
      <c r="C17" s="1">
        <f>B17/100000</f>
        <v>2.212E-3</v>
      </c>
      <c r="D17" s="173">
        <f t="shared" ref="D17:D20" si="3">B17/$B$21</f>
        <v>5.5162094763092266</v>
      </c>
    </row>
    <row r="18" spans="1:4" x14ac:dyDescent="0.25">
      <c r="A18" t="s">
        <v>615</v>
      </c>
      <c r="B18">
        <v>178.1</v>
      </c>
      <c r="C18" s="1">
        <f t="shared" ref="C18:C21" si="4">B18/100000</f>
        <v>1.781E-3</v>
      </c>
      <c r="D18" s="173">
        <f t="shared" si="3"/>
        <v>4.4413965087281788</v>
      </c>
    </row>
    <row r="19" spans="1:4" x14ac:dyDescent="0.25">
      <c r="A19" t="s">
        <v>616</v>
      </c>
      <c r="B19">
        <v>160.69999999999999</v>
      </c>
      <c r="C19" s="1">
        <f t="shared" si="4"/>
        <v>1.6069999999999999E-3</v>
      </c>
      <c r="D19" s="173">
        <f t="shared" si="3"/>
        <v>4.0074812967581046</v>
      </c>
    </row>
    <row r="20" spans="1:4" x14ac:dyDescent="0.25">
      <c r="A20" t="s">
        <v>617</v>
      </c>
      <c r="B20">
        <v>48.4</v>
      </c>
      <c r="C20" s="1">
        <f t="shared" si="4"/>
        <v>4.84E-4</v>
      </c>
      <c r="D20" s="173">
        <f t="shared" si="3"/>
        <v>1.2069825436408976</v>
      </c>
    </row>
    <row r="21" spans="1:4" x14ac:dyDescent="0.25">
      <c r="A21" t="s">
        <v>618</v>
      </c>
      <c r="B21">
        <v>40.1</v>
      </c>
      <c r="C21" s="1">
        <f t="shared" si="4"/>
        <v>4.0099999999999999E-4</v>
      </c>
      <c r="D21">
        <f>B21/$B$21</f>
        <v>1</v>
      </c>
    </row>
    <row r="22" spans="1:4" x14ac:dyDescent="0.25">
      <c r="C22" s="1"/>
    </row>
    <row r="23" spans="1:4" x14ac:dyDescent="0.25">
      <c r="A23" t="s">
        <v>620</v>
      </c>
      <c r="C23" s="1"/>
    </row>
    <row r="24" spans="1:4" x14ac:dyDescent="0.25">
      <c r="A24" t="s">
        <v>621</v>
      </c>
      <c r="C24" s="1"/>
    </row>
    <row r="25" spans="1:4" x14ac:dyDescent="0.25">
      <c r="A25" t="s">
        <v>622</v>
      </c>
      <c r="C25" s="1"/>
    </row>
    <row r="26" spans="1:4" x14ac:dyDescent="0.25">
      <c r="A26" t="s">
        <v>623</v>
      </c>
      <c r="C26" s="1"/>
    </row>
    <row r="27" spans="1:4" x14ac:dyDescent="0.25">
      <c r="A27" t="s">
        <v>624</v>
      </c>
      <c r="C27" s="1"/>
    </row>
    <row r="28" spans="1:4" x14ac:dyDescent="0.25">
      <c r="A28" t="s">
        <v>625</v>
      </c>
      <c r="C28" s="1"/>
    </row>
    <row r="29" spans="1:4" x14ac:dyDescent="0.25">
      <c r="A29" t="s">
        <v>626</v>
      </c>
      <c r="C29" s="1"/>
    </row>
    <row r="30" spans="1:4" x14ac:dyDescent="0.25">
      <c r="A30" t="s">
        <v>627</v>
      </c>
      <c r="C30" s="1"/>
    </row>
    <row r="31" spans="1:4" x14ac:dyDescent="0.25">
      <c r="C31" s="1"/>
    </row>
    <row r="32" spans="1:4" x14ac:dyDescent="0.25">
      <c r="A32" s="272" t="s">
        <v>609</v>
      </c>
    </row>
    <row r="33" spans="1:1" x14ac:dyDescent="0.25">
      <c r="A33" s="273"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2" spans="1:1" x14ac:dyDescent="0.25">
      <c r="A42" s="273" t="s">
        <v>598</v>
      </c>
    </row>
    <row r="43" spans="1:1" x14ac:dyDescent="0.25">
      <c r="A43" t="s">
        <v>599</v>
      </c>
    </row>
    <row r="44" spans="1:1" x14ac:dyDescent="0.25">
      <c r="A44" t="s">
        <v>600</v>
      </c>
    </row>
    <row r="45" spans="1:1" x14ac:dyDescent="0.25">
      <c r="A45" t="s">
        <v>601</v>
      </c>
    </row>
    <row r="46" spans="1:1" x14ac:dyDescent="0.25">
      <c r="A46" t="s">
        <v>7</v>
      </c>
    </row>
    <row r="47" spans="1:1" x14ac:dyDescent="0.25">
      <c r="A47" t="s">
        <v>602</v>
      </c>
    </row>
    <row r="48" spans="1:1" x14ac:dyDescent="0.25">
      <c r="A48" t="s">
        <v>603</v>
      </c>
    </row>
    <row r="49" spans="1:1" x14ac:dyDescent="0.25">
      <c r="A49" t="s">
        <v>604</v>
      </c>
    </row>
    <row r="50" spans="1:1" x14ac:dyDescent="0.25">
      <c r="A50" t="s">
        <v>605</v>
      </c>
    </row>
    <row r="51" spans="1:1" x14ac:dyDescent="0.25">
      <c r="A51" t="s">
        <v>606</v>
      </c>
    </row>
    <row r="52" spans="1:1" x14ac:dyDescent="0.25">
      <c r="A52" t="s">
        <v>9</v>
      </c>
    </row>
    <row r="53" spans="1:1" x14ac:dyDescent="0.25">
      <c r="A53" t="s">
        <v>607</v>
      </c>
    </row>
    <row r="54" spans="1:1" x14ac:dyDescent="0.25">
      <c r="A54" t="s">
        <v>608</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R25" sqref="R25"/>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6" customFormat="1" ht="45" x14ac:dyDescent="0.25">
      <c r="A2" s="295" t="s">
        <v>430</v>
      </c>
      <c r="B2" s="295" t="s">
        <v>431</v>
      </c>
      <c r="C2" s="295" t="s">
        <v>432</v>
      </c>
      <c r="D2" s="295" t="s">
        <v>454</v>
      </c>
      <c r="E2" s="295" t="s">
        <v>442</v>
      </c>
      <c r="F2" s="295" t="s">
        <v>486</v>
      </c>
      <c r="G2" s="295" t="s">
        <v>496</v>
      </c>
      <c r="H2" s="295" t="s">
        <v>498</v>
      </c>
      <c r="O2" s="297" t="s">
        <v>487</v>
      </c>
      <c r="P2" s="298" t="s">
        <v>488</v>
      </c>
      <c r="Q2" s="298" t="s">
        <v>96</v>
      </c>
      <c r="R2" s="298" t="s">
        <v>489</v>
      </c>
      <c r="S2" s="298" t="s">
        <v>490</v>
      </c>
      <c r="T2" s="299" t="s">
        <v>491</v>
      </c>
    </row>
    <row r="3" spans="1:20" s="296" customFormat="1" x14ac:dyDescent="0.25">
      <c r="A3" s="311" t="s">
        <v>551</v>
      </c>
      <c r="B3" s="289">
        <v>10000000</v>
      </c>
      <c r="C3" s="320">
        <v>0.9</v>
      </c>
      <c r="D3" s="250">
        <v>700</v>
      </c>
      <c r="E3" s="311"/>
      <c r="F3" s="311"/>
      <c r="G3" s="311"/>
      <c r="H3" s="311"/>
      <c r="I3" s="312" t="s">
        <v>550</v>
      </c>
      <c r="O3" s="309"/>
      <c r="P3" s="308"/>
      <c r="Q3" s="308"/>
      <c r="R3" s="298"/>
      <c r="S3" s="308"/>
      <c r="T3" s="310"/>
    </row>
    <row r="4" spans="1:20" x14ac:dyDescent="0.25">
      <c r="A4" t="s">
        <v>439</v>
      </c>
      <c r="B4" s="289">
        <v>755000</v>
      </c>
      <c r="C4" s="1">
        <v>2.385E-2</v>
      </c>
      <c r="D4" s="250">
        <v>520</v>
      </c>
      <c r="F4" s="2"/>
      <c r="G4" s="245">
        <v>43918</v>
      </c>
      <c r="H4" s="250">
        <v>644</v>
      </c>
      <c r="O4" s="300">
        <v>43890</v>
      </c>
      <c r="P4" s="239">
        <f ca="1">NOW()</f>
        <v>44170.784177777779</v>
      </c>
      <c r="Q4" s="135">
        <f ca="1">P4-O4</f>
        <v>280.78417777777941</v>
      </c>
      <c r="R4" s="293">
        <v>285550</v>
      </c>
      <c r="S4" s="10">
        <f ca="1">R4/Q4</f>
        <v>1016.9732577524094</v>
      </c>
      <c r="T4" s="83">
        <f ca="1">("31/12/2020"-O4)*S4</f>
        <v>311193.81687223725</v>
      </c>
    </row>
    <row r="5" spans="1:20" x14ac:dyDescent="0.25">
      <c r="A5" s="39" t="s">
        <v>425</v>
      </c>
      <c r="B5" s="290">
        <v>405399</v>
      </c>
      <c r="C5" s="44">
        <v>3.7000000000000002E-3</v>
      </c>
      <c r="D5" s="275">
        <v>297</v>
      </c>
      <c r="E5" s="39"/>
      <c r="F5" s="11"/>
      <c r="G5" s="276">
        <v>43915</v>
      </c>
      <c r="H5" s="275">
        <v>303</v>
      </c>
      <c r="O5" s="41"/>
      <c r="P5" s="16"/>
      <c r="Q5" s="16"/>
      <c r="R5" s="14">
        <f>R4/Projections!B348</f>
        <v>8.6382275222308437E-4</v>
      </c>
      <c r="S5" s="16" t="s">
        <v>532</v>
      </c>
      <c r="T5" s="17"/>
    </row>
    <row r="6" spans="1:20" x14ac:dyDescent="0.25">
      <c r="A6" s="91" t="s">
        <v>426</v>
      </c>
      <c r="B6" s="287">
        <v>116516</v>
      </c>
      <c r="C6" s="317">
        <v>1.1000000000000001E-3</v>
      </c>
      <c r="D6" s="306">
        <v>279</v>
      </c>
      <c r="E6" s="278">
        <v>43994</v>
      </c>
      <c r="F6" s="277">
        <v>116825</v>
      </c>
      <c r="G6" s="245">
        <v>43915</v>
      </c>
      <c r="H6" s="250">
        <v>303</v>
      </c>
      <c r="O6" s="41"/>
      <c r="P6" s="301" t="s">
        <v>95</v>
      </c>
      <c r="Q6" s="301"/>
      <c r="R6" s="301" t="s">
        <v>492</v>
      </c>
      <c r="S6" s="16"/>
      <c r="T6" s="17"/>
    </row>
    <row r="7" spans="1:20" x14ac:dyDescent="0.25">
      <c r="A7" s="91" t="s">
        <v>428</v>
      </c>
      <c r="B7" s="287">
        <v>58209</v>
      </c>
      <c r="C7" s="280">
        <v>3.2000000000000003E-4</v>
      </c>
      <c r="D7" s="250">
        <v>11</v>
      </c>
      <c r="E7" s="278">
        <v>43949</v>
      </c>
      <c r="F7" s="277">
        <v>59265</v>
      </c>
      <c r="G7" s="245">
        <v>43905</v>
      </c>
      <c r="H7" s="250">
        <v>15</v>
      </c>
      <c r="O7" s="302" t="s">
        <v>480</v>
      </c>
      <c r="P7" s="239">
        <v>44168</v>
      </c>
      <c r="Q7" s="16"/>
      <c r="R7" s="293">
        <v>2921</v>
      </c>
      <c r="S7" s="16"/>
      <c r="T7" s="17"/>
    </row>
    <row r="8" spans="1:20" x14ac:dyDescent="0.25">
      <c r="A8" s="91" t="s">
        <v>546</v>
      </c>
      <c r="B8" s="287">
        <v>39457</v>
      </c>
      <c r="C8" s="303">
        <f>B8/Projections!B348</f>
        <v>1.19362123391582E-4</v>
      </c>
      <c r="D8" s="306">
        <f>B8/365</f>
        <v>108.1013698630137</v>
      </c>
      <c r="E8" s="278">
        <v>43940</v>
      </c>
      <c r="F8" s="277">
        <v>40901</v>
      </c>
      <c r="G8" s="245">
        <v>43912</v>
      </c>
      <c r="H8" s="250">
        <v>135</v>
      </c>
      <c r="I8" t="s">
        <v>536</v>
      </c>
      <c r="O8" s="37"/>
      <c r="P8" s="39"/>
      <c r="Q8" s="39"/>
      <c r="R8" s="321">
        <f>R7/Projections!B348</f>
        <v>8.8363728217251959E-6</v>
      </c>
      <c r="S8" s="39"/>
      <c r="T8" s="63"/>
    </row>
    <row r="9" spans="1:20" x14ac:dyDescent="0.25">
      <c r="A9" s="91" t="s">
        <v>427</v>
      </c>
      <c r="B9" s="287">
        <v>36516</v>
      </c>
      <c r="C9" s="280">
        <v>2.4000000000000001E-4</v>
      </c>
      <c r="D9" s="250">
        <v>30</v>
      </c>
      <c r="E9" s="278">
        <v>43938</v>
      </c>
      <c r="F9" s="277">
        <v>37448</v>
      </c>
      <c r="G9" s="245">
        <v>43908</v>
      </c>
      <c r="H9" s="250">
        <v>50</v>
      </c>
    </row>
    <row r="10" spans="1:20" x14ac:dyDescent="0.25">
      <c r="A10" s="91" t="s">
        <v>437</v>
      </c>
      <c r="B10" s="287">
        <v>25000</v>
      </c>
      <c r="C10" s="319">
        <v>0.01</v>
      </c>
      <c r="D10" s="250">
        <v>11</v>
      </c>
      <c r="E10" s="278">
        <v>43933</v>
      </c>
      <c r="F10" s="277">
        <v>25789</v>
      </c>
      <c r="G10" s="245">
        <v>43905</v>
      </c>
      <c r="H10" s="250">
        <v>15</v>
      </c>
    </row>
    <row r="11" spans="1:20" x14ac:dyDescent="0.25">
      <c r="A11" s="91" t="s">
        <v>438</v>
      </c>
      <c r="B11" s="287">
        <v>15000</v>
      </c>
      <c r="C11" s="317">
        <v>2.0699999999999998E-3</v>
      </c>
      <c r="D11" s="250">
        <v>15</v>
      </c>
      <c r="E11" s="278">
        <v>375933</v>
      </c>
      <c r="F11" s="277">
        <v>15526</v>
      </c>
      <c r="G11" s="245">
        <v>43905</v>
      </c>
      <c r="H11" s="250">
        <v>15</v>
      </c>
    </row>
    <row r="12" spans="1:20" x14ac:dyDescent="0.25">
      <c r="A12" s="91" t="s">
        <v>440</v>
      </c>
      <c r="B12" s="287">
        <v>13282</v>
      </c>
      <c r="C12" s="280">
        <v>5.6999999999999998E-4</v>
      </c>
      <c r="D12" s="250">
        <v>29</v>
      </c>
      <c r="E12" s="278">
        <v>43927</v>
      </c>
      <c r="F12" s="277">
        <v>13298</v>
      </c>
      <c r="G12" s="245">
        <v>43908</v>
      </c>
      <c r="H12" s="250">
        <v>50</v>
      </c>
    </row>
    <row r="13" spans="1:20" x14ac:dyDescent="0.25">
      <c r="A13" s="91" t="s">
        <v>555</v>
      </c>
      <c r="B13" s="287">
        <v>6000</v>
      </c>
      <c r="C13" s="303">
        <f>B13/Projections!B348</f>
        <v>1.8150714457497833E-5</v>
      </c>
      <c r="D13" s="306">
        <f>B13/365</f>
        <v>16.438356164383563</v>
      </c>
      <c r="E13" s="278">
        <v>43922</v>
      </c>
      <c r="F13" s="277">
        <v>6407</v>
      </c>
      <c r="G13" s="245">
        <v>43906</v>
      </c>
      <c r="H13" s="250">
        <v>22</v>
      </c>
    </row>
    <row r="14" spans="1:20" x14ac:dyDescent="0.25">
      <c r="A14" s="91" t="s">
        <v>436</v>
      </c>
      <c r="B14" s="287">
        <v>4576</v>
      </c>
      <c r="C14" s="303">
        <v>2.0000000000000002E-5</v>
      </c>
      <c r="D14" s="250">
        <v>2</v>
      </c>
      <c r="E14" s="278">
        <v>43921</v>
      </c>
      <c r="F14" s="277">
        <v>5151</v>
      </c>
      <c r="G14" s="245">
        <v>43892</v>
      </c>
      <c r="H14" s="250">
        <v>5</v>
      </c>
    </row>
    <row r="15" spans="1:20" x14ac:dyDescent="0.25">
      <c r="A15" s="91" t="s">
        <v>434</v>
      </c>
      <c r="B15" s="287">
        <v>4196</v>
      </c>
      <c r="C15" s="303">
        <v>6.0000000000000002E-5</v>
      </c>
      <c r="D15" s="250">
        <v>3.8</v>
      </c>
      <c r="E15" s="278">
        <v>43921</v>
      </c>
      <c r="F15" s="277">
        <v>5151</v>
      </c>
      <c r="G15" s="245">
        <v>43892</v>
      </c>
      <c r="H15" s="250">
        <v>5</v>
      </c>
    </row>
    <row r="16" spans="1:20" x14ac:dyDescent="0.25">
      <c r="A16" s="91" t="s">
        <v>433</v>
      </c>
      <c r="B16" s="287">
        <v>2446</v>
      </c>
      <c r="C16" s="303">
        <v>4.0000000000000003E-5</v>
      </c>
      <c r="D16" s="250">
        <v>8.9</v>
      </c>
      <c r="E16" s="278">
        <v>43918</v>
      </c>
      <c r="F16" s="277">
        <v>2754</v>
      </c>
      <c r="G16" s="245">
        <v>43904</v>
      </c>
      <c r="H16" s="250">
        <v>10</v>
      </c>
    </row>
    <row r="17" spans="1:19" x14ac:dyDescent="0.25">
      <c r="A17" s="91" t="s">
        <v>435</v>
      </c>
      <c r="B17" s="287">
        <v>2216</v>
      </c>
      <c r="C17" s="303">
        <v>4.0000000000000003E-5</v>
      </c>
      <c r="D17" s="250">
        <v>0.36</v>
      </c>
      <c r="E17" s="278">
        <v>43918</v>
      </c>
      <c r="F17" s="277">
        <v>2754</v>
      </c>
      <c r="G17" s="245">
        <v>43890</v>
      </c>
      <c r="H17" s="250">
        <v>1</v>
      </c>
    </row>
    <row r="18" spans="1:19" x14ac:dyDescent="0.25">
      <c r="A18" s="91" t="s">
        <v>548</v>
      </c>
      <c r="B18" s="287">
        <v>1146</v>
      </c>
      <c r="C18" s="305">
        <f>1000/322762018</f>
        <v>3.0982579864772068E-6</v>
      </c>
      <c r="D18" s="304">
        <f>1000/365</f>
        <v>2.7397260273972601</v>
      </c>
      <c r="E18" s="278">
        <v>43915</v>
      </c>
      <c r="F18" s="277">
        <v>1260</v>
      </c>
      <c r="G18" s="245">
        <v>43892</v>
      </c>
      <c r="H18" s="250">
        <v>5</v>
      </c>
      <c r="I18" t="s">
        <v>556</v>
      </c>
    </row>
    <row r="19" spans="1:19" x14ac:dyDescent="0.25">
      <c r="A19" s="91" t="s">
        <v>547</v>
      </c>
      <c r="B19" s="287">
        <v>417</v>
      </c>
      <c r="C19" s="305">
        <f>1000/Projections!B348</f>
        <v>3.025119076249639E-6</v>
      </c>
      <c r="D19" s="304">
        <f>B19/365</f>
        <v>1.1424657534246576</v>
      </c>
      <c r="E19" s="278">
        <v>43912</v>
      </c>
      <c r="F19" s="277">
        <v>509</v>
      </c>
      <c r="G19" s="245">
        <v>43892</v>
      </c>
      <c r="H19" s="250">
        <v>5</v>
      </c>
      <c r="I19" t="s">
        <v>536</v>
      </c>
    </row>
    <row r="20" spans="1:19" x14ac:dyDescent="0.25">
      <c r="A20" s="91" t="s">
        <v>429</v>
      </c>
      <c r="B20" s="287">
        <v>294</v>
      </c>
      <c r="C20" s="305">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6"/>
      <c r="O22" s="296"/>
      <c r="P22" s="296"/>
      <c r="Q22" s="296"/>
      <c r="R22" s="296"/>
      <c r="S22" s="296"/>
    </row>
    <row r="23" spans="1:19" s="296" customFormat="1" ht="45" x14ac:dyDescent="0.25">
      <c r="A23" s="295" t="s">
        <v>452</v>
      </c>
      <c r="B23" s="295" t="s">
        <v>431</v>
      </c>
      <c r="C23" s="295" t="s">
        <v>432</v>
      </c>
      <c r="D23" s="295" t="s">
        <v>454</v>
      </c>
      <c r="E23" s="295" t="s">
        <v>442</v>
      </c>
      <c r="F23" s="295" t="s">
        <v>486</v>
      </c>
      <c r="G23" s="295" t="s">
        <v>496</v>
      </c>
      <c r="H23" s="295" t="s">
        <v>498</v>
      </c>
      <c r="N23"/>
      <c r="O23"/>
      <c r="P23"/>
      <c r="Q23"/>
      <c r="R23"/>
      <c r="S23"/>
    </row>
    <row r="24" spans="1:19" x14ac:dyDescent="0.25">
      <c r="A24" t="s">
        <v>445</v>
      </c>
      <c r="B24" s="289">
        <v>647457</v>
      </c>
      <c r="C24" s="1">
        <f>B24/Projections!$B$348</f>
        <v>1.9586345217513625E-3</v>
      </c>
      <c r="D24" s="274">
        <f t="shared" ref="D24:D34" si="0">B24/365.25</f>
        <v>1772.6406570841889</v>
      </c>
      <c r="E24" s="69"/>
      <c r="F24" s="69"/>
      <c r="G24" s="245">
        <v>43928</v>
      </c>
      <c r="H24" s="274">
        <v>2228</v>
      </c>
    </row>
    <row r="25" spans="1:19" x14ac:dyDescent="0.25">
      <c r="A25" s="39" t="s">
        <v>8</v>
      </c>
      <c r="B25" s="290">
        <v>599108</v>
      </c>
      <c r="C25" s="44">
        <f>B25/Projections!$B$348</f>
        <v>1.8123730395337686E-3</v>
      </c>
      <c r="D25" s="32">
        <f t="shared" si="0"/>
        <v>1640.2683093771388</v>
      </c>
      <c r="E25" s="285"/>
      <c r="F25" s="284"/>
      <c r="G25" s="276">
        <v>43928</v>
      </c>
      <c r="H25" s="32">
        <v>2228</v>
      </c>
    </row>
    <row r="26" spans="1:19" x14ac:dyDescent="0.25">
      <c r="A26" s="91" t="s">
        <v>446</v>
      </c>
      <c r="B26" s="287">
        <v>169936</v>
      </c>
      <c r="C26" s="280">
        <f>B26/Projections!$B$348</f>
        <v>5.1407663534155858E-4</v>
      </c>
      <c r="D26" s="274">
        <f t="shared" si="0"/>
        <v>465.25941136208075</v>
      </c>
      <c r="E26" s="278">
        <v>44056</v>
      </c>
      <c r="F26" s="277">
        <v>170415</v>
      </c>
      <c r="G26" s="245">
        <v>412811</v>
      </c>
      <c r="H26" s="274">
        <v>496</v>
      </c>
    </row>
    <row r="27" spans="1:19" x14ac:dyDescent="0.25">
      <c r="A27" s="307" t="s">
        <v>507</v>
      </c>
      <c r="B27" s="287">
        <v>38000</v>
      </c>
      <c r="C27" s="280">
        <f>B27/Projections!$B$348</f>
        <v>1.1495452489748627E-4</v>
      </c>
      <c r="D27" s="274">
        <f t="shared" si="0"/>
        <v>104.03832991101984</v>
      </c>
      <c r="E27" s="278">
        <v>43939</v>
      </c>
      <c r="F27" s="277">
        <v>39331</v>
      </c>
      <c r="G27" s="245">
        <v>43912</v>
      </c>
      <c r="H27" s="274">
        <v>135</v>
      </c>
    </row>
    <row r="28" spans="1:19" x14ac:dyDescent="0.25">
      <c r="A28" s="91" t="s">
        <v>447</v>
      </c>
      <c r="B28" s="287">
        <v>160201</v>
      </c>
      <c r="C28" s="280">
        <f>B28/Projections!$B$348</f>
        <v>4.8462710113426839E-4</v>
      </c>
      <c r="D28" s="274">
        <f t="shared" si="0"/>
        <v>438.60643394934976</v>
      </c>
      <c r="E28" s="278">
        <v>44047</v>
      </c>
      <c r="F28" s="277">
        <v>160338</v>
      </c>
      <c r="G28" s="245">
        <v>43917</v>
      </c>
      <c r="H28" s="274">
        <v>496</v>
      </c>
    </row>
    <row r="29" spans="1:19" x14ac:dyDescent="0.25">
      <c r="A29" s="99" t="s">
        <v>448</v>
      </c>
      <c r="B29" s="339">
        <v>146383</v>
      </c>
      <c r="C29" s="340">
        <f>B29/Projections!$B$348</f>
        <v>4.4282600573865088E-4</v>
      </c>
      <c r="D29" s="30">
        <f t="shared" si="0"/>
        <v>400.77481177275837</v>
      </c>
      <c r="E29" s="341">
        <v>44034</v>
      </c>
      <c r="F29" s="279">
        <v>146759</v>
      </c>
      <c r="G29" s="294">
        <v>43917</v>
      </c>
      <c r="H29" s="30">
        <v>496</v>
      </c>
    </row>
    <row r="30" spans="1:19" x14ac:dyDescent="0.25">
      <c r="A30" s="91" t="s">
        <v>449</v>
      </c>
      <c r="B30" s="287">
        <v>121404</v>
      </c>
      <c r="C30" s="280">
        <f>B30/Projections!$B$348</f>
        <v>3.6726155633301115E-4</v>
      </c>
      <c r="D30" s="274">
        <f t="shared" si="0"/>
        <v>332.38603696098562</v>
      </c>
      <c r="E30" s="278">
        <v>44001</v>
      </c>
      <c r="F30" s="277">
        <v>121407</v>
      </c>
      <c r="G30" s="245">
        <v>43916</v>
      </c>
      <c r="H30" s="274">
        <v>354</v>
      </c>
    </row>
    <row r="31" spans="1:19" x14ac:dyDescent="0.25">
      <c r="A31" s="91" t="s">
        <v>4</v>
      </c>
      <c r="B31" s="287">
        <v>83564</v>
      </c>
      <c r="C31" s="280">
        <f>B31/Projections!$B$348</f>
        <v>2.5279105048772483E-4</v>
      </c>
      <c r="D31" s="274">
        <f t="shared" si="0"/>
        <v>228.78576317590691</v>
      </c>
      <c r="E31" s="278">
        <v>43963</v>
      </c>
      <c r="F31" s="277">
        <v>83718</v>
      </c>
      <c r="G31" s="245">
        <v>43914</v>
      </c>
      <c r="H31" s="274">
        <v>268</v>
      </c>
    </row>
    <row r="32" spans="1:19" x14ac:dyDescent="0.25">
      <c r="A32" s="91" t="s">
        <v>450</v>
      </c>
      <c r="B32" s="287">
        <v>55672</v>
      </c>
      <c r="C32" s="280">
        <f>B32/Projections!$B$348</f>
        <v>1.6841442921296988E-4</v>
      </c>
      <c r="D32" s="274">
        <f t="shared" si="0"/>
        <v>152.42162902121834</v>
      </c>
      <c r="E32" s="278">
        <v>43948</v>
      </c>
      <c r="F32" s="277">
        <v>56795</v>
      </c>
      <c r="G32" s="245">
        <v>43913</v>
      </c>
      <c r="H32" s="274">
        <v>180</v>
      </c>
    </row>
    <row r="33" spans="1:31" x14ac:dyDescent="0.25">
      <c r="A33" s="91" t="s">
        <v>453</v>
      </c>
      <c r="B33" s="287">
        <v>50633</v>
      </c>
      <c r="C33" s="280">
        <f>B33/Projections!$B$348</f>
        <v>1.5317085418774796E-4</v>
      </c>
      <c r="D33" s="274">
        <f t="shared" si="0"/>
        <v>138.62559890485969</v>
      </c>
      <c r="E33" s="278">
        <v>43945</v>
      </c>
      <c r="F33" s="277">
        <v>52191</v>
      </c>
      <c r="G33" s="245">
        <v>43913</v>
      </c>
      <c r="H33" s="274">
        <v>180</v>
      </c>
    </row>
    <row r="34" spans="1:31" x14ac:dyDescent="0.25">
      <c r="A34" s="91" t="s">
        <v>451</v>
      </c>
      <c r="B34" s="287">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6"/>
      <c r="O36" s="296"/>
      <c r="P36" s="296"/>
      <c r="Q36" s="296"/>
      <c r="R36" s="296"/>
      <c r="S36" s="296"/>
    </row>
    <row r="37" spans="1:31" s="296" customFormat="1" ht="45" x14ac:dyDescent="0.25">
      <c r="A37" s="295" t="s">
        <v>461</v>
      </c>
      <c r="B37" s="295" t="s">
        <v>431</v>
      </c>
      <c r="C37" s="295" t="s">
        <v>432</v>
      </c>
      <c r="D37" s="295" t="s">
        <v>454</v>
      </c>
      <c r="E37" s="295" t="s">
        <v>442</v>
      </c>
      <c r="F37" s="295" t="s">
        <v>486</v>
      </c>
      <c r="G37" s="295" t="s">
        <v>496</v>
      </c>
      <c r="H37" s="295" t="s">
        <v>498</v>
      </c>
      <c r="N37"/>
      <c r="O37"/>
      <c r="P37"/>
      <c r="Q37"/>
      <c r="R37"/>
      <c r="S37"/>
    </row>
    <row r="38" spans="1:31" x14ac:dyDescent="0.25">
      <c r="A38" s="95" t="s">
        <v>493</v>
      </c>
      <c r="B38" s="314">
        <v>675000</v>
      </c>
      <c r="C38" s="316">
        <f>B38/106000000</f>
        <v>6.3679245283018871E-3</v>
      </c>
      <c r="D38" s="180">
        <f>B38/365/2</f>
        <v>924.65753424657532</v>
      </c>
      <c r="E38" s="95"/>
      <c r="F38" s="95"/>
      <c r="G38" s="315">
        <v>43928</v>
      </c>
      <c r="H38" s="180">
        <v>2228</v>
      </c>
      <c r="I38" t="s">
        <v>676</v>
      </c>
      <c r="N38" s="283"/>
      <c r="O38" s="283"/>
      <c r="P38" s="283"/>
      <c r="Q38" s="283"/>
      <c r="R38" s="283"/>
      <c r="S38" s="283"/>
    </row>
    <row r="39" spans="1:31" s="283" customFormat="1" x14ac:dyDescent="0.25">
      <c r="A39" s="291" t="s">
        <v>481</v>
      </c>
      <c r="B39" s="292">
        <v>116000</v>
      </c>
      <c r="C39" s="303">
        <f>B39/179323000</f>
        <v>6.4687742230500273E-4</v>
      </c>
      <c r="D39" s="274">
        <f t="shared" ref="D39:D47" si="1">B39/365</f>
        <v>317.8082191780822</v>
      </c>
      <c r="E39" s="278">
        <v>43992</v>
      </c>
      <c r="F39" s="277">
        <v>116825</v>
      </c>
      <c r="G39" s="245">
        <v>43916</v>
      </c>
      <c r="H39" s="274">
        <v>354</v>
      </c>
      <c r="I39" s="283" t="s">
        <v>500</v>
      </c>
      <c r="N39"/>
      <c r="O39"/>
      <c r="P39"/>
      <c r="Q39"/>
      <c r="R39"/>
      <c r="S39"/>
    </row>
    <row r="40" spans="1:31" x14ac:dyDescent="0.25">
      <c r="A40" s="291" t="s">
        <v>495</v>
      </c>
      <c r="B40" s="292">
        <v>100000</v>
      </c>
      <c r="C40" s="303">
        <f>B40/203200000</f>
        <v>4.921259842519685E-4</v>
      </c>
      <c r="D40" s="274">
        <f t="shared" si="1"/>
        <v>273.97260273972603</v>
      </c>
      <c r="E40" s="278">
        <v>43976</v>
      </c>
      <c r="F40" s="277">
        <v>100025</v>
      </c>
      <c r="G40" s="245">
        <v>43915</v>
      </c>
      <c r="H40" s="274">
        <v>303</v>
      </c>
      <c r="I40" t="s">
        <v>539</v>
      </c>
      <c r="Q40" s="267"/>
    </row>
    <row r="41" spans="1:31" x14ac:dyDescent="0.25">
      <c r="A41" s="291" t="s">
        <v>484</v>
      </c>
      <c r="B41" s="292">
        <v>61000</v>
      </c>
      <c r="C41" s="303">
        <f>B41/Projections!B348</f>
        <v>1.8453226365122797E-4</v>
      </c>
      <c r="D41" s="274">
        <f t="shared" si="1"/>
        <v>167.12328767123287</v>
      </c>
      <c r="E41" s="278">
        <v>43950</v>
      </c>
      <c r="F41" s="277">
        <v>61655</v>
      </c>
      <c r="G41" s="245">
        <v>43913</v>
      </c>
      <c r="H41" s="274">
        <v>180</v>
      </c>
      <c r="V41" s="69"/>
      <c r="W41" s="69"/>
      <c r="AE41" s="69"/>
    </row>
    <row r="42" spans="1:31" x14ac:dyDescent="0.25">
      <c r="A42" s="291" t="s">
        <v>483</v>
      </c>
      <c r="B42" s="292">
        <v>50000</v>
      </c>
      <c r="C42" s="303">
        <f>B42/Projections!B348</f>
        <v>1.5125595381248195E-4</v>
      </c>
      <c r="D42" s="274">
        <f>50000/365</f>
        <v>136.98630136986301</v>
      </c>
      <c r="E42" s="278">
        <v>43944</v>
      </c>
      <c r="F42" s="277">
        <v>50234</v>
      </c>
      <c r="G42" s="245">
        <v>43913</v>
      </c>
      <c r="H42" s="274">
        <v>180</v>
      </c>
      <c r="I42" t="s">
        <v>482</v>
      </c>
    </row>
    <row r="43" spans="1:31" x14ac:dyDescent="0.25">
      <c r="A43" s="91" t="s">
        <v>458</v>
      </c>
      <c r="B43" s="287">
        <v>15520</v>
      </c>
      <c r="C43" s="303">
        <f>B43/106100000</f>
        <v>1.4627709707822807E-4</v>
      </c>
      <c r="D43" s="274">
        <f>B43/(365*4)</f>
        <v>10.63013698630137</v>
      </c>
      <c r="E43" s="278">
        <v>43928</v>
      </c>
      <c r="F43" s="277">
        <v>15526</v>
      </c>
      <c r="G43" s="245">
        <v>43905</v>
      </c>
      <c r="H43" s="274">
        <v>15</v>
      </c>
    </row>
    <row r="44" spans="1:31" x14ac:dyDescent="0.25">
      <c r="A44" s="91" t="s">
        <v>494</v>
      </c>
      <c r="B44" s="287">
        <v>12469</v>
      </c>
      <c r="C44" s="303">
        <f>B44/308745000</f>
        <v>4.0386079126787482E-5</v>
      </c>
      <c r="D44" s="274">
        <f t="shared" si="1"/>
        <v>34.161643835616438</v>
      </c>
      <c r="E44" s="278">
        <v>43927</v>
      </c>
      <c r="F44" s="277">
        <v>13298</v>
      </c>
      <c r="G44" s="245">
        <v>43908</v>
      </c>
      <c r="H44" s="274">
        <v>50</v>
      </c>
      <c r="I44" t="s">
        <v>499</v>
      </c>
    </row>
    <row r="45" spans="1:31" x14ac:dyDescent="0.25">
      <c r="A45" s="91" t="s">
        <v>456</v>
      </c>
      <c r="B45" s="287">
        <v>10771</v>
      </c>
      <c r="C45" s="303">
        <f>B45/80000000</f>
        <v>1.3463750000000001E-4</v>
      </c>
      <c r="D45" s="274">
        <f t="shared" si="1"/>
        <v>29.509589041095889</v>
      </c>
      <c r="E45" s="278">
        <v>43926</v>
      </c>
      <c r="F45" s="277">
        <v>11793</v>
      </c>
      <c r="G45" s="245">
        <v>43908</v>
      </c>
      <c r="H45" s="274">
        <v>50</v>
      </c>
    </row>
    <row r="46" spans="1:31" x14ac:dyDescent="0.25">
      <c r="A46" s="91" t="s">
        <v>459</v>
      </c>
      <c r="B46" s="287">
        <v>10000</v>
      </c>
      <c r="C46" s="303">
        <f>B46/248710000</f>
        <v>4.0207470548027825E-5</v>
      </c>
      <c r="D46" s="274">
        <f>10000/(365*10)</f>
        <v>2.7397260273972601</v>
      </c>
      <c r="E46" s="278">
        <v>43925</v>
      </c>
      <c r="F46" s="277">
        <v>10384</v>
      </c>
      <c r="G46" s="245">
        <v>43892</v>
      </c>
      <c r="H46" s="274">
        <v>5</v>
      </c>
      <c r="I46" t="s">
        <v>460</v>
      </c>
    </row>
    <row r="47" spans="1:31" x14ac:dyDescent="0.25">
      <c r="A47" s="91" t="s">
        <v>457</v>
      </c>
      <c r="B47" s="287">
        <v>5000</v>
      </c>
      <c r="C47" s="317">
        <f>B47/3929200</f>
        <v>1.2725236689402422E-3</v>
      </c>
      <c r="D47" s="274">
        <f t="shared" si="1"/>
        <v>13.698630136986301</v>
      </c>
      <c r="E47" s="278">
        <v>43921</v>
      </c>
      <c r="F47" s="277">
        <v>5151</v>
      </c>
      <c r="G47" s="245">
        <v>43905</v>
      </c>
      <c r="H47" s="274">
        <v>15</v>
      </c>
    </row>
    <row r="48" spans="1:31" x14ac:dyDescent="0.25">
      <c r="A48" s="91" t="s">
        <v>485</v>
      </c>
      <c r="B48" s="287">
        <v>3145</v>
      </c>
      <c r="C48" s="303">
        <f>B48/151326000</f>
        <v>2.0782945429073657E-5</v>
      </c>
      <c r="D48" s="274">
        <f>B48/365</f>
        <v>8.6164383561643838</v>
      </c>
      <c r="E48" s="278">
        <v>43919</v>
      </c>
      <c r="F48" s="277">
        <v>3251</v>
      </c>
      <c r="G48" s="245">
        <v>43904</v>
      </c>
      <c r="H48" s="274">
        <v>10</v>
      </c>
    </row>
    <row r="50" spans="1:19" x14ac:dyDescent="0.25">
      <c r="A50" s="272" t="s">
        <v>462</v>
      </c>
      <c r="N50" s="296"/>
      <c r="O50" s="296"/>
      <c r="P50" s="296"/>
      <c r="Q50" s="296"/>
      <c r="R50" s="296"/>
      <c r="S50" s="296"/>
    </row>
    <row r="51" spans="1:19" s="296" customFormat="1" ht="45" x14ac:dyDescent="0.25">
      <c r="A51" s="295" t="s">
        <v>462</v>
      </c>
      <c r="B51" s="295" t="s">
        <v>431</v>
      </c>
      <c r="C51" s="295" t="s">
        <v>432</v>
      </c>
      <c r="D51" s="295" t="s">
        <v>454</v>
      </c>
      <c r="E51" s="295" t="s">
        <v>442</v>
      </c>
      <c r="F51" s="295" t="s">
        <v>486</v>
      </c>
      <c r="G51" s="295" t="s">
        <v>497</v>
      </c>
      <c r="H51" s="295" t="s">
        <v>498</v>
      </c>
      <c r="N51"/>
      <c r="O51"/>
      <c r="P51"/>
      <c r="Q51"/>
      <c r="R51"/>
      <c r="S51"/>
    </row>
    <row r="52" spans="1:19" x14ac:dyDescent="0.25">
      <c r="A52" s="91" t="s">
        <v>463</v>
      </c>
      <c r="B52" s="287">
        <v>12000</v>
      </c>
      <c r="C52" s="322">
        <f>B52/76212168</f>
        <v>1.5745517172533393E-4</v>
      </c>
      <c r="D52" s="91"/>
      <c r="E52" s="278">
        <v>43927</v>
      </c>
      <c r="F52" s="277">
        <v>13298</v>
      </c>
      <c r="G52" s="208"/>
    </row>
    <row r="53" spans="1:19" x14ac:dyDescent="0.25">
      <c r="A53" s="91" t="s">
        <v>464</v>
      </c>
      <c r="B53" s="287">
        <v>3389</v>
      </c>
      <c r="C53" s="322">
        <f>B53/76000000</f>
        <v>4.4592105263157893E-5</v>
      </c>
      <c r="D53" s="91"/>
      <c r="E53" s="278">
        <v>43920</v>
      </c>
      <c r="F53" s="277">
        <v>4066</v>
      </c>
    </row>
    <row r="54" spans="1:19" x14ac:dyDescent="0.25">
      <c r="A54" s="91" t="s">
        <v>465</v>
      </c>
      <c r="B54" s="287">
        <v>3000</v>
      </c>
      <c r="C54" s="322">
        <f>B54/80000000</f>
        <v>3.7499999999999997E-5</v>
      </c>
      <c r="D54" s="91"/>
      <c r="E54" s="278">
        <v>43919</v>
      </c>
      <c r="F54" s="277">
        <v>3251</v>
      </c>
    </row>
    <row r="55" spans="1:19" x14ac:dyDescent="0.25">
      <c r="A55" s="91" t="s">
        <v>466</v>
      </c>
      <c r="B55" s="287">
        <v>2996</v>
      </c>
      <c r="C55" s="322">
        <f>B55/281500000</f>
        <v>1.0642984014209592E-5</v>
      </c>
      <c r="D55" s="91"/>
      <c r="E55" s="278">
        <v>43919</v>
      </c>
      <c r="F55" s="277">
        <v>2996</v>
      </c>
    </row>
    <row r="56" spans="1:19" x14ac:dyDescent="0.25">
      <c r="A56" s="282" t="s">
        <v>467</v>
      </c>
      <c r="B56" s="288">
        <v>2982</v>
      </c>
      <c r="C56" s="354">
        <f>B56/330000000</f>
        <v>9.0363636363636366E-6</v>
      </c>
      <c r="D56" s="282"/>
      <c r="E56" s="281">
        <v>43919</v>
      </c>
      <c r="F56" s="286">
        <v>2996</v>
      </c>
      <c r="G56" s="39"/>
      <c r="H56" s="39"/>
    </row>
    <row r="57" spans="1:19" x14ac:dyDescent="0.25">
      <c r="A57" s="99" t="s">
        <v>468</v>
      </c>
      <c r="B57" s="339">
        <v>2823</v>
      </c>
      <c r="C57" s="353">
        <f>B57/123000000</f>
        <v>2.2951219512195121E-5</v>
      </c>
      <c r="D57" s="99"/>
      <c r="E57" s="341">
        <v>43919</v>
      </c>
      <c r="F57" s="279">
        <v>2996</v>
      </c>
      <c r="G57" s="294">
        <v>44168</v>
      </c>
      <c r="H57" s="30">
        <v>2921</v>
      </c>
    </row>
    <row r="58" spans="1:19" x14ac:dyDescent="0.25">
      <c r="A58" s="91" t="s">
        <v>473</v>
      </c>
      <c r="B58" s="287">
        <v>2500</v>
      </c>
      <c r="C58" s="322">
        <f>B58/38559000</f>
        <v>6.4835706320184657E-5</v>
      </c>
      <c r="D58" s="91"/>
      <c r="E58" s="278">
        <v>43918</v>
      </c>
      <c r="F58" s="279">
        <v>2754</v>
      </c>
      <c r="G58" s="245">
        <v>43935</v>
      </c>
      <c r="H58" s="274">
        <v>2566</v>
      </c>
    </row>
    <row r="59" spans="1:19" x14ac:dyDescent="0.25">
      <c r="A59" s="91" t="s">
        <v>469</v>
      </c>
      <c r="B59" s="287">
        <v>2467</v>
      </c>
      <c r="C59" s="322">
        <f>B59/132000000</f>
        <v>1.868939393939394E-5</v>
      </c>
      <c r="D59" s="91"/>
      <c r="E59" s="278">
        <v>43918</v>
      </c>
      <c r="F59" s="279">
        <v>2754</v>
      </c>
      <c r="G59" s="245">
        <v>43935</v>
      </c>
      <c r="H59" s="274">
        <v>2566</v>
      </c>
    </row>
    <row r="60" spans="1:19" x14ac:dyDescent="0.25">
      <c r="A60" s="91" t="s">
        <v>470</v>
      </c>
      <c r="B60" s="287">
        <v>2209</v>
      </c>
      <c r="C60" s="322">
        <f>B60/62970000</f>
        <v>3.5080196919167858E-5</v>
      </c>
      <c r="D60" s="91"/>
      <c r="E60" s="278">
        <v>43918</v>
      </c>
      <c r="F60" s="279">
        <v>2754</v>
      </c>
      <c r="G60" s="245">
        <v>43928</v>
      </c>
      <c r="H60" s="274">
        <v>2228</v>
      </c>
    </row>
    <row r="61" spans="1:19" x14ac:dyDescent="0.25">
      <c r="A61" s="91" t="s">
        <v>471</v>
      </c>
      <c r="B61" s="287">
        <v>2000</v>
      </c>
      <c r="C61" s="322">
        <f>B61/63000000</f>
        <v>3.1746031746031745E-5</v>
      </c>
      <c r="D61" s="91"/>
      <c r="E61" s="278">
        <v>43917</v>
      </c>
      <c r="F61" s="279">
        <v>2110</v>
      </c>
      <c r="G61" s="245">
        <v>43928</v>
      </c>
      <c r="H61" s="274">
        <v>2228</v>
      </c>
    </row>
    <row r="62" spans="1:19" x14ac:dyDescent="0.25">
      <c r="A62" s="91" t="s">
        <v>477</v>
      </c>
      <c r="B62" s="287">
        <v>2000</v>
      </c>
      <c r="C62" s="322">
        <f>B62/63000000</f>
        <v>3.1746031746031745E-5</v>
      </c>
      <c r="D62" s="91"/>
      <c r="E62" s="278">
        <v>43917</v>
      </c>
      <c r="F62" s="279">
        <v>2110</v>
      </c>
      <c r="G62" s="245">
        <v>43928</v>
      </c>
      <c r="H62" s="274">
        <v>2228</v>
      </c>
    </row>
    <row r="63" spans="1:19" x14ac:dyDescent="0.25">
      <c r="A63" s="91" t="s">
        <v>474</v>
      </c>
      <c r="B63" s="287">
        <v>1836</v>
      </c>
      <c r="C63" s="318">
        <f>B63/290000000</f>
        <v>6.3310344827586209E-6</v>
      </c>
      <c r="D63" s="91"/>
      <c r="E63" s="278">
        <v>43917</v>
      </c>
      <c r="F63" s="279">
        <v>2110</v>
      </c>
      <c r="G63" s="245">
        <v>43928</v>
      </c>
      <c r="H63" s="274">
        <v>2228</v>
      </c>
    </row>
    <row r="64" spans="1:19" x14ac:dyDescent="0.25">
      <c r="A64" s="91" t="s">
        <v>472</v>
      </c>
      <c r="B64" s="287">
        <v>1700</v>
      </c>
      <c r="C64" s="318">
        <f>B64/226545805</f>
        <v>7.5040012327749791E-6</v>
      </c>
      <c r="D64" s="91"/>
      <c r="E64" s="278">
        <v>43917</v>
      </c>
      <c r="F64" s="279">
        <v>2110</v>
      </c>
      <c r="G64" s="245">
        <v>43928</v>
      </c>
      <c r="H64" s="274">
        <v>2228</v>
      </c>
    </row>
    <row r="65" spans="1:8" x14ac:dyDescent="0.25">
      <c r="A65" s="91" t="s">
        <v>476</v>
      </c>
      <c r="B65" s="287">
        <v>1173</v>
      </c>
      <c r="C65" s="318">
        <f>B65/132164569</f>
        <v>8.8752984924424032E-6</v>
      </c>
      <c r="D65" s="91"/>
      <c r="E65" s="278">
        <v>43915</v>
      </c>
      <c r="F65" s="279">
        <v>1260</v>
      </c>
      <c r="G65" s="245">
        <v>43922</v>
      </c>
      <c r="H65" s="274">
        <v>1243</v>
      </c>
    </row>
    <row r="66" spans="1:8" x14ac:dyDescent="0.25">
      <c r="A66" s="91" t="s">
        <v>475</v>
      </c>
      <c r="B66" s="287">
        <v>1021</v>
      </c>
      <c r="C66" s="322">
        <f>B66/80000000</f>
        <v>1.27625E-5</v>
      </c>
      <c r="D66" s="91"/>
      <c r="E66" s="278">
        <v>43915</v>
      </c>
      <c r="F66" s="279">
        <v>1260</v>
      </c>
      <c r="G66" s="245">
        <v>43921</v>
      </c>
      <c r="H66" s="274">
        <v>1085</v>
      </c>
    </row>
    <row r="67" spans="1:8" x14ac:dyDescent="0.25">
      <c r="A67" s="91" t="s">
        <v>478</v>
      </c>
      <c r="B67" s="287">
        <v>1000</v>
      </c>
      <c r="C67" s="318">
        <f>B67/106021000</f>
        <v>9.4320936418256767E-6</v>
      </c>
      <c r="D67" s="91"/>
      <c r="E67" s="278">
        <v>43915</v>
      </c>
      <c r="F67" s="279">
        <v>1260</v>
      </c>
      <c r="G67" s="245">
        <v>43921</v>
      </c>
      <c r="H67" s="274">
        <v>1085</v>
      </c>
    </row>
    <row r="68" spans="1:8" x14ac:dyDescent="0.25">
      <c r="A68" s="91" t="s">
        <v>479</v>
      </c>
      <c r="B68" s="287">
        <v>918</v>
      </c>
      <c r="C68" s="318">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2020-12-05T07:49:13Z</dcterms:modified>
</cp:coreProperties>
</file>