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FE127EF5-9ABC-49D5-88D1-8F6A07DA5C13}"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3" i="1" l="1"/>
  <c r="O53" i="1" l="1"/>
  <c r="L53" i="1" l="1"/>
  <c r="M53" i="1"/>
  <c r="N53" i="1"/>
  <c r="K53" i="1"/>
  <c r="I53" i="1"/>
  <c r="J53" i="1"/>
  <c r="H53" i="1"/>
  <c r="G53" i="1"/>
  <c r="E34" i="4" l="1"/>
  <c r="C45" i="4"/>
  <c r="H25" i="1" l="1"/>
  <c r="I25" i="1" l="1"/>
  <c r="G51" i="1"/>
  <c r="G36" i="1" s="1"/>
  <c r="N7" i="1"/>
  <c r="N6" i="1"/>
  <c r="M5" i="1"/>
  <c r="K4" i="1"/>
  <c r="J3" i="1"/>
  <c r="F2" i="1"/>
  <c r="P14" i="1"/>
  <c r="O13" i="1"/>
  <c r="N10" i="1"/>
  <c r="N9" i="1"/>
  <c r="G49" i="1"/>
  <c r="G48" i="1"/>
  <c r="J25" i="1" l="1"/>
  <c r="G37" i="1"/>
  <c r="G38" i="1"/>
  <c r="G39" i="1" s="1"/>
  <c r="U50" i="1"/>
  <c r="V50" i="1" s="1"/>
  <c r="W50" i="1" s="1"/>
  <c r="X50" i="1" s="1"/>
  <c r="Y50" i="1" s="1"/>
  <c r="Z50" i="1" s="1"/>
  <c r="AA50" i="1" s="1"/>
  <c r="AB50" i="1" s="1"/>
  <c r="AC50" i="1" s="1"/>
  <c r="AD50" i="1" s="1"/>
  <c r="AE50" i="1" s="1"/>
  <c r="K25" i="1" l="1"/>
  <c r="G34" i="1"/>
  <c r="G35" i="1" s="1"/>
  <c r="G30" i="1"/>
  <c r="G32" i="1" s="1"/>
  <c r="G33" i="1" s="1"/>
  <c r="C12" i="5"/>
  <c r="C7" i="5"/>
  <c r="C8" i="5" s="1"/>
  <c r="C9" i="5" s="1"/>
  <c r="C21" i="5"/>
  <c r="C18" i="5"/>
  <c r="C15" i="5"/>
  <c r="C24" i="5"/>
  <c r="C3" i="5"/>
  <c r="L25" i="1" l="1"/>
  <c r="C30" i="5"/>
  <c r="G28" i="1"/>
  <c r="G29" i="1" s="1"/>
  <c r="C34" i="5"/>
  <c r="M25" i="1" l="1"/>
  <c r="C13" i="5"/>
  <c r="C14" i="5" s="1"/>
  <c r="G31" i="1"/>
  <c r="AG27" i="1"/>
  <c r="AG26" i="1" s="1"/>
  <c r="AG30" i="1"/>
  <c r="AF26" i="1"/>
  <c r="AF27" i="1" s="1"/>
  <c r="G44" i="1"/>
  <c r="G42" i="1"/>
  <c r="G45" i="1"/>
  <c r="G43" i="1"/>
  <c r="N25" i="1" l="1"/>
  <c r="AG31" i="1"/>
  <c r="AG32" i="1"/>
  <c r="AG40" i="1"/>
  <c r="AG34" i="1"/>
  <c r="AG38" i="1"/>
  <c r="AG36" i="1"/>
  <c r="AF50" i="1"/>
  <c r="AG50" i="1" s="1"/>
  <c r="AF34" i="1"/>
  <c r="AF30" i="1"/>
  <c r="AF32" i="1" s="1"/>
  <c r="C22" i="5"/>
  <c r="C23" i="5" s="1"/>
  <c r="C35" i="5"/>
  <c r="C40" i="5" s="1"/>
  <c r="C25" i="5"/>
  <c r="C19" i="5"/>
  <c r="C20" i="5" s="1"/>
  <c r="C16" i="5"/>
  <c r="C17" i="5" s="1"/>
  <c r="C31" i="5"/>
  <c r="AP25" i="4"/>
  <c r="E31" i="4"/>
  <c r="B17" i="4" s="1"/>
  <c r="B18" i="4" l="1"/>
  <c r="H21" i="4" s="1"/>
  <c r="V24" i="4" s="1"/>
  <c r="K20" i="4"/>
  <c r="T25" i="1"/>
  <c r="P25" i="1" s="1"/>
  <c r="P51"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R25" i="1" l="1"/>
  <c r="R48" i="1" s="1"/>
  <c r="O25" i="1"/>
  <c r="S25" i="1"/>
  <c r="R49" i="1"/>
  <c r="R51" i="1"/>
  <c r="R41" i="1"/>
  <c r="Q25" i="1"/>
  <c r="S48" i="1"/>
  <c r="S49" i="1"/>
  <c r="S51" i="1"/>
  <c r="S41" i="1"/>
  <c r="U25" i="1"/>
  <c r="E18" i="4"/>
  <c r="E19" i="4" s="1"/>
  <c r="H17" i="4"/>
  <c r="B19" i="4"/>
  <c r="G81" i="1"/>
  <c r="G82" i="1" s="1"/>
  <c r="Q48" i="1" l="1"/>
  <c r="Q51" i="1"/>
  <c r="Q49" i="1"/>
  <c r="Q41" i="1"/>
  <c r="O48" i="1"/>
  <c r="O41" i="1"/>
  <c r="O51" i="1"/>
  <c r="O49" i="1"/>
  <c r="P48" i="1"/>
  <c r="P41" i="1"/>
  <c r="P49" i="1"/>
  <c r="V25" i="1"/>
  <c r="H18" i="4"/>
  <c r="H19" i="4" s="1"/>
  <c r="Q20" i="4"/>
  <c r="K17" i="4"/>
  <c r="T20" i="4" s="1"/>
  <c r="K21" i="4"/>
  <c r="Y24" i="4" s="1"/>
  <c r="B14" i="3"/>
  <c r="W25" i="1" l="1"/>
  <c r="K18" i="4"/>
  <c r="K19" i="4" s="1"/>
  <c r="N22" i="4"/>
  <c r="N17" i="4"/>
  <c r="W20" i="4" s="1"/>
  <c r="N21" i="4"/>
  <c r="AB24" i="4" s="1"/>
  <c r="X25" i="1" l="1"/>
  <c r="Q17" i="4"/>
  <c r="T17" i="4" s="1"/>
  <c r="N18" i="4"/>
  <c r="N19" i="4" s="1"/>
  <c r="Q21" i="4"/>
  <c r="AE24" i="4" s="1"/>
  <c r="Q22" i="4"/>
  <c r="B74" i="1"/>
  <c r="B72" i="1"/>
  <c r="B70" i="1"/>
  <c r="B68" i="1"/>
  <c r="B66" i="1"/>
  <c r="B64" i="1"/>
  <c r="B62" i="1"/>
  <c r="B60" i="1"/>
  <c r="B58" i="1"/>
  <c r="Y25" i="1" l="1"/>
  <c r="T18" i="4"/>
  <c r="T19" i="4" s="1"/>
  <c r="AC20" i="4"/>
  <c r="Q18" i="4"/>
  <c r="Q19" i="4" s="1"/>
  <c r="Z20" i="4"/>
  <c r="T21" i="4"/>
  <c r="AH24" i="4" s="1"/>
  <c r="T22" i="4"/>
  <c r="T23" i="4"/>
  <c r="W17" i="4"/>
  <c r="W22" i="4" l="1"/>
  <c r="W23" i="4"/>
  <c r="W21" i="4"/>
  <c r="AK24" i="4" s="1"/>
  <c r="Z25" i="1"/>
  <c r="W18" i="4"/>
  <c r="W19" i="4" s="1"/>
  <c r="AF20" i="4"/>
  <c r="Z21" i="4"/>
  <c r="AN24" i="4" s="1"/>
  <c r="Z23" i="4"/>
  <c r="Z22" i="4"/>
  <c r="Z17" i="4"/>
  <c r="C91" i="1"/>
  <c r="C89" i="1"/>
  <c r="C87" i="1"/>
  <c r="C85" i="1"/>
  <c r="C83" i="1"/>
  <c r="C81" i="1"/>
  <c r="G40" i="1"/>
  <c r="C5" i="3"/>
  <c r="D60" i="1" s="1"/>
  <c r="AA25" i="1" l="1"/>
  <c r="Z18" i="4"/>
  <c r="Z19" i="4" s="1"/>
  <c r="AI20" i="4"/>
  <c r="AC21" i="4"/>
  <c r="AC22" i="4"/>
  <c r="AC23" i="4"/>
  <c r="AC17" i="4"/>
  <c r="AF85" i="1"/>
  <c r="AF86" i="1" s="1"/>
  <c r="AF40" i="1"/>
  <c r="AF81" i="1"/>
  <c r="AF82" i="1" s="1"/>
  <c r="AF87" i="1"/>
  <c r="AF88" i="1" s="1"/>
  <c r="AF83" i="1"/>
  <c r="AF84" i="1" s="1"/>
  <c r="AF91" i="1"/>
  <c r="AF89" i="1"/>
  <c r="AF90" i="1" s="1"/>
  <c r="AF60" i="1"/>
  <c r="AF61" i="1"/>
  <c r="C7" i="3"/>
  <c r="D64" i="1" s="1"/>
  <c r="C4" i="3"/>
  <c r="D58" i="1" s="1"/>
  <c r="C12" i="3"/>
  <c r="D74" i="1" s="1"/>
  <c r="C11" i="3"/>
  <c r="D72" i="1" s="1"/>
  <c r="C10" i="3"/>
  <c r="D70" i="1" s="1"/>
  <c r="C9" i="3"/>
  <c r="D68" i="1" s="1"/>
  <c r="C8" i="3"/>
  <c r="D66" i="1" s="1"/>
  <c r="C6" i="3"/>
  <c r="D62" i="1" s="1"/>
  <c r="C16" i="1"/>
  <c r="C10" i="5" s="1"/>
  <c r="C26" i="5" s="1"/>
  <c r="C27" i="5" s="1"/>
  <c r="C17" i="1"/>
  <c r="C11" i="5" s="1"/>
  <c r="C28" i="5" s="1"/>
  <c r="C29" i="5" s="1"/>
  <c r="G61" i="1"/>
  <c r="G91" i="1"/>
  <c r="G89" i="1"/>
  <c r="G87" i="1"/>
  <c r="G88" i="1" s="1"/>
  <c r="G85" i="1"/>
  <c r="G86" i="1" s="1"/>
  <c r="G83" i="1"/>
  <c r="G84" i="1" s="1"/>
  <c r="C60" i="1"/>
  <c r="C62" i="1"/>
  <c r="C64" i="1"/>
  <c r="C66" i="1"/>
  <c r="C68" i="1"/>
  <c r="C70" i="1"/>
  <c r="C72" i="1"/>
  <c r="C74" i="1"/>
  <c r="C58" i="1"/>
  <c r="C13" i="2"/>
  <c r="D13" i="2" s="1"/>
  <c r="C25" i="2"/>
  <c r="D25" i="2" s="1"/>
  <c r="C37" i="2"/>
  <c r="D37" i="2" s="1"/>
  <c r="D49" i="2"/>
  <c r="C49" i="2"/>
  <c r="C61" i="2"/>
  <c r="D61" i="2" s="1"/>
  <c r="D73" i="2"/>
  <c r="C73" i="2"/>
  <c r="C85" i="2"/>
  <c r="D85" i="2" s="1"/>
  <c r="C107" i="2"/>
  <c r="D107" i="2" s="1"/>
  <c r="C97" i="2"/>
  <c r="D97" i="2" s="1"/>
  <c r="G27" i="1"/>
  <c r="H26" i="1"/>
  <c r="AF62" i="1" l="1"/>
  <c r="G75" i="1"/>
  <c r="AB25" i="1"/>
  <c r="AC18" i="4"/>
  <c r="AC19" i="4" s="1"/>
  <c r="AL20" i="4"/>
  <c r="H36" i="1"/>
  <c r="H38" i="1"/>
  <c r="H39" i="1" s="1"/>
  <c r="H51" i="1"/>
  <c r="H49" i="1"/>
  <c r="H34" i="1"/>
  <c r="H35" i="1" s="1"/>
  <c r="H42" i="1"/>
  <c r="H45" i="1"/>
  <c r="H48" i="1"/>
  <c r="H43" i="1"/>
  <c r="H44" i="1"/>
  <c r="AF93" i="1"/>
  <c r="H30" i="1"/>
  <c r="AF22" i="4"/>
  <c r="AF23" i="4"/>
  <c r="AF21" i="4"/>
  <c r="AF17" i="4"/>
  <c r="G59" i="1"/>
  <c r="G58" i="1"/>
  <c r="AF94" i="1"/>
  <c r="G67" i="1"/>
  <c r="G66" i="1"/>
  <c r="AF70" i="1"/>
  <c r="AF71" i="1"/>
  <c r="AF72" i="1"/>
  <c r="AF73" i="1"/>
  <c r="AF66" i="1"/>
  <c r="AF67" i="1"/>
  <c r="AF64" i="1"/>
  <c r="AF65" i="1"/>
  <c r="AF69" i="1"/>
  <c r="AF68" i="1"/>
  <c r="G70" i="1"/>
  <c r="G69" i="1"/>
  <c r="G72" i="1"/>
  <c r="AF58" i="1"/>
  <c r="AF59" i="1"/>
  <c r="AF63" i="1"/>
  <c r="AF75" i="1"/>
  <c r="AF74" i="1"/>
  <c r="G62" i="1"/>
  <c r="I26" i="1"/>
  <c r="I34" i="1" s="1"/>
  <c r="I35" i="1" s="1"/>
  <c r="H85" i="1"/>
  <c r="H86" i="1" s="1"/>
  <c r="G63" i="1"/>
  <c r="H74" i="1"/>
  <c r="H83" i="1"/>
  <c r="H84" i="1" s="1"/>
  <c r="G71" i="1"/>
  <c r="H72" i="1"/>
  <c r="H91" i="1"/>
  <c r="G60" i="1"/>
  <c r="G68" i="1"/>
  <c r="H89" i="1"/>
  <c r="H90" i="1" s="1"/>
  <c r="H87" i="1"/>
  <c r="H88" i="1" s="1"/>
  <c r="H70" i="1"/>
  <c r="H63" i="1"/>
  <c r="H67" i="1"/>
  <c r="H71" i="1"/>
  <c r="H75" i="1"/>
  <c r="G93" i="1"/>
  <c r="H81" i="1"/>
  <c r="H82" i="1" s="1"/>
  <c r="G64" i="1"/>
  <c r="H60" i="1"/>
  <c r="G65" i="1"/>
  <c r="G73" i="1"/>
  <c r="H64" i="1"/>
  <c r="H61" i="1"/>
  <c r="H68" i="1"/>
  <c r="G74" i="1"/>
  <c r="H58" i="1"/>
  <c r="H65" i="1"/>
  <c r="H69" i="1"/>
  <c r="H73" i="1"/>
  <c r="H62" i="1"/>
  <c r="H59" i="1"/>
  <c r="H66" i="1"/>
  <c r="G90" i="1"/>
  <c r="G94" i="1" s="1"/>
  <c r="H27" i="1"/>
  <c r="H40" i="1"/>
  <c r="AC25" i="1" l="1"/>
  <c r="AF18" i="4"/>
  <c r="AF19" i="4" s="1"/>
  <c r="AO20" i="4"/>
  <c r="H37" i="1"/>
  <c r="H28" i="1" s="1"/>
  <c r="H29" i="1" s="1"/>
  <c r="I83" i="1"/>
  <c r="I84" i="1" s="1"/>
  <c r="I64" i="1"/>
  <c r="I38" i="1"/>
  <c r="I39" i="1" s="1"/>
  <c r="I89" i="1"/>
  <c r="I90" i="1" s="1"/>
  <c r="I60" i="1"/>
  <c r="I59" i="1"/>
  <c r="I81" i="1"/>
  <c r="I82" i="1" s="1"/>
  <c r="I61" i="1"/>
  <c r="I27" i="1"/>
  <c r="H31" i="1"/>
  <c r="H32" i="1"/>
  <c r="H33" i="1" s="1"/>
  <c r="I49" i="1"/>
  <c r="I51" i="1"/>
  <c r="J26" i="1"/>
  <c r="J34" i="1" s="1"/>
  <c r="J35" i="1" s="1"/>
  <c r="I30" i="1"/>
  <c r="I40" i="1"/>
  <c r="I74" i="1"/>
  <c r="I73" i="1"/>
  <c r="I85" i="1"/>
  <c r="I86" i="1" s="1"/>
  <c r="I69" i="1"/>
  <c r="I68" i="1"/>
  <c r="I44" i="1"/>
  <c r="I42" i="1"/>
  <c r="I45" i="1"/>
  <c r="I48" i="1"/>
  <c r="I43" i="1"/>
  <c r="AI23" i="4"/>
  <c r="AI21" i="4"/>
  <c r="AI22" i="4"/>
  <c r="AI17" i="4"/>
  <c r="AI18" i="4" s="1"/>
  <c r="AF76" i="1"/>
  <c r="AF77" i="1"/>
  <c r="G77" i="1"/>
  <c r="H77" i="1"/>
  <c r="I71" i="1"/>
  <c r="I70" i="1"/>
  <c r="I66" i="1"/>
  <c r="I63" i="1"/>
  <c r="I65" i="1"/>
  <c r="I58" i="1"/>
  <c r="I67" i="1"/>
  <c r="I72" i="1"/>
  <c r="I91" i="1"/>
  <c r="I62" i="1"/>
  <c r="I87" i="1"/>
  <c r="I88" i="1" s="1"/>
  <c r="I75" i="1"/>
  <c r="H93" i="1"/>
  <c r="G76" i="1"/>
  <c r="H76" i="1"/>
  <c r="H94" i="1"/>
  <c r="J61" i="1" l="1"/>
  <c r="J75" i="1"/>
  <c r="J71" i="1"/>
  <c r="J73" i="1"/>
  <c r="J70" i="1"/>
  <c r="J83" i="1"/>
  <c r="J84" i="1" s="1"/>
  <c r="J62" i="1"/>
  <c r="J68" i="1"/>
  <c r="J91" i="1"/>
  <c r="J58" i="1"/>
  <c r="J65" i="1"/>
  <c r="J63" i="1"/>
  <c r="AD25" i="1"/>
  <c r="J38" i="1"/>
  <c r="J39" i="1" s="1"/>
  <c r="J69" i="1"/>
  <c r="J67" i="1"/>
  <c r="J60" i="1"/>
  <c r="J81" i="1"/>
  <c r="J82" i="1" s="1"/>
  <c r="J64" i="1"/>
  <c r="K26" i="1"/>
  <c r="K70" i="1" s="1"/>
  <c r="J74" i="1"/>
  <c r="J72" i="1"/>
  <c r="J40" i="1"/>
  <c r="J85" i="1"/>
  <c r="J86" i="1" s="1"/>
  <c r="I94" i="1"/>
  <c r="J59" i="1"/>
  <c r="J87" i="1"/>
  <c r="J88" i="1" s="1"/>
  <c r="J89" i="1"/>
  <c r="J90" i="1" s="1"/>
  <c r="J27" i="1"/>
  <c r="J66" i="1"/>
  <c r="J49" i="1"/>
  <c r="J51" i="1"/>
  <c r="I31" i="1"/>
  <c r="I32" i="1"/>
  <c r="I33" i="1" s="1"/>
  <c r="J43" i="1"/>
  <c r="J44" i="1"/>
  <c r="J45" i="1"/>
  <c r="J48" i="1"/>
  <c r="J42" i="1"/>
  <c r="I93" i="1"/>
  <c r="J30" i="1"/>
  <c r="AL22" i="4"/>
  <c r="AL21" i="4"/>
  <c r="AL23" i="4"/>
  <c r="AL17" i="4"/>
  <c r="AL18" i="4" s="1"/>
  <c r="AI19" i="4"/>
  <c r="I76" i="1"/>
  <c r="I77" i="1"/>
  <c r="AE25" i="1" l="1"/>
  <c r="K74" i="1"/>
  <c r="K71" i="1"/>
  <c r="K83" i="1"/>
  <c r="K84" i="1" s="1"/>
  <c r="K68" i="1"/>
  <c r="K69" i="1"/>
  <c r="K60" i="1"/>
  <c r="K66" i="1"/>
  <c r="K81" i="1"/>
  <c r="K82" i="1" s="1"/>
  <c r="J77" i="1"/>
  <c r="K67" i="1"/>
  <c r="K59" i="1"/>
  <c r="K89" i="1"/>
  <c r="K90" i="1" s="1"/>
  <c r="K73" i="1"/>
  <c r="K65" i="1"/>
  <c r="K72" i="1"/>
  <c r="K87" i="1"/>
  <c r="K88" i="1" s="1"/>
  <c r="J94" i="1"/>
  <c r="K34" i="1"/>
  <c r="K27" i="1"/>
  <c r="K61" i="1"/>
  <c r="K62" i="1"/>
  <c r="K85" i="1"/>
  <c r="K86" i="1" s="1"/>
  <c r="K30" i="1"/>
  <c r="K32" i="1" s="1"/>
  <c r="K40" i="1"/>
  <c r="K64" i="1"/>
  <c r="L26" i="1"/>
  <c r="L71" i="1" s="1"/>
  <c r="K75" i="1"/>
  <c r="J76" i="1"/>
  <c r="K63" i="1"/>
  <c r="K91" i="1"/>
  <c r="J93" i="1"/>
  <c r="K58" i="1"/>
  <c r="K49" i="1"/>
  <c r="K51" i="1"/>
  <c r="J31" i="1"/>
  <c r="J32" i="1"/>
  <c r="J33" i="1" s="1"/>
  <c r="K43" i="1"/>
  <c r="K48" i="1"/>
  <c r="K44" i="1"/>
  <c r="K45" i="1"/>
  <c r="K42" i="1"/>
  <c r="AO21" i="4"/>
  <c r="AO22" i="4"/>
  <c r="AO23" i="4"/>
  <c r="AO17" i="4"/>
  <c r="AL19" i="4"/>
  <c r="L68" i="1" l="1"/>
  <c r="L61" i="1"/>
  <c r="L58" i="1"/>
  <c r="AF25" i="1"/>
  <c r="AO18" i="4"/>
  <c r="AO19" i="4" s="1"/>
  <c r="K76" i="1"/>
  <c r="K94" i="1"/>
  <c r="L74" i="1"/>
  <c r="L40" i="1"/>
  <c r="M26" i="1"/>
  <c r="M72" i="1" s="1"/>
  <c r="L63" i="1"/>
  <c r="L89" i="1"/>
  <c r="L90" i="1" s="1"/>
  <c r="L69" i="1"/>
  <c r="L70" i="1"/>
  <c r="K93" i="1"/>
  <c r="L66" i="1"/>
  <c r="K77" i="1"/>
  <c r="L27" i="1"/>
  <c r="L64" i="1"/>
  <c r="L87" i="1"/>
  <c r="L88" i="1" s="1"/>
  <c r="L34" i="1"/>
  <c r="L83" i="1"/>
  <c r="L84" i="1" s="1"/>
  <c r="L65" i="1"/>
  <c r="L30" i="1"/>
  <c r="L31" i="1" s="1"/>
  <c r="L73" i="1"/>
  <c r="L72" i="1"/>
  <c r="L67" i="1"/>
  <c r="L85" i="1"/>
  <c r="L86" i="1" s="1"/>
  <c r="L60" i="1"/>
  <c r="L81" i="1"/>
  <c r="L82" i="1" s="1"/>
  <c r="L91" i="1"/>
  <c r="L62" i="1"/>
  <c r="K31" i="1"/>
  <c r="L59" i="1"/>
  <c r="L75" i="1"/>
  <c r="L49" i="1"/>
  <c r="L51" i="1"/>
  <c r="L43" i="1"/>
  <c r="L44" i="1"/>
  <c r="L42" i="1"/>
  <c r="L45" i="1"/>
  <c r="L48" i="1"/>
  <c r="M34" i="1" l="1"/>
  <c r="M30" i="1"/>
  <c r="M32" i="1" s="1"/>
  <c r="M40" i="1"/>
  <c r="M91" i="1"/>
  <c r="M67" i="1"/>
  <c r="M59" i="1"/>
  <c r="M58" i="1"/>
  <c r="M71" i="1"/>
  <c r="M73" i="1"/>
  <c r="M60" i="1"/>
  <c r="M27" i="1"/>
  <c r="M83" i="1"/>
  <c r="M84" i="1" s="1"/>
  <c r="M69" i="1"/>
  <c r="M61" i="1"/>
  <c r="M85" i="1"/>
  <c r="M86" i="1" s="1"/>
  <c r="M64" i="1"/>
  <c r="M87" i="1"/>
  <c r="M88" i="1" s="1"/>
  <c r="M68" i="1"/>
  <c r="M65" i="1"/>
  <c r="M63" i="1"/>
  <c r="M81" i="1"/>
  <c r="M82" i="1" s="1"/>
  <c r="M70" i="1"/>
  <c r="M66" i="1"/>
  <c r="N26" i="1"/>
  <c r="M75" i="1"/>
  <c r="M74" i="1"/>
  <c r="M89" i="1"/>
  <c r="M90" i="1" s="1"/>
  <c r="M62" i="1"/>
  <c r="L94" i="1"/>
  <c r="L77" i="1"/>
  <c r="L93" i="1"/>
  <c r="L76" i="1"/>
  <c r="L32" i="1"/>
  <c r="M49" i="1"/>
  <c r="M51" i="1"/>
  <c r="M31" i="1"/>
  <c r="M43" i="1"/>
  <c r="M44" i="1"/>
  <c r="M45" i="1"/>
  <c r="M42" i="1"/>
  <c r="M48" i="1"/>
  <c r="N67" i="1" l="1"/>
  <c r="N64" i="1"/>
  <c r="N61" i="1"/>
  <c r="N58" i="1"/>
  <c r="N40" i="1"/>
  <c r="N91" i="1"/>
  <c r="N63" i="1"/>
  <c r="N68" i="1"/>
  <c r="N70" i="1"/>
  <c r="N65" i="1"/>
  <c r="N75" i="1"/>
  <c r="N83" i="1"/>
  <c r="N84" i="1" s="1"/>
  <c r="N59" i="1"/>
  <c r="N89" i="1"/>
  <c r="N90" i="1" s="1"/>
  <c r="T26" i="1"/>
  <c r="T34" i="1" s="1"/>
  <c r="M77" i="1"/>
  <c r="M93" i="1"/>
  <c r="N71" i="1"/>
  <c r="N69" i="1"/>
  <c r="N72" i="1"/>
  <c r="N81" i="1"/>
  <c r="N82" i="1" s="1"/>
  <c r="N74" i="1"/>
  <c r="N66" i="1"/>
  <c r="N34" i="1"/>
  <c r="M94" i="1"/>
  <c r="N87" i="1"/>
  <c r="N88" i="1" s="1"/>
  <c r="N85" i="1"/>
  <c r="N86" i="1" s="1"/>
  <c r="N27" i="1"/>
  <c r="N62" i="1"/>
  <c r="N30" i="1"/>
  <c r="N31" i="1" s="1"/>
  <c r="N73" i="1"/>
  <c r="N60" i="1"/>
  <c r="M76" i="1"/>
  <c r="T51" i="1"/>
  <c r="N41" i="1"/>
  <c r="N51" i="1"/>
  <c r="N49" i="1"/>
  <c r="N48" i="1"/>
  <c r="N43" i="1"/>
  <c r="N45" i="1"/>
  <c r="N44" i="1"/>
  <c r="N42" i="1"/>
  <c r="P26" i="1" l="1"/>
  <c r="Q26" i="1"/>
  <c r="R26" i="1"/>
  <c r="S26" i="1"/>
  <c r="O26" i="1"/>
  <c r="N77" i="1"/>
  <c r="T66" i="1"/>
  <c r="T67" i="1"/>
  <c r="T65" i="1"/>
  <c r="T64" i="1"/>
  <c r="T27" i="1"/>
  <c r="T87" i="1"/>
  <c r="T88" i="1" s="1"/>
  <c r="T40" i="1"/>
  <c r="T89" i="1"/>
  <c r="T90" i="1" s="1"/>
  <c r="T75" i="1"/>
  <c r="T58" i="1"/>
  <c r="T71" i="1"/>
  <c r="T73" i="1"/>
  <c r="N76" i="1"/>
  <c r="T74" i="1"/>
  <c r="T30" i="1"/>
  <c r="T32" i="1" s="1"/>
  <c r="T61" i="1"/>
  <c r="T85" i="1"/>
  <c r="T86" i="1" s="1"/>
  <c r="N32" i="1"/>
  <c r="T60" i="1"/>
  <c r="T69" i="1"/>
  <c r="T83" i="1"/>
  <c r="T84" i="1" s="1"/>
  <c r="T72" i="1"/>
  <c r="T68" i="1"/>
  <c r="T81" i="1"/>
  <c r="T82" i="1" s="1"/>
  <c r="T63" i="1"/>
  <c r="T62" i="1"/>
  <c r="T91" i="1"/>
  <c r="T70" i="1"/>
  <c r="T59" i="1"/>
  <c r="U26" i="1"/>
  <c r="U62" i="1" s="1"/>
  <c r="N93" i="1"/>
  <c r="N94" i="1"/>
  <c r="T48" i="1"/>
  <c r="T49" i="1"/>
  <c r="Q38" i="1" s="1"/>
  <c r="T43" i="1"/>
  <c r="T45" i="1"/>
  <c r="T42" i="1"/>
  <c r="T44" i="1"/>
  <c r="R27" i="1" l="1"/>
  <c r="R40" i="1"/>
  <c r="R91" i="1"/>
  <c r="R81" i="1"/>
  <c r="R89" i="1"/>
  <c r="R90" i="1" s="1"/>
  <c r="R83" i="1"/>
  <c r="R84" i="1" s="1"/>
  <c r="R85" i="1"/>
  <c r="R86" i="1" s="1"/>
  <c r="R87" i="1"/>
  <c r="R88" i="1" s="1"/>
  <c r="R34" i="1"/>
  <c r="R35" i="1" s="1"/>
  <c r="R30" i="1"/>
  <c r="R60" i="1"/>
  <c r="R61" i="1"/>
  <c r="R65" i="1"/>
  <c r="R74" i="1"/>
  <c r="R68" i="1"/>
  <c r="R73" i="1"/>
  <c r="R69" i="1"/>
  <c r="R67" i="1"/>
  <c r="R64" i="1"/>
  <c r="R75" i="1"/>
  <c r="R58" i="1"/>
  <c r="R72" i="1"/>
  <c r="R66" i="1"/>
  <c r="R59" i="1"/>
  <c r="R77" i="1" s="1"/>
  <c r="R70" i="1"/>
  <c r="R71" i="1"/>
  <c r="R63" i="1"/>
  <c r="R62" i="1"/>
  <c r="Q81" i="1"/>
  <c r="Q89" i="1"/>
  <c r="Q90" i="1" s="1"/>
  <c r="Q91" i="1"/>
  <c r="Q87" i="1"/>
  <c r="Q88" i="1" s="1"/>
  <c r="Q83" i="1"/>
  <c r="Q84" i="1" s="1"/>
  <c r="Q85" i="1"/>
  <c r="Q86" i="1" s="1"/>
  <c r="Q60" i="1"/>
  <c r="Q61" i="1"/>
  <c r="Q74" i="1"/>
  <c r="Q69" i="1"/>
  <c r="Q72" i="1"/>
  <c r="Q64" i="1"/>
  <c r="Q65" i="1"/>
  <c r="Q75" i="1"/>
  <c r="Q68" i="1"/>
  <c r="Q58" i="1"/>
  <c r="Q66" i="1"/>
  <c r="Q67" i="1"/>
  <c r="Q59" i="1"/>
  <c r="Q73" i="1"/>
  <c r="Q63" i="1"/>
  <c r="Q62" i="1"/>
  <c r="Q70" i="1"/>
  <c r="Q71" i="1"/>
  <c r="S36" i="1"/>
  <c r="R36" i="1"/>
  <c r="R38" i="1"/>
  <c r="R39" i="1" s="1"/>
  <c r="U74" i="1"/>
  <c r="U70" i="1"/>
  <c r="Q27" i="1"/>
  <c r="Q34" i="1"/>
  <c r="Q35" i="1" s="1"/>
  <c r="Q30" i="1"/>
  <c r="Q40" i="1"/>
  <c r="Q36" i="1"/>
  <c r="Q39" i="1"/>
  <c r="U71" i="1"/>
  <c r="U60" i="1"/>
  <c r="U68" i="1"/>
  <c r="U59" i="1"/>
  <c r="U66" i="1"/>
  <c r="U64" i="1"/>
  <c r="U40" i="1"/>
  <c r="S89" i="1"/>
  <c r="S90" i="1" s="1"/>
  <c r="S27" i="1"/>
  <c r="S85" i="1"/>
  <c r="S86" i="1" s="1"/>
  <c r="S81" i="1"/>
  <c r="S91" i="1"/>
  <c r="S83" i="1"/>
  <c r="S84" i="1" s="1"/>
  <c r="S30" i="1"/>
  <c r="S40" i="1"/>
  <c r="S34" i="1"/>
  <c r="S35" i="1" s="1"/>
  <c r="S87" i="1"/>
  <c r="S88" i="1" s="1"/>
  <c r="S61" i="1"/>
  <c r="S60" i="1"/>
  <c r="S62" i="1"/>
  <c r="S58" i="1"/>
  <c r="S59" i="1"/>
  <c r="S66" i="1"/>
  <c r="S70" i="1"/>
  <c r="S71" i="1"/>
  <c r="S74" i="1"/>
  <c r="S64" i="1"/>
  <c r="S65" i="1"/>
  <c r="S75" i="1"/>
  <c r="S68" i="1"/>
  <c r="S73" i="1"/>
  <c r="S63" i="1"/>
  <c r="S69" i="1"/>
  <c r="S72" i="1"/>
  <c r="S67" i="1"/>
  <c r="U34" i="1"/>
  <c r="U87" i="1"/>
  <c r="U88" i="1" s="1"/>
  <c r="P85" i="1"/>
  <c r="P86" i="1" s="1"/>
  <c r="P27" i="1"/>
  <c r="P81" i="1"/>
  <c r="P91" i="1"/>
  <c r="P30" i="1"/>
  <c r="P40" i="1"/>
  <c r="P34" i="1"/>
  <c r="P35" i="1" s="1"/>
  <c r="P87" i="1"/>
  <c r="P88" i="1" s="1"/>
  <c r="P83" i="1"/>
  <c r="P84" i="1" s="1"/>
  <c r="P89" i="1"/>
  <c r="P90" i="1" s="1"/>
  <c r="P60" i="1"/>
  <c r="P61" i="1"/>
  <c r="P66" i="1"/>
  <c r="P70" i="1"/>
  <c r="P64" i="1"/>
  <c r="P73" i="1"/>
  <c r="P75" i="1"/>
  <c r="P68" i="1"/>
  <c r="P72" i="1"/>
  <c r="P69" i="1"/>
  <c r="P65" i="1"/>
  <c r="P62" i="1"/>
  <c r="P74" i="1"/>
  <c r="P67" i="1"/>
  <c r="P71" i="1"/>
  <c r="P58" i="1"/>
  <c r="P63" i="1"/>
  <c r="P59" i="1"/>
  <c r="U85" i="1"/>
  <c r="U86" i="1" s="1"/>
  <c r="U81" i="1"/>
  <c r="U82" i="1" s="1"/>
  <c r="T94" i="1"/>
  <c r="U67" i="1"/>
  <c r="S38" i="1"/>
  <c r="S39" i="1" s="1"/>
  <c r="P36" i="1"/>
  <c r="P38" i="1"/>
  <c r="P39" i="1" s="1"/>
  <c r="O36" i="1"/>
  <c r="O38" i="1"/>
  <c r="O39" i="1" s="1"/>
  <c r="U65" i="1"/>
  <c r="O81" i="1"/>
  <c r="O87" i="1"/>
  <c r="O88" i="1" s="1"/>
  <c r="O83" i="1"/>
  <c r="O84" i="1" s="1"/>
  <c r="O30" i="1"/>
  <c r="O40" i="1"/>
  <c r="O91" i="1"/>
  <c r="O34" i="1"/>
  <c r="O35" i="1" s="1"/>
  <c r="O27" i="1"/>
  <c r="O85" i="1"/>
  <c r="O86" i="1" s="1"/>
  <c r="O89" i="1"/>
  <c r="O90" i="1" s="1"/>
  <c r="O60" i="1"/>
  <c r="O61" i="1"/>
  <c r="O64" i="1"/>
  <c r="O58" i="1"/>
  <c r="O70" i="1"/>
  <c r="O65" i="1"/>
  <c r="O75" i="1"/>
  <c r="O68" i="1"/>
  <c r="O72" i="1"/>
  <c r="O66" i="1"/>
  <c r="O73" i="1"/>
  <c r="O74" i="1"/>
  <c r="O69" i="1"/>
  <c r="O63" i="1"/>
  <c r="O67" i="1"/>
  <c r="O71" i="1"/>
  <c r="O59" i="1"/>
  <c r="O62" i="1"/>
  <c r="T31" i="1"/>
  <c r="U83" i="1"/>
  <c r="U84" i="1" s="1"/>
  <c r="T76" i="1"/>
  <c r="U75" i="1"/>
  <c r="U91" i="1"/>
  <c r="U30" i="1"/>
  <c r="U32" i="1" s="1"/>
  <c r="T77" i="1"/>
  <c r="U72" i="1"/>
  <c r="U63" i="1"/>
  <c r="U27" i="1"/>
  <c r="U58" i="1"/>
  <c r="U69" i="1"/>
  <c r="V26" i="1"/>
  <c r="V34" i="1" s="1"/>
  <c r="T93" i="1"/>
  <c r="U61" i="1"/>
  <c r="U89" i="1"/>
  <c r="U90" i="1" s="1"/>
  <c r="U73" i="1"/>
  <c r="U51" i="1"/>
  <c r="U49" i="1"/>
  <c r="U48" i="1"/>
  <c r="U44" i="1"/>
  <c r="U45" i="1"/>
  <c r="U42" i="1"/>
  <c r="U43" i="1"/>
  <c r="Q76" i="1" l="1"/>
  <c r="Q77" i="1"/>
  <c r="R31" i="1"/>
  <c r="R32" i="1"/>
  <c r="R33" i="1" s="1"/>
  <c r="Q82" i="1"/>
  <c r="Q94" i="1" s="1"/>
  <c r="Q93" i="1"/>
  <c r="R76" i="1"/>
  <c r="R82" i="1"/>
  <c r="R94" i="1" s="1"/>
  <c r="R93" i="1"/>
  <c r="R37" i="1"/>
  <c r="R28" i="1" s="1"/>
  <c r="R29" i="1" s="1"/>
  <c r="U31" i="1"/>
  <c r="U76" i="1"/>
  <c r="Q31" i="1"/>
  <c r="Q32" i="1"/>
  <c r="Q33" i="1" s="1"/>
  <c r="Q37" i="1"/>
  <c r="Q28" i="1" s="1"/>
  <c r="Q29" i="1" s="1"/>
  <c r="S77" i="1"/>
  <c r="S82" i="1"/>
  <c r="S94" i="1" s="1"/>
  <c r="S93" i="1"/>
  <c r="O77" i="1"/>
  <c r="O93" i="1"/>
  <c r="O82" i="1"/>
  <c r="O94" i="1" s="1"/>
  <c r="P77" i="1"/>
  <c r="P31" i="1"/>
  <c r="P32" i="1"/>
  <c r="P33" i="1" s="1"/>
  <c r="O31" i="1"/>
  <c r="O32" i="1"/>
  <c r="O33" i="1" s="1"/>
  <c r="P76" i="1"/>
  <c r="P93" i="1"/>
  <c r="P82" i="1"/>
  <c r="P94" i="1" s="1"/>
  <c r="V72" i="1"/>
  <c r="O37" i="1"/>
  <c r="O28" i="1" s="1"/>
  <c r="O29" i="1" s="1"/>
  <c r="S76" i="1"/>
  <c r="P37" i="1"/>
  <c r="P28" i="1" s="1"/>
  <c r="P29" i="1" s="1"/>
  <c r="S31" i="1"/>
  <c r="S32" i="1"/>
  <c r="S33" i="1" s="1"/>
  <c r="O76" i="1"/>
  <c r="V71" i="1"/>
  <c r="V59" i="1"/>
  <c r="V60" i="1"/>
  <c r="S37" i="1"/>
  <c r="S28" i="1" s="1"/>
  <c r="S29" i="1" s="1"/>
  <c r="V87" i="1"/>
  <c r="V88" i="1" s="1"/>
  <c r="V64" i="1"/>
  <c r="V70" i="1"/>
  <c r="V85" i="1"/>
  <c r="V86" i="1" s="1"/>
  <c r="U77" i="1"/>
  <c r="V67" i="1"/>
  <c r="V69" i="1"/>
  <c r="V75" i="1"/>
  <c r="V73" i="1"/>
  <c r="V61" i="1"/>
  <c r="V58" i="1"/>
  <c r="V65" i="1"/>
  <c r="V62" i="1"/>
  <c r="V91" i="1"/>
  <c r="V27" i="1"/>
  <c r="V66" i="1"/>
  <c r="V74" i="1"/>
  <c r="V63" i="1"/>
  <c r="W26" i="1"/>
  <c r="W34" i="1" s="1"/>
  <c r="V89" i="1"/>
  <c r="V90" i="1" s="1"/>
  <c r="V68" i="1"/>
  <c r="V40" i="1"/>
  <c r="V81" i="1"/>
  <c r="V83" i="1"/>
  <c r="V84" i="1" s="1"/>
  <c r="V30" i="1"/>
  <c r="V31" i="1" s="1"/>
  <c r="U93" i="1"/>
  <c r="U94" i="1"/>
  <c r="V51" i="1"/>
  <c r="V49" i="1"/>
  <c r="T41" i="1" s="1"/>
  <c r="V48" i="1"/>
  <c r="V45" i="1"/>
  <c r="V42" i="1"/>
  <c r="V44" i="1"/>
  <c r="V43" i="1"/>
  <c r="V82" i="1"/>
  <c r="X26" i="1" l="1"/>
  <c r="X34" i="1" s="1"/>
  <c r="W62" i="1"/>
  <c r="W66" i="1"/>
  <c r="W64" i="1"/>
  <c r="W91" i="1"/>
  <c r="W30" i="1"/>
  <c r="W74" i="1"/>
  <c r="W73" i="1"/>
  <c r="W59" i="1"/>
  <c r="W87" i="1"/>
  <c r="W88" i="1" s="1"/>
  <c r="W81" i="1"/>
  <c r="W82" i="1" s="1"/>
  <c r="W60" i="1"/>
  <c r="W68" i="1"/>
  <c r="W85" i="1"/>
  <c r="W86" i="1" s="1"/>
  <c r="W70" i="1"/>
  <c r="W61" i="1"/>
  <c r="W27" i="1"/>
  <c r="V94" i="1"/>
  <c r="W65" i="1"/>
  <c r="W58" i="1"/>
  <c r="V93" i="1"/>
  <c r="V77" i="1"/>
  <c r="V32" i="1"/>
  <c r="W83" i="1"/>
  <c r="W84" i="1" s="1"/>
  <c r="W69" i="1"/>
  <c r="W71" i="1"/>
  <c r="W67" i="1"/>
  <c r="V76" i="1"/>
  <c r="W63" i="1"/>
  <c r="W75" i="1"/>
  <c r="W40" i="1"/>
  <c r="W72" i="1"/>
  <c r="W89" i="1"/>
  <c r="W90" i="1" s="1"/>
  <c r="K33" i="1"/>
  <c r="L33" i="1"/>
  <c r="M33" i="1"/>
  <c r="N33" i="1"/>
  <c r="T33" i="1"/>
  <c r="T36" i="1"/>
  <c r="K35" i="1"/>
  <c r="M35" i="1"/>
  <c r="L35" i="1"/>
  <c r="T35" i="1"/>
  <c r="N35" i="1"/>
  <c r="T38" i="1"/>
  <c r="T39" i="1" s="1"/>
  <c r="J36" i="1"/>
  <c r="K38" i="1"/>
  <c r="K39" i="1" s="1"/>
  <c r="L38" i="1"/>
  <c r="L39" i="1" s="1"/>
  <c r="I36" i="1"/>
  <c r="N38" i="1"/>
  <c r="N39" i="1" s="1"/>
  <c r="K36" i="1"/>
  <c r="M38" i="1"/>
  <c r="M39" i="1" s="1"/>
  <c r="L36" i="1"/>
  <c r="M36" i="1"/>
  <c r="N36" i="1"/>
  <c r="W49" i="1"/>
  <c r="W51" i="1"/>
  <c r="W31" i="1"/>
  <c r="W32" i="1"/>
  <c r="W42" i="1"/>
  <c r="W44" i="1"/>
  <c r="W48" i="1"/>
  <c r="W43" i="1"/>
  <c r="W45" i="1"/>
  <c r="X27" i="1"/>
  <c r="X30" i="1"/>
  <c r="X32" i="1" s="1"/>
  <c r="X40" i="1"/>
  <c r="Y26" i="1"/>
  <c r="X61" i="1"/>
  <c r="X73" i="1"/>
  <c r="X70" i="1"/>
  <c r="X63" i="1"/>
  <c r="X59" i="1"/>
  <c r="X85" i="1"/>
  <c r="X86" i="1" s="1"/>
  <c r="X91" i="1"/>
  <c r="X68" i="1"/>
  <c r="X62" i="1"/>
  <c r="X75" i="1"/>
  <c r="X89" i="1"/>
  <c r="X90" i="1" s="1"/>
  <c r="X64" i="1"/>
  <c r="X65" i="1"/>
  <c r="X72" i="1"/>
  <c r="X83" i="1"/>
  <c r="X84" i="1" s="1"/>
  <c r="X66" i="1"/>
  <c r="X87" i="1"/>
  <c r="X88" i="1" s="1"/>
  <c r="X60" i="1"/>
  <c r="X67" i="1"/>
  <c r="X58" i="1"/>
  <c r="X69" i="1"/>
  <c r="X71" i="1"/>
  <c r="X81" i="1"/>
  <c r="X74" i="1"/>
  <c r="W76" i="1" l="1"/>
  <c r="W94" i="1"/>
  <c r="W77" i="1"/>
  <c r="W93" i="1"/>
  <c r="T37" i="1"/>
  <c r="T28" i="1" s="1"/>
  <c r="T29" i="1" s="1"/>
  <c r="I37" i="1"/>
  <c r="I28" i="1" s="1"/>
  <c r="I29" i="1" s="1"/>
  <c r="J37" i="1"/>
  <c r="J28" i="1" s="1"/>
  <c r="J29" i="1" s="1"/>
  <c r="N37" i="1"/>
  <c r="N28" i="1" s="1"/>
  <c r="N29" i="1" s="1"/>
  <c r="L37" i="1"/>
  <c r="L28" i="1" s="1"/>
  <c r="L29" i="1" s="1"/>
  <c r="M37" i="1"/>
  <c r="M28" i="1" s="1"/>
  <c r="M29" i="1" s="1"/>
  <c r="K37" i="1"/>
  <c r="K28" i="1" s="1"/>
  <c r="K29" i="1" s="1"/>
  <c r="Y30" i="1"/>
  <c r="Y34" i="1"/>
  <c r="X31" i="1"/>
  <c r="X49" i="1"/>
  <c r="X51" i="1"/>
  <c r="X42" i="1"/>
  <c r="X44" i="1"/>
  <c r="X45" i="1"/>
  <c r="X48" i="1"/>
  <c r="X43" i="1"/>
  <c r="Y40" i="1"/>
  <c r="X76" i="1"/>
  <c r="X77" i="1"/>
  <c r="X82" i="1"/>
  <c r="X94" i="1" s="1"/>
  <c r="X93" i="1"/>
  <c r="Z26" i="1"/>
  <c r="Y63" i="1"/>
  <c r="Y68" i="1"/>
  <c r="Y62" i="1"/>
  <c r="Y61" i="1"/>
  <c r="Y67" i="1"/>
  <c r="Y91" i="1"/>
  <c r="Y58" i="1"/>
  <c r="Y72" i="1"/>
  <c r="Y87" i="1"/>
  <c r="Y88" i="1" s="1"/>
  <c r="Y66" i="1"/>
  <c r="Y73" i="1"/>
  <c r="Y74" i="1"/>
  <c r="Y70" i="1"/>
  <c r="Y85" i="1"/>
  <c r="Y86" i="1" s="1"/>
  <c r="Y27" i="1"/>
  <c r="Y83" i="1"/>
  <c r="Y84" i="1" s="1"/>
  <c r="Y65" i="1"/>
  <c r="Y71" i="1"/>
  <c r="Y64" i="1"/>
  <c r="Y59" i="1"/>
  <c r="Y89" i="1"/>
  <c r="Y90" i="1" s="1"/>
  <c r="Y81" i="1"/>
  <c r="Y69" i="1"/>
  <c r="Y75" i="1"/>
  <c r="Y60" i="1"/>
  <c r="Y49" i="1" l="1"/>
  <c r="Y51" i="1"/>
  <c r="Z30" i="1"/>
  <c r="Z34" i="1"/>
  <c r="Y31" i="1"/>
  <c r="Y32" i="1"/>
  <c r="Y45" i="1"/>
  <c r="Y44" i="1"/>
  <c r="Y42" i="1"/>
  <c r="Y48" i="1"/>
  <c r="Y43" i="1"/>
  <c r="Z40" i="1"/>
  <c r="Y76" i="1"/>
  <c r="Y82" i="1"/>
  <c r="Y94" i="1" s="1"/>
  <c r="Y93" i="1"/>
  <c r="AA26" i="1"/>
  <c r="Z61" i="1"/>
  <c r="Z64" i="1"/>
  <c r="Z66" i="1"/>
  <c r="Z65" i="1"/>
  <c r="Z75" i="1"/>
  <c r="Z87" i="1"/>
  <c r="Z88" i="1" s="1"/>
  <c r="Z62" i="1"/>
  <c r="Z68" i="1"/>
  <c r="Z72" i="1"/>
  <c r="Z83" i="1"/>
  <c r="Z84" i="1" s="1"/>
  <c r="Z67" i="1"/>
  <c r="Z85" i="1"/>
  <c r="Z86" i="1" s="1"/>
  <c r="Z71" i="1"/>
  <c r="Z91" i="1"/>
  <c r="Z59" i="1"/>
  <c r="Z69" i="1"/>
  <c r="Z89" i="1"/>
  <c r="Z90" i="1" s="1"/>
  <c r="Z81" i="1"/>
  <c r="Z60" i="1"/>
  <c r="Z63" i="1"/>
  <c r="Z58" i="1"/>
  <c r="Z74" i="1"/>
  <c r="Z73" i="1"/>
  <c r="Z27" i="1"/>
  <c r="Z70" i="1"/>
  <c r="Y77" i="1"/>
  <c r="AA30" i="1" l="1"/>
  <c r="AA34" i="1"/>
  <c r="Z49" i="1"/>
  <c r="Z51" i="1"/>
  <c r="Z31" i="1"/>
  <c r="Z32" i="1"/>
  <c r="Z45" i="1"/>
  <c r="Z42" i="1"/>
  <c r="Z44" i="1"/>
  <c r="Z48" i="1"/>
  <c r="Z43" i="1"/>
  <c r="AA40" i="1"/>
  <c r="Z77" i="1"/>
  <c r="Z82" i="1"/>
  <c r="Z94" i="1" s="1"/>
  <c r="Z93" i="1"/>
  <c r="Z76" i="1"/>
  <c r="AB26" i="1"/>
  <c r="AA85" i="1"/>
  <c r="AA86" i="1" s="1"/>
  <c r="AA63" i="1"/>
  <c r="AA59" i="1"/>
  <c r="AA68" i="1"/>
  <c r="AA89" i="1"/>
  <c r="AA90" i="1" s="1"/>
  <c r="AA61" i="1"/>
  <c r="AA87" i="1"/>
  <c r="AA88" i="1" s="1"/>
  <c r="AA67" i="1"/>
  <c r="AA60" i="1"/>
  <c r="AA65" i="1"/>
  <c r="AA81" i="1"/>
  <c r="AA64" i="1"/>
  <c r="AA69" i="1"/>
  <c r="AA71" i="1"/>
  <c r="AA27" i="1"/>
  <c r="AA83" i="1"/>
  <c r="AA84" i="1" s="1"/>
  <c r="AA74" i="1"/>
  <c r="AA62" i="1"/>
  <c r="AA75" i="1"/>
  <c r="AA58" i="1"/>
  <c r="AA73" i="1"/>
  <c r="AA72" i="1"/>
  <c r="AA66" i="1"/>
  <c r="AA91" i="1"/>
  <c r="AA70" i="1"/>
  <c r="AA51" i="1" l="1"/>
  <c r="AA49" i="1"/>
  <c r="AB30" i="1"/>
  <c r="AB34" i="1"/>
  <c r="AA31" i="1"/>
  <c r="AA32" i="1"/>
  <c r="AA42" i="1"/>
  <c r="AA44" i="1"/>
  <c r="AA48" i="1"/>
  <c r="AA43" i="1"/>
  <c r="AA45" i="1"/>
  <c r="AB40" i="1"/>
  <c r="AC26" i="1"/>
  <c r="AA76" i="1"/>
  <c r="AA77" i="1"/>
  <c r="AA82" i="1"/>
  <c r="AA94" i="1" s="1"/>
  <c r="AA93" i="1"/>
  <c r="AB64" i="1"/>
  <c r="AB70" i="1"/>
  <c r="AB67" i="1"/>
  <c r="AB59" i="1"/>
  <c r="AB61" i="1"/>
  <c r="AB58" i="1"/>
  <c r="AB91" i="1"/>
  <c r="AB68" i="1"/>
  <c r="AB89" i="1"/>
  <c r="AB90" i="1" s="1"/>
  <c r="AB62" i="1"/>
  <c r="AB71" i="1"/>
  <c r="AB65" i="1"/>
  <c r="AB73" i="1"/>
  <c r="AB87" i="1"/>
  <c r="AB88" i="1" s="1"/>
  <c r="AB83" i="1"/>
  <c r="AB84" i="1" s="1"/>
  <c r="AB81" i="1"/>
  <c r="AB60" i="1"/>
  <c r="AB74" i="1"/>
  <c r="AB75" i="1"/>
  <c r="AB72" i="1"/>
  <c r="AB85" i="1"/>
  <c r="AB86" i="1" s="1"/>
  <c r="AB66" i="1"/>
  <c r="AB69" i="1"/>
  <c r="AB63" i="1"/>
  <c r="AB27" i="1"/>
  <c r="U33" i="1" l="1"/>
  <c r="U36" i="1"/>
  <c r="U35" i="1"/>
  <c r="U41" i="1"/>
  <c r="U38" i="1"/>
  <c r="U39" i="1" s="1"/>
  <c r="V41" i="1"/>
  <c r="V38" i="1"/>
  <c r="V39" i="1" s="1"/>
  <c r="V35" i="1"/>
  <c r="V33" i="1"/>
  <c r="V36" i="1"/>
  <c r="AC30" i="1"/>
  <c r="AC32" i="1" s="1"/>
  <c r="AC34" i="1"/>
  <c r="AB51" i="1"/>
  <c r="AB49" i="1"/>
  <c r="AB31" i="1"/>
  <c r="AB32" i="1"/>
  <c r="AB48" i="1"/>
  <c r="AB43" i="1"/>
  <c r="AB42" i="1"/>
  <c r="AB44" i="1"/>
  <c r="AB45" i="1"/>
  <c r="AC40" i="1"/>
  <c r="AD26" i="1"/>
  <c r="D22" i="1" s="1"/>
  <c r="AC81" i="1"/>
  <c r="AC87" i="1"/>
  <c r="AC88" i="1" s="1"/>
  <c r="AC83" i="1"/>
  <c r="AC84" i="1" s="1"/>
  <c r="AC27" i="1"/>
  <c r="AC89" i="1"/>
  <c r="AC90" i="1" s="1"/>
  <c r="AC85" i="1"/>
  <c r="AC86" i="1" s="1"/>
  <c r="AC91" i="1"/>
  <c r="AC60" i="1"/>
  <c r="AC61" i="1"/>
  <c r="AC67" i="1"/>
  <c r="AC62" i="1"/>
  <c r="AC75" i="1"/>
  <c r="AC66" i="1"/>
  <c r="AC74" i="1"/>
  <c r="AC72" i="1"/>
  <c r="AC58" i="1"/>
  <c r="AC63" i="1"/>
  <c r="AC73" i="1"/>
  <c r="AC68" i="1"/>
  <c r="AC59" i="1"/>
  <c r="AC69" i="1"/>
  <c r="AC70" i="1"/>
  <c r="AC64" i="1"/>
  <c r="AC71" i="1"/>
  <c r="AC65" i="1"/>
  <c r="AB76" i="1"/>
  <c r="AB82" i="1"/>
  <c r="AB94" i="1" s="1"/>
  <c r="AB93" i="1"/>
  <c r="AB77" i="1"/>
  <c r="U37" i="1" l="1"/>
  <c r="U28" i="1" s="1"/>
  <c r="U29" i="1" s="1"/>
  <c r="V37" i="1"/>
  <c r="V28" i="1" s="1"/>
  <c r="V29" i="1" s="1"/>
  <c r="W35" i="1"/>
  <c r="X33" i="1"/>
  <c r="Y33" i="1"/>
  <c r="Z33" i="1"/>
  <c r="X35" i="1"/>
  <c r="W33" i="1"/>
  <c r="AA33" i="1"/>
  <c r="Y35" i="1"/>
  <c r="Z35" i="1"/>
  <c r="AA35" i="1"/>
  <c r="W38" i="1"/>
  <c r="W39" i="1" s="1"/>
  <c r="W41" i="1"/>
  <c r="W36" i="1"/>
  <c r="X36" i="1"/>
  <c r="X41" i="1"/>
  <c r="X38" i="1"/>
  <c r="X39" i="1" s="1"/>
  <c r="Y38" i="1"/>
  <c r="Y39" i="1" s="1"/>
  <c r="Y41" i="1"/>
  <c r="Y36" i="1"/>
  <c r="Z38" i="1"/>
  <c r="Z39" i="1" s="1"/>
  <c r="Z41" i="1"/>
  <c r="Z36" i="1"/>
  <c r="AA38" i="1"/>
  <c r="AA39" i="1" s="1"/>
  <c r="AA36" i="1"/>
  <c r="AA41" i="1"/>
  <c r="AD30" i="1"/>
  <c r="AD34" i="1"/>
  <c r="AC49" i="1"/>
  <c r="AC51" i="1"/>
  <c r="AC31" i="1"/>
  <c r="AC43" i="1"/>
  <c r="AC44" i="1"/>
  <c r="AC42" i="1"/>
  <c r="AC45" i="1"/>
  <c r="AC48" i="1"/>
  <c r="AD40" i="1"/>
  <c r="AC82" i="1"/>
  <c r="AC94" i="1" s="1"/>
  <c r="AC93" i="1"/>
  <c r="AC76" i="1"/>
  <c r="AC77" i="1"/>
  <c r="AD81" i="1"/>
  <c r="AD87" i="1"/>
  <c r="AD88" i="1" s="1"/>
  <c r="AD89" i="1"/>
  <c r="AD90" i="1" s="1"/>
  <c r="AD85" i="1"/>
  <c r="AD86" i="1" s="1"/>
  <c r="AD91" i="1"/>
  <c r="AD83" i="1"/>
  <c r="AD84" i="1" s="1"/>
  <c r="AD61" i="1"/>
  <c r="AE26" i="1"/>
  <c r="AD27" i="1"/>
  <c r="AD60" i="1"/>
  <c r="AD66" i="1"/>
  <c r="AD62" i="1"/>
  <c r="AD75" i="1"/>
  <c r="AD59" i="1"/>
  <c r="AD67" i="1"/>
  <c r="AD63" i="1"/>
  <c r="AD69" i="1"/>
  <c r="AD74" i="1"/>
  <c r="AD65" i="1"/>
  <c r="AD58" i="1"/>
  <c r="AD68" i="1"/>
  <c r="AD70" i="1"/>
  <c r="AD64" i="1"/>
  <c r="AD73" i="1"/>
  <c r="AD72" i="1"/>
  <c r="AD71" i="1"/>
  <c r="AE70" i="1" l="1"/>
  <c r="AE30" i="1"/>
  <c r="AA37" i="1"/>
  <c r="AA28" i="1" s="1"/>
  <c r="AA29" i="1" s="1"/>
  <c r="X37" i="1"/>
  <c r="X28" i="1" s="1"/>
  <c r="X29" i="1" s="1"/>
  <c r="Y37" i="1"/>
  <c r="Y28" i="1" s="1"/>
  <c r="Y29" i="1" s="1"/>
  <c r="Z37" i="1"/>
  <c r="Z28" i="1" s="1"/>
  <c r="Z29" i="1" s="1"/>
  <c r="W37" i="1"/>
  <c r="W28" i="1" s="1"/>
  <c r="W29" i="1" s="1"/>
  <c r="AD49" i="1"/>
  <c r="AD51" i="1"/>
  <c r="AE40" i="1"/>
  <c r="AE34" i="1"/>
  <c r="AD31" i="1"/>
  <c r="AD32" i="1"/>
  <c r="AD44" i="1"/>
  <c r="AD43" i="1"/>
  <c r="AD42" i="1"/>
  <c r="AD45" i="1"/>
  <c r="AD48" i="1"/>
  <c r="AD77" i="1"/>
  <c r="AD93" i="1"/>
  <c r="AD82" i="1"/>
  <c r="AD94" i="1" s="1"/>
  <c r="AD76" i="1"/>
  <c r="AE85" i="1"/>
  <c r="AE86" i="1" s="1"/>
  <c r="AE81" i="1"/>
  <c r="AE87" i="1"/>
  <c r="AE88" i="1" s="1"/>
  <c r="AE83" i="1"/>
  <c r="AE84" i="1" s="1"/>
  <c r="AE89" i="1"/>
  <c r="AE90" i="1" s="1"/>
  <c r="AE91" i="1"/>
  <c r="AE61" i="1"/>
  <c r="AE60" i="1"/>
  <c r="AE71" i="1"/>
  <c r="AE65" i="1"/>
  <c r="AE68" i="1"/>
  <c r="AE59" i="1"/>
  <c r="AE66" i="1"/>
  <c r="AE64" i="1"/>
  <c r="AE72" i="1"/>
  <c r="AE69" i="1"/>
  <c r="AE74" i="1"/>
  <c r="AE67" i="1"/>
  <c r="AE62" i="1"/>
  <c r="AE27" i="1"/>
  <c r="AE58" i="1"/>
  <c r="AE75" i="1"/>
  <c r="AE63" i="1"/>
  <c r="AE73" i="1"/>
  <c r="AB35" i="1" l="1"/>
  <c r="AB36" i="1"/>
  <c r="AB38" i="1"/>
  <c r="AB39" i="1" s="1"/>
  <c r="AB41" i="1"/>
  <c r="AB33" i="1"/>
  <c r="AE32" i="1"/>
  <c r="AE31" i="1"/>
  <c r="AE49" i="1"/>
  <c r="AE51" i="1"/>
  <c r="AE45" i="1"/>
  <c r="AE42" i="1"/>
  <c r="AE48" i="1"/>
  <c r="AE43" i="1"/>
  <c r="AE44" i="1"/>
  <c r="AE77" i="1"/>
  <c r="AE76" i="1"/>
  <c r="AE82" i="1"/>
  <c r="AE94" i="1" s="1"/>
  <c r="AE93" i="1"/>
  <c r="AB37" i="1" l="1"/>
  <c r="AB28" i="1" s="1"/>
  <c r="AB29" i="1" s="1"/>
  <c r="AC35" i="1"/>
  <c r="AC33" i="1"/>
  <c r="AD33" i="1"/>
  <c r="AD35" i="1"/>
  <c r="AC41" i="1"/>
  <c r="AC36" i="1"/>
  <c r="AC38" i="1"/>
  <c r="AC39" i="1" s="1"/>
  <c r="AD36" i="1"/>
  <c r="AD38" i="1"/>
  <c r="AD39" i="1" s="1"/>
  <c r="AD41" i="1"/>
  <c r="AF49" i="1"/>
  <c r="AF41" i="1" s="1"/>
  <c r="AF51" i="1"/>
  <c r="AF36" i="1" s="1"/>
  <c r="AF45" i="1"/>
  <c r="AF42" i="1"/>
  <c r="AF48" i="1"/>
  <c r="AG25" i="1"/>
  <c r="AF44" i="1"/>
  <c r="AF43" i="1"/>
  <c r="AE36" i="1" l="1"/>
  <c r="AE41" i="1"/>
  <c r="AE38" i="1"/>
  <c r="AE39" i="1" s="1"/>
  <c r="AE35" i="1"/>
  <c r="AE33" i="1"/>
  <c r="AF33" i="1"/>
  <c r="AC37" i="1"/>
  <c r="AC28" i="1" s="1"/>
  <c r="AC29" i="1" s="1"/>
  <c r="AD37" i="1"/>
  <c r="AD28" i="1" s="1"/>
  <c r="AD29" i="1" s="1"/>
  <c r="AF38" i="1"/>
  <c r="AF39" i="1" s="1"/>
  <c r="AF37" i="1" s="1"/>
  <c r="AG49" i="1"/>
  <c r="AG48" i="1"/>
  <c r="AG51" i="1"/>
  <c r="AE37" i="1" l="1"/>
  <c r="AE28" i="1" s="1"/>
  <c r="AE29" i="1" s="1"/>
  <c r="AG41" i="1"/>
  <c r="AF35" i="1"/>
  <c r="AF28" i="1" s="1"/>
  <c r="AF29" i="1" s="1"/>
</calcChain>
</file>

<file path=xl/sharedStrings.xml><?xml version="1.0" encoding="utf-8"?>
<sst xmlns="http://schemas.openxmlformats.org/spreadsheetml/2006/main" count="372" uniqueCount="302">
  <si>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</si>
  <si>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</si>
  <si>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</si>
  <si>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</si>
  <si>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</si>
  <si>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</si>
  <si>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</si>
  <si>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</si>
  <si>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</si>
  <si>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</si>
  <si>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</si>
  <si>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</si>
  <si>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</si>
  <si>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</si>
  <si>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</si>
  <si>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</si>
  <si>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</si>
  <si>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</si>
  <si>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</si>
  <si>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</si>
  <si>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</si>
  <si>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</si>
  <si>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</si>
  <si>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</si>
  <si>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</si>
  <si>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</si>
  <si>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</si>
  <si>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</si>
  <si>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</si>
  <si>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</si>
  <si>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</si>
  <si>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</si>
  <si>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</si>
  <si>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</si>
  <si>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</si>
  <si>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</si>
  <si>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</si>
  <si>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</si>
  <si>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</si>
  <si>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</si>
  <si>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</si>
  <si>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</si>
  <si>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</si>
  <si>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</si>
  <si>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</si>
  <si>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</si>
  <si>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</si>
  <si>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</si>
  <si>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</si>
  <si>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</si>
  <si>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</si>
  <si>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</si>
  <si>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</si>
  <si>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</si>
  <si>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</si>
  <si>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</si>
  <si>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</si>
  <si>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</si>
  <si>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</si>
  <si>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</si>
  <si>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</si>
  <si>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</si>
  <si>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</si>
  <si>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</si>
  <si>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</si>
  <si>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</si>
  <si>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</si>
  <si>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</si>
  <si>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</si>
  <si>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</si>
  <si>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</si>
  <si>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</si>
  <si>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</si>
  <si>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</si>
  <si>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</si>
  <si>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</si>
  <si>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</si>
  <si>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</si>
  <si>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</si>
  <si>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</si>
  <si>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</si>
  <si>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</si>
  <si>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</si>
  <si>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</si>
  <si>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</si>
  <si>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</si>
  <si>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</si>
  <si>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</si>
  <si>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</si>
  <si>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</si>
  <si>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</si>
  <si>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</si>
  <si>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</si>
  <si>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</si>
  <si>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</si>
  <si>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</si>
  <si>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</si>
  <si>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</si>
  <si>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</si>
  <si>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</si>
  <si>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</si>
  <si>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</si>
  <si>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</si>
  <si>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</si>
  <si>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</si>
  <si>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</si>
  <si>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</si>
  <si>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</si>
  <si>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</si>
  <si>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</si>
  <si>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</si>
  <si>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</si>
  <si>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</si>
  <si>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</si>
  <si>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</si>
  <si>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</si>
  <si>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</si>
  <si>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</si>
  <si>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</si>
  <si>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</si>
  <si>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</si>
  <si>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</si>
  <si>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</si>
  <si>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</si>
  <si>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</si>
  <si>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</si>
  <si>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</si>
  <si>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</si>
  <si>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</si>
  <si>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</si>
  <si>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</si>
  <si>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</si>
  <si>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</si>
  <si>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</si>
  <si>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</si>
  <si>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</si>
  <si>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</si>
  <si>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</si>
  <si>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</si>
  <si>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</si>
  <si>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</si>
  <si>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</si>
  <si>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</si>
  <si>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</si>
  <si>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</si>
  <si>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</si>
  <si>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</si>
  <si>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</si>
  <si>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</si>
  <si>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</si>
  <si>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</si>
  <si>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</si>
  <si>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</si>
  <si>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</si>
  <si>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</si>
  <si>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</si>
  <si>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</si>
  <si>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</si>
  <si>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</si>
  <si>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</si>
  <si>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</si>
  <si>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</si>
  <si>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</si>
  <si>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</si>
  <si>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</si>
  <si>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</si>
  <si>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</si>
  <si>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</si>
  <si>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</si>
  <si>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</si>
  <si>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</si>
  <si>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</si>
  <si>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</si>
  <si>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</si>
  <si>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</si>
  <si>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</si>
  <si>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</si>
  <si>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</si>
  <si>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</si>
  <si>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</si>
  <si>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</si>
  <si>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</si>
  <si>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</si>
  <si>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</si>
  <si>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</si>
  <si>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</si>
  <si>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</si>
  <si>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</si>
  <si>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</si>
  <si>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</si>
  <si>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</si>
  <si>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</si>
  <si>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</si>
  <si>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</si>
  <si>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</si>
  <si>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</si>
  <si>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</si>
  <si>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</si>
  <si>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</si>
  <si>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</si>
  <si>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</si>
  <si>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</si>
  <si>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</si>
  <si>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</si>
  <si>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</si>
  <si>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</si>
  <si>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</si>
  <si>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</si>
  <si>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</si>
  <si>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</si>
  <si>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</si>
  <si>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</si>
  <si>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</si>
  <si>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</si>
  <si>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</si>
  <si>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</si>
  <si>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</si>
  <si>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</si>
  <si>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</si>
  <si>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</si>
  <si>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</si>
  <si>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</si>
  <si>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</si>
  <si>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</si>
  <si>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</si>
  <si>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</si>
  <si>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</si>
  <si>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</si>
  <si>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</si>
  <si>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</si>
  <si>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</si>
  <si>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</si>
  <si>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</si>
  <si>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</si>
  <si>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</si>
  <si>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</si>
  <si>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</si>
  <si>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</si>
  <si>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</si>
  <si>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</si>
  <si>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</si>
  <si>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</si>
  <si>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</si>
  <si>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</si>
  <si>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</si>
  <si>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</si>
  <si>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</si>
  <si>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</si>
  <si>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</si>
  <si>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</si>
  <si>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</si>
  <si>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</si>
  <si>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</si>
  <si>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</si>
  <si>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</si>
  <si>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</si>
  <si>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</si>
  <si>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</si>
  <si>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</si>
  <si>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</si>
  <si>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</si>
  <si>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</si>
  <si>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</si>
  <si>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</si>
  <si>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</si>
  <si>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</si>
  <si>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</si>
  <si>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</si>
  <si>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</si>
  <si>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</si>
  <si>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</si>
  <si>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</si>
  <si>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</si>
  <si>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</si>
  <si>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</si>
  <si>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</si>
  <si>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</si>
  <si>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</si>
  <si>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</si>
  <si>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</si>
  <si>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</si>
  <si>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</si>
  <si>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</si>
  <si>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</si>
  <si>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</si>
  <si>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</si>
  <si>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</si>
  <si>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</si>
  <si>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</si>
  <si>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</si>
  <si>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</si>
  <si>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</si>
  <si>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</si>
  <si>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</si>
  <si>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</si>
  <si>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</si>
  <si>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</si>
  <si>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r>
      <t xml:space="preserve">Consider using Tracy-Widom distribution to model rate of recovery? Left N^2, </t>
    </r>
    <r>
      <rPr>
        <sz val="11"/>
        <color theme="1"/>
        <rFont val="Calibri"/>
        <family val="2"/>
      </rPr>
      <t>√2N peak, Right N eigenvalues</t>
    </r>
  </si>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</sst>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theme="1"/>
      <name val="Calibr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right style="thin">
        <color indexed="64"/>
      </right>
      <top/>
      <bottom style="thin">
        <color theme="5" tint="-0.249977111117893"/>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0" fillId="10" borderId="20" xfId="0" applyNumberFormat="1" applyFill="1" applyBorder="1"/>
    <xf numFmtId="14" fontId="0" fillId="10" borderId="21" xfId="0" applyNumberFormat="1" applyFill="1" applyBorder="1"/>
    <xf numFmtId="14" fontId="0" fillId="15" borderId="21" xfId="0" applyNumberFormat="1" applyFill="1" applyBorder="1"/>
    <xf numFmtId="14" fontId="0" fillId="4" borderId="21" xfId="0" applyNumberFormat="1" applyFill="1" applyBorder="1"/>
    <xf numFmtId="14" fontId="0" fillId="8" borderId="22" xfId="0" applyNumberFormat="1" applyFill="1" applyBorder="1"/>
    <xf numFmtId="14" fontId="0" fillId="8" borderId="19" xfId="0" applyNumberFormat="1" applyFill="1" applyBorder="1"/>
    <xf numFmtId="0" fontId="0" fillId="0" borderId="23" xfId="0" applyFill="1" applyBorder="1"/>
    <xf numFmtId="0" fontId="0" fillId="0" borderId="12" xfId="0"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94.966761633428291</c:v>
                </c:pt>
                <c:pt idx="1">
                  <c:v>189.93352326685658</c:v>
                </c:pt>
                <c:pt idx="2">
                  <c:v>379.86704653371316</c:v>
                </c:pt>
                <c:pt idx="3">
                  <c:v>759.73409306742633</c:v>
                </c:pt>
                <c:pt idx="4">
                  <c:v>1519.4681861348527</c:v>
                </c:pt>
                <c:pt idx="5">
                  <c:v>3038.9363722697053</c:v>
                </c:pt>
                <c:pt idx="6">
                  <c:v>6077.8727445394106</c:v>
                </c:pt>
                <c:pt idx="7">
                  <c:v>12155.745489078821</c:v>
                </c:pt>
                <c:pt idx="8">
                  <c:v>24311.490978157643</c:v>
                </c:pt>
                <c:pt idx="9">
                  <c:v>48622.981956315285</c:v>
                </c:pt>
                <c:pt idx="10">
                  <c:v>97245.96391263057</c:v>
                </c:pt>
                <c:pt idx="11">
                  <c:v>194491.92782526114</c:v>
                </c:pt>
                <c:pt idx="12">
                  <c:v>388983.85565052228</c:v>
                </c:pt>
                <c:pt idx="13">
                  <c:v>777967.71130104456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18.043684710351371</c:v>
                </c:pt>
                <c:pt idx="1">
                  <c:v>36.087369420702743</c:v>
                </c:pt>
                <c:pt idx="2">
                  <c:v>72.174738841405485</c:v>
                </c:pt>
                <c:pt idx="3">
                  <c:v>144.34947768281097</c:v>
                </c:pt>
                <c:pt idx="4">
                  <c:v>288.69895536562194</c:v>
                </c:pt>
                <c:pt idx="5">
                  <c:v>577.39791073124388</c:v>
                </c:pt>
                <c:pt idx="6">
                  <c:v>1154.7958214624878</c:v>
                </c:pt>
                <c:pt idx="7">
                  <c:v>2309.5916429249755</c:v>
                </c:pt>
                <c:pt idx="8">
                  <c:v>4619.1832858499511</c:v>
                </c:pt>
                <c:pt idx="9">
                  <c:v>9238.3665716999021</c:v>
                </c:pt>
                <c:pt idx="10">
                  <c:v>18476.733143399804</c:v>
                </c:pt>
                <c:pt idx="11">
                  <c:v>36953.466286799608</c:v>
                </c:pt>
                <c:pt idx="12">
                  <c:v>73906.932573599217</c:v>
                </c:pt>
                <c:pt idx="13">
                  <c:v>147813.86514719843</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76.92307692307692</c:v>
                </c:pt>
                <c:pt idx="4">
                  <c:v>153.84615384615384</c:v>
                </c:pt>
                <c:pt idx="5">
                  <c:v>307.69230769230768</c:v>
                </c:pt>
                <c:pt idx="6">
                  <c:v>615.38461538461536</c:v>
                </c:pt>
                <c:pt idx="7">
                  <c:v>1230.7692307692307</c:v>
                </c:pt>
                <c:pt idx="8">
                  <c:v>2461.5384615384614</c:v>
                </c:pt>
                <c:pt idx="9">
                  <c:v>4923.0769230769229</c:v>
                </c:pt>
                <c:pt idx="10">
                  <c:v>9846.1538461538457</c:v>
                </c:pt>
                <c:pt idx="11">
                  <c:v>19692.307692307691</c:v>
                </c:pt>
                <c:pt idx="12">
                  <c:v>39384.615384615383</c:v>
                </c:pt>
                <c:pt idx="13">
                  <c:v>78769.230769230766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Projections!$G$26:$AF$26</c15:sqref>
                  </c15:fullRef>
                </c:ext>
              </c:extLst>
              <c:f>Projections!$G$26:$T$26</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Projections!$A$50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Projections!$G$50:$AF$50</c15:sqref>
                  </c15:fullRef>
                </c:ext>
              </c:extLst>
              <c:f>Projections!$G$50:$T$50</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0.40625</c:v>
                </c:pt>
                <c:pt idx="1">
                  <c:v>0.8125</c:v>
                </c:pt>
                <c:pt idx="2">
                  <c:v>1.625</c:v>
                </c:pt>
                <c:pt idx="3">
                  <c:v>3.25</c:v>
                </c:pt>
                <c:pt idx="4">
                  <c:v>6.5</c:v>
                </c:pt>
                <c:pt idx="5">
                  <c:v>13</c:v>
                </c:pt>
                <c:pt idx="6">
                  <c:v>26</c:v>
                </c:pt>
                <c:pt idx="7">
                  <c:v>52</c:v>
                </c:pt>
                <c:pt idx="8">
                  <c:v>78</c:v>
                </c:pt>
                <c:pt idx="9">
                  <c:v>85.8</c:v>
                </c:pt>
                <c:pt idx="10">
                  <c:v>93.6</c:v>
                </c:pt>
                <c:pt idx="11">
                  <c:v>98.8</c:v>
                </c:pt>
                <c:pt idx="12">
                  <c:v>101.39999999999999</c:v>
                </c:pt>
                <c:pt idx="13">
                  <c:v>104</c:v>
                </c:pt>
              </c:numCache>
            </c:numRef>
          </c:val>
          <c:smooth val="0"/>
          <c:extLst>
            <c:ext xmlns:c16="http://schemas.microsoft.com/office/drawing/2014/chart" uri="{C3380CC4-5D6E-409C-BE32-E72D297353CC}">
              <c16:uniqueId val="{00000000-50BE-40C1-B679-81AF0BCE3FCD}"/>
            </c:ext>
          </c:extLst>
        </c:ser>
        <c:ser>
          <c:idx val="1"/>
          <c:order val="1"/>
          <c:tx>
            <c:strRef>
              <c:f>Projections!$A$54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Projections!$G$54:$AF$54</c15:sqref>
                  </c15:fullRef>
                </c:ext>
              </c:extLst>
              <c:f>Projections!$G$54:$T$54</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Projections!$A$36</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608.3294820965848</c:v>
                </c:pt>
                <c:pt idx="9">
                  <c:v>761.47298336739129</c:v>
                </c:pt>
                <c:pt idx="10">
                  <c:v>748.8238327675374</c:v>
                </c:pt>
                <c:pt idx="11">
                  <c:v>762.27007555246541</c:v>
                </c:pt>
                <c:pt idx="12">
                  <c:v>766.60424841990653</c:v>
                </c:pt>
                <c:pt idx="13">
                  <c:v>758.33024585961698</c:v>
                </c:pt>
              </c:numCache>
            </c:numRef>
          </c:val>
          <c:smooth val="0"/>
          <c:extLst>
            <c:ext xmlns:c16="http://schemas.microsoft.com/office/drawing/2014/chart" uri="{C3380CC4-5D6E-409C-BE32-E72D297353CC}">
              <c16:uniqueId val="{00000000-A3C2-4B4C-996C-CDB1A252886F}"/>
            </c:ext>
          </c:extLst>
        </c:ser>
        <c:ser>
          <c:idx val="2"/>
          <c:order val="1"/>
          <c:tx>
            <c:strRef>
              <c:f>Projections!$A$37</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517.49242108391991</c:v>
                </c:pt>
                <c:pt idx="9">
                  <c:v>321.44882867066076</c:v>
                </c:pt>
                <c:pt idx="10">
                  <c:v>274.56516344014676</c:v>
                </c:pt>
                <c:pt idx="11">
                  <c:v>342.48047997211228</c:v>
                </c:pt>
                <c:pt idx="12">
                  <c:v>367.12847661274299</c:v>
                </c:pt>
                <c:pt idx="13">
                  <c:v>421.51777969362746</c:v>
                </c:pt>
              </c:numCache>
            </c:numRef>
          </c:val>
          <c:smooth val="0"/>
          <c:extLst>
            <c:ext xmlns:c16="http://schemas.microsoft.com/office/drawing/2014/chart" uri="{C3380CC4-5D6E-409C-BE32-E72D297353CC}">
              <c16:uniqueId val="{00000001-A3C2-4B4C-996C-CDB1A252886F}"/>
            </c:ext>
          </c:extLst>
        </c:ser>
        <c:ser>
          <c:idx val="0"/>
          <c:order val="2"/>
          <c:tx>
            <c:strRef>
              <c:f>Projections!$A$38</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Projections!$G$38:$AF$38</c15:sqref>
                  </c15:fullRef>
                </c:ext>
              </c:extLst>
              <c:f>Projections!$G$38:$T$38</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90.837061012664918</c:v>
                </c:pt>
                <c:pt idx="9">
                  <c:v>440.02415469673053</c:v>
                </c:pt>
                <c:pt idx="10">
                  <c:v>474.25866932739063</c:v>
                </c:pt>
                <c:pt idx="11">
                  <c:v>419.78959558035314</c:v>
                </c:pt>
                <c:pt idx="12">
                  <c:v>399.47577180716354</c:v>
                </c:pt>
                <c:pt idx="13">
                  <c:v>382.76661378826617</c:v>
                </c:pt>
              </c:numCache>
            </c:numRef>
          </c:val>
          <c:smooth val="0"/>
          <c:extLst>
            <c:ext xmlns:c16="http://schemas.microsoft.com/office/drawing/2014/chart" uri="{C3380CC4-5D6E-409C-BE32-E72D297353CC}">
              <c16:uniqueId val="{00000002-A3C2-4B4C-996C-CDB1A252886F}"/>
            </c:ext>
          </c:extLst>
        </c:ser>
        <c:ser>
          <c:idx val="4"/>
          <c:order val="3"/>
          <c:tx>
            <c:strRef>
              <c:f>Projections!$A$39</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Projections!$G$39:$AF$39</c15:sqref>
                  </c15:fullRef>
                </c:ext>
              </c:extLst>
              <c:f>Projections!$G$39:$T$39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90.837061012664918</c:v>
                </c:pt>
                <c:pt idx="9">
                  <c:v>440.02415469673053</c:v>
                </c:pt>
                <c:pt idx="10">
                  <c:v>474.25866932739063</c:v>
                </c:pt>
                <c:pt idx="11">
                  <c:v>419.78959558035314</c:v>
                </c:pt>
                <c:pt idx="12">
                  <c:v>399.47577180716354</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Projections!$A$40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0.40625</c:v>
                </c:pt>
                <c:pt idx="1">
                  <c:v>0.8125</c:v>
                </c:pt>
                <c:pt idx="2">
                  <c:v>1.625</c:v>
                </c:pt>
                <c:pt idx="3">
                  <c:v>3.25</c:v>
                </c:pt>
                <c:pt idx="4">
                  <c:v>6.5</c:v>
                </c:pt>
                <c:pt idx="5">
                  <c:v>13</c:v>
                </c:pt>
                <c:pt idx="6">
                  <c:v>26</c:v>
                </c:pt>
                <c:pt idx="7">
                  <c:v>52</c:v>
                </c:pt>
                <c:pt idx="8">
                  <c:v>78</c:v>
                </c:pt>
                <c:pt idx="9">
                  <c:v>85.8</c:v>
                </c:pt>
                <c:pt idx="10">
                  <c:v>93.6</c:v>
                </c:pt>
                <c:pt idx="11">
                  <c:v>98.8</c:v>
                </c:pt>
                <c:pt idx="12">
                  <c:v>101.39999999999999</c:v>
                </c:pt>
                <c:pt idx="13">
                  <c:v>104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Projections!$G$58:$AF$58</c15:sqref>
                  </c15:fullRef>
                </c:ext>
              </c:extLst>
              <c:f>Projections!$G$58:$T$58</c:f>
              <c:numCache>
                <c:formatCode>#,##0</c:formatCode>
                <c:ptCount val="14"/>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190.67410035478966</c:v>
                </c:pt>
                <c:pt idx="10">
                  <c:v>208.00810947795236</c:v>
                </c:pt>
                <c:pt idx="11">
                  <c:v>219.5641155600608</c:v>
                </c:pt>
                <c:pt idx="12">
                  <c:v>225.34211860111503</c:v>
                </c:pt>
                <c:pt idx="13">
                  <c:v>231.12012164216927</c:v>
                </c:pt>
              </c:numCache>
            </c:numRef>
          </c:val>
          <c:smooth val="0"/>
          <c:extLst>
            <c:ext xmlns:c16="http://schemas.microsoft.com/office/drawing/2014/chart" uri="{C3380CC4-5D6E-409C-BE32-E72D297353CC}">
              <c16:uniqueId val="{00000000-7972-43AB-83E8-C2C99B4277B0}"/>
            </c:ext>
          </c:extLst>
        </c:ser>
        <c:ser>
          <c:idx val="2"/>
          <c:order val="1"/>
          <c:tx>
            <c:strRef>
              <c:f>Projections!$A$60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Projections!$G$60:$AF$60</c15:sqref>
                  </c15:fullRef>
                </c:ext>
              </c:extLst>
              <c:f>Projections!$G$60:$T$60</c:f>
              <c:numCache>
                <c:formatCode>#,##0</c:formatCode>
                <c:ptCount val="14"/>
                <c:pt idx="0">
                  <c:v>3.315593850312553</c:v>
                </c:pt>
                <c:pt idx="1">
                  <c:v>6.6311877006251061</c:v>
                </c:pt>
                <c:pt idx="2">
                  <c:v>13.262375401250212</c:v>
                </c:pt>
                <c:pt idx="3">
                  <c:v>26.524750802500424</c:v>
                </c:pt>
                <c:pt idx="4">
                  <c:v>53.049501605000849</c:v>
                </c:pt>
                <c:pt idx="5">
                  <c:v>106.0990032100017</c:v>
                </c:pt>
                <c:pt idx="6">
                  <c:v>212.1980064200034</c:v>
                </c:pt>
                <c:pt idx="7">
                  <c:v>424.39601284000679</c:v>
                </c:pt>
                <c:pt idx="8">
                  <c:v>636.59401926001021</c:v>
                </c:pt>
                <c:pt idx="9">
                  <c:v>700.25342118601122</c:v>
                </c:pt>
                <c:pt idx="10">
                  <c:v>763.91282311201223</c:v>
                </c:pt>
                <c:pt idx="11">
                  <c:v>806.35242439601291</c:v>
                </c:pt>
                <c:pt idx="12">
                  <c:v>827.57222503801324</c:v>
                </c:pt>
                <c:pt idx="13">
                  <c:v>848.79202568001358</c:v>
                </c:pt>
              </c:numCache>
            </c:numRef>
          </c:val>
          <c:smooth val="0"/>
          <c:extLst>
            <c:ext xmlns:c16="http://schemas.microsoft.com/office/drawing/2014/chart" uri="{C3380CC4-5D6E-409C-BE32-E72D297353CC}">
              <c16:uniqueId val="{00000001-7972-43AB-83E8-C2C99B4277B0}"/>
            </c:ext>
          </c:extLst>
        </c:ser>
        <c:ser>
          <c:idx val="4"/>
          <c:order val="2"/>
          <c:tx>
            <c:strRef>
              <c:f>Projections!$A$62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Projections!$G$62:$AF$62</c15:sqref>
                  </c15:fullRef>
                </c:ext>
              </c:extLst>
              <c:f>Projections!$G$62:$T$62</c:f>
              <c:numCache>
                <c:formatCode>#,##0</c:formatCode>
                <c:ptCount val="14"/>
                <c:pt idx="0">
                  <c:v>5.2584896097313738</c:v>
                </c:pt>
                <c:pt idx="1">
                  <c:v>10.516979219462748</c:v>
                </c:pt>
                <c:pt idx="2">
                  <c:v>21.033958438925495</c:v>
                </c:pt>
                <c:pt idx="3">
                  <c:v>42.06791687785099</c:v>
                </c:pt>
                <c:pt idx="4">
                  <c:v>84.135833755701981</c:v>
                </c:pt>
                <c:pt idx="5">
                  <c:v>168.27166751140396</c:v>
                </c:pt>
                <c:pt idx="6">
                  <c:v>336.54333502280792</c:v>
                </c:pt>
                <c:pt idx="7">
                  <c:v>673.08667004561585</c:v>
                </c:pt>
                <c:pt idx="8">
                  <c:v>1009.6300050684238</c:v>
                </c:pt>
                <c:pt idx="9">
                  <c:v>1110.593005575266</c:v>
                </c:pt>
                <c:pt idx="10">
                  <c:v>1211.5560060821085</c:v>
                </c:pt>
                <c:pt idx="11">
                  <c:v>1278.8646730866701</c:v>
                </c:pt>
                <c:pt idx="12">
                  <c:v>1312.5190065889508</c:v>
                </c:pt>
                <c:pt idx="13">
                  <c:v>1346.1733400912317</c:v>
                </c:pt>
              </c:numCache>
            </c:numRef>
          </c:val>
          <c:smooth val="0"/>
          <c:extLst>
            <c:ext xmlns:c16="http://schemas.microsoft.com/office/drawing/2014/chart" uri="{C3380CC4-5D6E-409C-BE32-E72D297353CC}">
              <c16:uniqueId val="{00000002-7972-43AB-83E8-C2C99B4277B0}"/>
            </c:ext>
          </c:extLst>
        </c:ser>
        <c:ser>
          <c:idx val="6"/>
          <c:order val="3"/>
          <c:tx>
            <c:strRef>
              <c:f>Projections!$A$64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4.8361209663794558</c:v>
                </c:pt>
                <c:pt idx="1">
                  <c:v>9.6722419327589115</c:v>
                </c:pt>
                <c:pt idx="2">
                  <c:v>19.344483865517823</c:v>
                </c:pt>
                <c:pt idx="3">
                  <c:v>38.688967731035646</c:v>
                </c:pt>
                <c:pt idx="4">
                  <c:v>77.377935462071292</c:v>
                </c:pt>
                <c:pt idx="5">
                  <c:v>154.75587092414258</c:v>
                </c:pt>
                <c:pt idx="6">
                  <c:v>309.51174184828517</c:v>
                </c:pt>
                <c:pt idx="7">
                  <c:v>619.02348369657034</c:v>
                </c:pt>
                <c:pt idx="8">
                  <c:v>928.53522554485551</c:v>
                </c:pt>
                <c:pt idx="9">
                  <c:v>1021.3887480993411</c:v>
                </c:pt>
                <c:pt idx="10">
                  <c:v>1114.2422706538266</c:v>
                </c:pt>
                <c:pt idx="11">
                  <c:v>1176.1446190234838</c:v>
                </c:pt>
                <c:pt idx="12">
                  <c:v>1207.0957932083122</c:v>
                </c:pt>
                <c:pt idx="13">
                  <c:v>1238.0469673931407</c:v>
                </c:pt>
              </c:numCache>
            </c:numRef>
          </c:val>
          <c:smooth val="0"/>
          <c:extLst>
            <c:ext xmlns:c16="http://schemas.microsoft.com/office/drawing/2014/chart" uri="{C3380CC4-5D6E-409C-BE32-E72D297353CC}">
              <c16:uniqueId val="{00000003-7972-43AB-83E8-C2C99B4277B0}"/>
            </c:ext>
          </c:extLst>
        </c:ser>
        <c:ser>
          <c:idx val="8"/>
          <c:order val="4"/>
          <c:tx>
            <c:strRef>
              <c:f>Projections!$A$66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4.028340935968914</c:v>
                </c:pt>
                <c:pt idx="1">
                  <c:v>8.0566818719378279</c:v>
                </c:pt>
                <c:pt idx="2">
                  <c:v>16.113363743875656</c:v>
                </c:pt>
                <c:pt idx="3">
                  <c:v>32.226727487751312</c:v>
                </c:pt>
                <c:pt idx="4">
                  <c:v>64.453454975502623</c:v>
                </c:pt>
                <c:pt idx="5">
                  <c:v>128.90690995100525</c:v>
                </c:pt>
                <c:pt idx="6">
                  <c:v>257.81381990201049</c:v>
                </c:pt>
                <c:pt idx="7">
                  <c:v>515.62763980402099</c:v>
                </c:pt>
                <c:pt idx="8">
                  <c:v>773.44145970603142</c:v>
                </c:pt>
                <c:pt idx="9">
                  <c:v>850.78560567663453</c:v>
                </c:pt>
                <c:pt idx="10">
                  <c:v>928.12975164723764</c:v>
                </c:pt>
                <c:pt idx="11">
                  <c:v>979.69251562763975</c:v>
                </c:pt>
                <c:pt idx="12">
                  <c:v>1005.4738976178409</c:v>
                </c:pt>
                <c:pt idx="13">
                  <c:v>1031.255279608042</c:v>
                </c:pt>
              </c:numCache>
            </c:numRef>
          </c:val>
          <c:smooth val="0"/>
          <c:extLst>
            <c:ext xmlns:c16="http://schemas.microsoft.com/office/drawing/2014/chart" uri="{C3380CC4-5D6E-409C-BE32-E72D297353CC}">
              <c16:uniqueId val="{00000004-7972-43AB-83E8-C2C99B4277B0}"/>
            </c:ext>
          </c:extLst>
        </c:ser>
        <c:ser>
          <c:idx val="10"/>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4.9417131272174357</c:v>
                </c:pt>
                <c:pt idx="1">
                  <c:v>9.8834262544348714</c:v>
                </c:pt>
                <c:pt idx="2">
                  <c:v>19.766852508869743</c:v>
                </c:pt>
                <c:pt idx="3">
                  <c:v>39.533705017739486</c:v>
                </c:pt>
                <c:pt idx="4">
                  <c:v>79.067410035478972</c:v>
                </c:pt>
                <c:pt idx="5">
                  <c:v>158.13482007095794</c:v>
                </c:pt>
                <c:pt idx="6">
                  <c:v>316.26964014191589</c:v>
                </c:pt>
                <c:pt idx="7">
                  <c:v>632.53928028383177</c:v>
                </c:pt>
                <c:pt idx="8">
                  <c:v>948.80892042574771</c:v>
                </c:pt>
                <c:pt idx="9">
                  <c:v>1043.6898124683223</c:v>
                </c:pt>
                <c:pt idx="10">
                  <c:v>1138.5707045108973</c:v>
                </c:pt>
                <c:pt idx="11">
                  <c:v>1201.8246325392804</c:v>
                </c:pt>
                <c:pt idx="12">
                  <c:v>1233.451596553472</c:v>
                </c:pt>
                <c:pt idx="13">
                  <c:v>1265.0785605676635</c:v>
                </c:pt>
              </c:numCache>
            </c:numRef>
          </c:val>
          <c:smooth val="0"/>
          <c:extLst>
            <c:ext xmlns:c16="http://schemas.microsoft.com/office/drawing/2014/chart" uri="{C3380CC4-5D6E-409C-BE32-E72D297353CC}">
              <c16:uniqueId val="{00000005-7972-43AB-83E8-C2C99B4277B0}"/>
            </c:ext>
          </c:extLst>
        </c:ser>
        <c:ser>
          <c:idx val="12"/>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6.7526186855887822</c:v>
                </c:pt>
                <c:pt idx="1">
                  <c:v>13.505237371177564</c:v>
                </c:pt>
                <c:pt idx="2">
                  <c:v>27.010474742355129</c:v>
                </c:pt>
                <c:pt idx="3">
                  <c:v>54.020949484710258</c:v>
                </c:pt>
                <c:pt idx="4">
                  <c:v>108.04189896942052</c:v>
                </c:pt>
                <c:pt idx="5">
                  <c:v>216.08379793884103</c:v>
                </c:pt>
                <c:pt idx="6">
                  <c:v>432.16759587768206</c:v>
                </c:pt>
                <c:pt idx="7">
                  <c:v>864.33519175536412</c:v>
                </c:pt>
                <c:pt idx="8">
                  <c:v>1296.5027876330462</c:v>
                </c:pt>
                <c:pt idx="9">
                  <c:v>1426.1530663963508</c:v>
                </c:pt>
                <c:pt idx="10">
                  <c:v>1555.8033451596555</c:v>
                </c:pt>
                <c:pt idx="11">
                  <c:v>1642.2368643351917</c:v>
                </c:pt>
                <c:pt idx="12">
                  <c:v>1685.4536239229601</c:v>
                </c:pt>
                <c:pt idx="13">
                  <c:v>1728.6703835107282</c:v>
                </c:pt>
              </c:numCache>
            </c:numRef>
          </c:val>
          <c:smooth val="0"/>
          <c:extLst>
            <c:ext xmlns:c16="http://schemas.microsoft.com/office/drawing/2014/chart" uri="{C3380CC4-5D6E-409C-BE32-E72D297353CC}">
              <c16:uniqueId val="{00000006-7972-43AB-83E8-C2C99B4277B0}"/>
            </c:ext>
          </c:extLst>
        </c:ser>
        <c:ser>
          <c:idx val="14"/>
          <c:order val="7"/>
          <c:tx>
            <c:strRef>
              <c:f>Projections!$A$72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190.67410035478966</c:v>
                </c:pt>
                <c:pt idx="10">
                  <c:v>208.00810947795236</c:v>
                </c:pt>
                <c:pt idx="11">
                  <c:v>219.5641155600608</c:v>
                </c:pt>
                <c:pt idx="12">
                  <c:v>225.34211860111503</c:v>
                </c:pt>
                <c:pt idx="13">
                  <c:v>231.12012164216927</c:v>
                </c:pt>
              </c:numCache>
            </c:numRef>
          </c:val>
          <c:smooth val="0"/>
          <c:extLst>
            <c:ext xmlns:c16="http://schemas.microsoft.com/office/drawing/2014/chart" uri="{C3380CC4-5D6E-409C-BE32-E72D297353CC}">
              <c16:uniqueId val="{00000007-7972-43AB-83E8-C2C99B4277B0}"/>
            </c:ext>
          </c:extLst>
        </c:ser>
        <c:ser>
          <c:idx val="16"/>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0.31149687447203916</c:v>
                </c:pt>
                <c:pt idx="1">
                  <c:v>0.62299374894407833</c:v>
                </c:pt>
                <c:pt idx="2">
                  <c:v>1.2459874978881567</c:v>
                </c:pt>
                <c:pt idx="3">
                  <c:v>2.4919749957763133</c:v>
                </c:pt>
                <c:pt idx="4">
                  <c:v>4.9839499915526266</c:v>
                </c:pt>
                <c:pt idx="5">
                  <c:v>9.9678999831052533</c:v>
                </c:pt>
                <c:pt idx="6">
                  <c:v>19.935799966210507</c:v>
                </c:pt>
                <c:pt idx="7">
                  <c:v>39.871599932421013</c:v>
                </c:pt>
                <c:pt idx="8">
                  <c:v>59.807399898631523</c:v>
                </c:pt>
                <c:pt idx="9">
                  <c:v>65.788139888494683</c:v>
                </c:pt>
                <c:pt idx="10">
                  <c:v>71.768879878357822</c:v>
                </c:pt>
                <c:pt idx="11">
                  <c:v>75.756039871599924</c:v>
                </c:pt>
                <c:pt idx="12">
                  <c:v>77.749619868220975</c:v>
                </c:pt>
                <c:pt idx="13">
                  <c:v>79.743199864842026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Projections!$G$59:$AF$59</c15:sqref>
                  </c15:fullRef>
                </c:ext>
              </c:extLst>
              <c:f>Projections!$G$59:$T$59</c:f>
              <c:numCache>
                <c:formatCode>#,##0</c:formatCode>
                <c:ptCount val="14"/>
                <c:pt idx="0">
                  <c:v>0.13361632032437909</c:v>
                </c:pt>
                <c:pt idx="1">
                  <c:v>0.26723264064875818</c:v>
                </c:pt>
                <c:pt idx="2">
                  <c:v>0.53446528129751636</c:v>
                </c:pt>
                <c:pt idx="3">
                  <c:v>1.0689305625950327</c:v>
                </c:pt>
                <c:pt idx="4">
                  <c:v>2.1378611251900654</c:v>
                </c:pt>
                <c:pt idx="5">
                  <c:v>4.2757222503801309</c:v>
                </c:pt>
                <c:pt idx="6">
                  <c:v>8.5514445007602617</c:v>
                </c:pt>
                <c:pt idx="7">
                  <c:v>17.102889001520523</c:v>
                </c:pt>
                <c:pt idx="8">
                  <c:v>25.654333502280789</c:v>
                </c:pt>
                <c:pt idx="9">
                  <c:v>28.219766852508869</c:v>
                </c:pt>
                <c:pt idx="10">
                  <c:v>30.785200202736949</c:v>
                </c:pt>
                <c:pt idx="11">
                  <c:v>32.495489102888996</c:v>
                </c:pt>
                <c:pt idx="12">
                  <c:v>33.350633552965022</c:v>
                </c:pt>
                <c:pt idx="13">
                  <c:v>34.205778003041047</c:v>
                </c:pt>
              </c:numCache>
            </c:numRef>
          </c:val>
          <c:smooth val="0"/>
          <c:extLst>
            <c:ext xmlns:c16="http://schemas.microsoft.com/office/drawing/2014/chart" uri="{C3380CC4-5D6E-409C-BE32-E72D297353CC}">
              <c16:uniqueId val="{00000000-FE50-482D-905D-7C3B099138E4}"/>
            </c:ext>
          </c:extLst>
        </c:ser>
        <c:ser>
          <c:idx val="3"/>
          <c:order val="1"/>
          <c:tx>
            <c:strRef>
              <c:f>Projections!$A$60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Projections!$G$61:$AF$61</c15:sqref>
                  </c15:fullRef>
                </c:ext>
              </c:extLst>
              <c:f>Projections!$G$61:$T$61</c:f>
              <c:numCache>
                <c:formatCode>#,##0</c:formatCode>
                <c:ptCount val="14"/>
                <c:pt idx="0">
                  <c:v>0.26524750802500424</c:v>
                </c:pt>
                <c:pt idx="1">
                  <c:v>0.53049501605000848</c:v>
                </c:pt>
                <c:pt idx="2">
                  <c:v>1.060990032100017</c:v>
                </c:pt>
                <c:pt idx="3">
                  <c:v>2.1219800642000339</c:v>
                </c:pt>
                <c:pt idx="4">
                  <c:v>4.2439601284000679</c:v>
                </c:pt>
                <c:pt idx="5">
                  <c:v>8.4879202568001357</c:v>
                </c:pt>
                <c:pt idx="6">
                  <c:v>16.975840513600271</c:v>
                </c:pt>
                <c:pt idx="7">
                  <c:v>33.951681027200543</c:v>
                </c:pt>
                <c:pt idx="8">
                  <c:v>50.927521540800818</c:v>
                </c:pt>
                <c:pt idx="9">
                  <c:v>56.020273694880899</c:v>
                </c:pt>
                <c:pt idx="10">
                  <c:v>61.11302584896098</c:v>
                </c:pt>
                <c:pt idx="11">
                  <c:v>64.508193951681037</c:v>
                </c:pt>
                <c:pt idx="12">
                  <c:v>66.205778003041061</c:v>
                </c:pt>
                <c:pt idx="13">
                  <c:v>67.903362054401086</c:v>
                </c:pt>
              </c:numCache>
            </c:numRef>
          </c:val>
          <c:smooth val="0"/>
          <c:extLst>
            <c:ext xmlns:c16="http://schemas.microsoft.com/office/drawing/2014/chart" uri="{C3380CC4-5D6E-409C-BE32-E72D297353CC}">
              <c16:uniqueId val="{00000001-FE50-482D-905D-7C3B099138E4}"/>
            </c:ext>
          </c:extLst>
        </c:ser>
        <c:ser>
          <c:idx val="5"/>
          <c:order val="2"/>
          <c:tx>
            <c:strRef>
              <c:f>Projections!$A$62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Projections!$G$63:$AF$63</c15:sqref>
                  </c15:fullRef>
                </c:ext>
              </c:extLst>
              <c:f>Projections!$G$63:$T$63</c:f>
              <c:numCache>
                <c:formatCode>#,##0</c:formatCode>
                <c:ptCount val="14"/>
                <c:pt idx="0">
                  <c:v>0.18930562595032943</c:v>
                </c:pt>
                <c:pt idx="1">
                  <c:v>0.37861125190065886</c:v>
                </c:pt>
                <c:pt idx="2">
                  <c:v>0.75722250380131773</c:v>
                </c:pt>
                <c:pt idx="3">
                  <c:v>1.5144450076026355</c:v>
                </c:pt>
                <c:pt idx="4">
                  <c:v>3.0288900152052709</c:v>
                </c:pt>
                <c:pt idx="5">
                  <c:v>6.0577800304105418</c:v>
                </c:pt>
                <c:pt idx="6">
                  <c:v>12.115560060821084</c:v>
                </c:pt>
                <c:pt idx="7">
                  <c:v>24.231120121642167</c:v>
                </c:pt>
                <c:pt idx="8">
                  <c:v>36.346680182463253</c:v>
                </c:pt>
                <c:pt idx="9">
                  <c:v>39.981348200709576</c:v>
                </c:pt>
                <c:pt idx="10">
                  <c:v>43.616016218955906</c:v>
                </c:pt>
                <c:pt idx="11">
                  <c:v>46.039128231120124</c:v>
                </c:pt>
                <c:pt idx="12">
                  <c:v>47.250684237202222</c:v>
                </c:pt>
                <c:pt idx="13">
                  <c:v>48.462240243284334</c:v>
                </c:pt>
              </c:numCache>
            </c:numRef>
          </c:val>
          <c:smooth val="0"/>
          <c:extLst>
            <c:ext xmlns:c16="http://schemas.microsoft.com/office/drawing/2014/chart" uri="{C3380CC4-5D6E-409C-BE32-E72D297353CC}">
              <c16:uniqueId val="{00000002-FE50-482D-905D-7C3B099138E4}"/>
            </c:ext>
          </c:extLst>
        </c:ser>
        <c:ser>
          <c:idx val="7"/>
          <c:order val="3"/>
          <c:tx>
            <c:strRef>
              <c:f>Projections!$A$64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6.2869572562932921E-2</c:v>
                </c:pt>
                <c:pt idx="1">
                  <c:v>0.12573914512586584</c:v>
                </c:pt>
                <c:pt idx="2">
                  <c:v>0.25147829025173168</c:v>
                </c:pt>
                <c:pt idx="3">
                  <c:v>0.50295658050346337</c:v>
                </c:pt>
                <c:pt idx="4">
                  <c:v>1.0059131610069267</c:v>
                </c:pt>
                <c:pt idx="5">
                  <c:v>2.0118263220138535</c:v>
                </c:pt>
                <c:pt idx="6">
                  <c:v>4.0236526440277069</c:v>
                </c:pt>
                <c:pt idx="7">
                  <c:v>8.0473052880554139</c:v>
                </c:pt>
                <c:pt idx="8">
                  <c:v>12.070957932083122</c:v>
                </c:pt>
                <c:pt idx="9">
                  <c:v>13.278053725291434</c:v>
                </c:pt>
                <c:pt idx="10">
                  <c:v>14.485149518499746</c:v>
                </c:pt>
                <c:pt idx="11">
                  <c:v>15.289880047305289</c:v>
                </c:pt>
                <c:pt idx="12">
                  <c:v>15.692245311708058</c:v>
                </c:pt>
                <c:pt idx="13">
                  <c:v>16.094610576110828</c:v>
                </c:pt>
              </c:numCache>
            </c:numRef>
          </c:val>
          <c:smooth val="0"/>
          <c:extLst>
            <c:ext xmlns:c16="http://schemas.microsoft.com/office/drawing/2014/chart" uri="{C3380CC4-5D6E-409C-BE32-E72D297353CC}">
              <c16:uniqueId val="{00000003-FE50-482D-905D-7C3B099138E4}"/>
            </c:ext>
          </c:extLst>
        </c:ser>
        <c:ser>
          <c:idx val="9"/>
          <c:order val="4"/>
          <c:tx>
            <c:strRef>
              <c:f>Projections!$A$66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1.6113363743875658E-2</c:v>
                </c:pt>
                <c:pt idx="1">
                  <c:v>3.2226727487751315E-2</c:v>
                </c:pt>
                <c:pt idx="2">
                  <c:v>6.445345497550263E-2</c:v>
                </c:pt>
                <c:pt idx="3">
                  <c:v>0.12890690995100526</c:v>
                </c:pt>
                <c:pt idx="4">
                  <c:v>0.25781381990201052</c:v>
                </c:pt>
                <c:pt idx="5">
                  <c:v>0.51562763980402104</c:v>
                </c:pt>
                <c:pt idx="6">
                  <c:v>1.0312552796080421</c:v>
                </c:pt>
                <c:pt idx="7">
                  <c:v>2.0625105592160842</c:v>
                </c:pt>
                <c:pt idx="8">
                  <c:v>3.0937658388241256</c:v>
                </c:pt>
                <c:pt idx="9">
                  <c:v>3.4031424227065381</c:v>
                </c:pt>
                <c:pt idx="10">
                  <c:v>3.7125190065889506</c:v>
                </c:pt>
                <c:pt idx="11">
                  <c:v>3.9187700625105593</c:v>
                </c:pt>
                <c:pt idx="12">
                  <c:v>4.0218955904713631</c:v>
                </c:pt>
                <c:pt idx="13">
                  <c:v>4.1250211184321683</c:v>
                </c:pt>
              </c:numCache>
            </c:numRef>
          </c:val>
          <c:smooth val="0"/>
          <c:extLst>
            <c:ext xmlns:c16="http://schemas.microsoft.com/office/drawing/2014/chart" uri="{C3380CC4-5D6E-409C-BE32-E72D297353CC}">
              <c16:uniqueId val="{00000004-FE50-482D-905D-7C3B099138E4}"/>
            </c:ext>
          </c:extLst>
        </c:ser>
        <c:ser>
          <c:idx val="11"/>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9.8834262544348715E-3</c:v>
                </c:pt>
                <c:pt idx="1">
                  <c:v>1.9766852508869743E-2</c:v>
                </c:pt>
                <c:pt idx="2">
                  <c:v>3.9533705017739486E-2</c:v>
                </c:pt>
                <c:pt idx="3">
                  <c:v>7.9067410035478972E-2</c:v>
                </c:pt>
                <c:pt idx="4">
                  <c:v>0.15813482007095794</c:v>
                </c:pt>
                <c:pt idx="5">
                  <c:v>0.31626964014191589</c:v>
                </c:pt>
                <c:pt idx="6">
                  <c:v>0.63253928028383177</c:v>
                </c:pt>
                <c:pt idx="7">
                  <c:v>1.2650785605676635</c:v>
                </c:pt>
                <c:pt idx="8">
                  <c:v>1.8976178408514954</c:v>
                </c:pt>
                <c:pt idx="9">
                  <c:v>2.0873796249366445</c:v>
                </c:pt>
                <c:pt idx="10">
                  <c:v>2.2771414090217945</c:v>
                </c:pt>
                <c:pt idx="11">
                  <c:v>2.403649265078561</c:v>
                </c:pt>
                <c:pt idx="12">
                  <c:v>2.4669031931069441</c:v>
                </c:pt>
                <c:pt idx="13">
                  <c:v>2.5301571211353271</c:v>
                </c:pt>
              </c:numCache>
            </c:numRef>
          </c:val>
          <c:smooth val="0"/>
          <c:extLst>
            <c:ext xmlns:c16="http://schemas.microsoft.com/office/drawing/2014/chart" uri="{C3380CC4-5D6E-409C-BE32-E72D297353CC}">
              <c16:uniqueId val="{00000005-FE50-482D-905D-7C3B099138E4}"/>
            </c:ext>
          </c:extLst>
        </c:ser>
        <c:ser>
          <c:idx val="13"/>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1.3505237371177564E-2</c:v>
                </c:pt>
                <c:pt idx="1">
                  <c:v>2.7010474742355128E-2</c:v>
                </c:pt>
                <c:pt idx="2">
                  <c:v>5.4020949484710257E-2</c:v>
                </c:pt>
                <c:pt idx="3">
                  <c:v>0.10804189896942051</c:v>
                </c:pt>
                <c:pt idx="4">
                  <c:v>0.21608379793884103</c:v>
                </c:pt>
                <c:pt idx="5">
                  <c:v>0.43216759587768205</c:v>
                </c:pt>
                <c:pt idx="6">
                  <c:v>0.86433519175536411</c:v>
                </c:pt>
                <c:pt idx="7">
                  <c:v>1.7286703835107282</c:v>
                </c:pt>
                <c:pt idx="8">
                  <c:v>2.5930055752660923</c:v>
                </c:pt>
                <c:pt idx="9">
                  <c:v>2.8523061327927017</c:v>
                </c:pt>
                <c:pt idx="10">
                  <c:v>3.1116066903193111</c:v>
                </c:pt>
                <c:pt idx="11">
                  <c:v>3.2844737286703833</c:v>
                </c:pt>
                <c:pt idx="12">
                  <c:v>3.3709072478459201</c:v>
                </c:pt>
                <c:pt idx="13">
                  <c:v>3.4573407670214564</c:v>
                </c:pt>
              </c:numCache>
            </c:numRef>
          </c:val>
          <c:smooth val="0"/>
          <c:extLst>
            <c:ext xmlns:c16="http://schemas.microsoft.com/office/drawing/2014/chart" uri="{C3380CC4-5D6E-409C-BE32-E72D297353CC}">
              <c16:uniqueId val="{00000006-FE50-482D-905D-7C3B099138E4}"/>
            </c:ext>
          </c:extLst>
        </c:ser>
        <c:ser>
          <c:idx val="15"/>
          <c:order val="7"/>
          <c:tx>
            <c:strRef>
              <c:f>Projections!$A$72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1.8056259503294475E-3</c:v>
                </c:pt>
                <c:pt idx="1">
                  <c:v>3.6112519006588949E-3</c:v>
                </c:pt>
                <c:pt idx="2">
                  <c:v>7.2225038013177898E-3</c:v>
                </c:pt>
                <c:pt idx="3">
                  <c:v>1.444500760263558E-2</c:v>
                </c:pt>
                <c:pt idx="4">
                  <c:v>2.8890015205271159E-2</c:v>
                </c:pt>
                <c:pt idx="5">
                  <c:v>5.7780030410542318E-2</c:v>
                </c:pt>
                <c:pt idx="6">
                  <c:v>0.11556006082108464</c:v>
                </c:pt>
                <c:pt idx="7">
                  <c:v>0.23112012164216927</c:v>
                </c:pt>
                <c:pt idx="8">
                  <c:v>0.34668018246325394</c:v>
                </c:pt>
                <c:pt idx="9">
                  <c:v>0.38134820070957931</c:v>
                </c:pt>
                <c:pt idx="10">
                  <c:v>0.41601621895590474</c:v>
                </c:pt>
                <c:pt idx="11">
                  <c:v>0.43912823112012161</c:v>
                </c:pt>
                <c:pt idx="12">
                  <c:v>0.45068423720223005</c:v>
                </c:pt>
                <c:pt idx="13">
                  <c:v>0.46224024328433855</c:v>
                </c:pt>
              </c:numCache>
            </c:numRef>
          </c:val>
          <c:smooth val="0"/>
          <c:extLst>
            <c:ext xmlns:c16="http://schemas.microsoft.com/office/drawing/2014/chart" uri="{C3380CC4-5D6E-409C-BE32-E72D297353CC}">
              <c16:uniqueId val="{00000007-FE50-482D-905D-7C3B099138E4}"/>
            </c:ext>
          </c:extLst>
        </c:ser>
        <c:ser>
          <c:idx val="17"/>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10.53125</c:v>
                </c:pt>
                <c:pt idx="1">
                  <c:v>21.0625</c:v>
                </c:pt>
                <c:pt idx="2">
                  <c:v>42.125</c:v>
                </c:pt>
                <c:pt idx="3">
                  <c:v>84.25</c:v>
                </c:pt>
                <c:pt idx="4">
                  <c:v>168.5</c:v>
                </c:pt>
                <c:pt idx="5">
                  <c:v>337</c:v>
                </c:pt>
                <c:pt idx="6">
                  <c:v>674</c:v>
                </c:pt>
                <c:pt idx="7">
                  <c:v>1348</c:v>
                </c:pt>
                <c:pt idx="8">
                  <c:v>2022.0000000000002</c:v>
                </c:pt>
                <c:pt idx="9">
                  <c:v>2224.2000000000003</c:v>
                </c:pt>
                <c:pt idx="10">
                  <c:v>2426.4</c:v>
                </c:pt>
                <c:pt idx="11">
                  <c:v>2561.2000000000003</c:v>
                </c:pt>
                <c:pt idx="12">
                  <c:v>2628.6000000000004</c:v>
                </c:pt>
                <c:pt idx="13">
                  <c:v>2696</c:v>
                </c:pt>
              </c:numCache>
            </c:numRef>
          </c:val>
          <c:smooth val="0"/>
          <c:extLst>
            <c:ext xmlns:c16="http://schemas.microsoft.com/office/drawing/2014/chart" uri="{C3380CC4-5D6E-409C-BE32-E72D297353CC}">
              <c16:uniqueId val="{00000000-C5BA-4495-93D4-AC4CA8674604}"/>
            </c:ext>
          </c:extLst>
        </c:ser>
        <c:ser>
          <c:idx val="4"/>
          <c:order val="1"/>
          <c:tx>
            <c:strRef>
              <c:f>Projections!$A$85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Projections!$A$91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5.03125</c:v>
                </c:pt>
                <c:pt idx="1">
                  <c:v>10.0625</c:v>
                </c:pt>
                <c:pt idx="2">
                  <c:v>20.125</c:v>
                </c:pt>
                <c:pt idx="3">
                  <c:v>40.25</c:v>
                </c:pt>
                <c:pt idx="4">
                  <c:v>80.5</c:v>
                </c:pt>
                <c:pt idx="5">
                  <c:v>161</c:v>
                </c:pt>
                <c:pt idx="6">
                  <c:v>322</c:v>
                </c:pt>
                <c:pt idx="7">
                  <c:v>644</c:v>
                </c:pt>
                <c:pt idx="8">
                  <c:v>966</c:v>
                </c:pt>
                <c:pt idx="9">
                  <c:v>1062.6000000000001</c:v>
                </c:pt>
                <c:pt idx="10">
                  <c:v>1159.2</c:v>
                </c:pt>
                <c:pt idx="11">
                  <c:v>1223.6000000000001</c:v>
                </c:pt>
                <c:pt idx="12">
                  <c:v>1255.8</c:v>
                </c:pt>
                <c:pt idx="13">
                  <c:v>1288</c:v>
                </c:pt>
              </c:numCache>
            </c:numRef>
          </c:val>
          <c:smooth val="0"/>
          <c:extLst>
            <c:ext xmlns:c16="http://schemas.microsoft.com/office/drawing/2014/chart" uri="{C3380CC4-5D6E-409C-BE32-E72D297353CC}">
              <c16:uniqueId val="{00000002-C5BA-4495-93D4-AC4CA8674604}"/>
            </c:ext>
          </c:extLst>
        </c:ser>
        <c:ser>
          <c:idx val="0"/>
          <c:order val="3"/>
          <c:tx>
            <c:strRef>
              <c:f>Projections!$A$81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Projections!$A$83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1.4375</c:v>
                </c:pt>
                <c:pt idx="1">
                  <c:v>2.875</c:v>
                </c:pt>
                <c:pt idx="2">
                  <c:v>5.75</c:v>
                </c:pt>
                <c:pt idx="3">
                  <c:v>11.5</c:v>
                </c:pt>
                <c:pt idx="4">
                  <c:v>23</c:v>
                </c:pt>
                <c:pt idx="5">
                  <c:v>46</c:v>
                </c:pt>
                <c:pt idx="6">
                  <c:v>92</c:v>
                </c:pt>
                <c:pt idx="7">
                  <c:v>184</c:v>
                </c:pt>
                <c:pt idx="8">
                  <c:v>276</c:v>
                </c:pt>
                <c:pt idx="9">
                  <c:v>303.60000000000002</c:v>
                </c:pt>
                <c:pt idx="10">
                  <c:v>331.2</c:v>
                </c:pt>
                <c:pt idx="11">
                  <c:v>349.59999999999997</c:v>
                </c:pt>
                <c:pt idx="12">
                  <c:v>358.8</c:v>
                </c:pt>
                <c:pt idx="13">
                  <c:v>368</c:v>
                </c:pt>
              </c:numCache>
            </c:numRef>
          </c:val>
          <c:smooth val="0"/>
          <c:extLst>
            <c:ext xmlns:c16="http://schemas.microsoft.com/office/drawing/2014/chart" uri="{C3380CC4-5D6E-409C-BE32-E72D297353CC}">
              <c16:uniqueId val="{00000004-C5BA-4495-93D4-AC4CA8674604}"/>
            </c:ext>
          </c:extLst>
        </c:ser>
        <c:ser>
          <c:idx val="8"/>
          <c:order val="5"/>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0.46875</c:v>
                </c:pt>
                <c:pt idx="1">
                  <c:v>0.9375</c:v>
                </c:pt>
                <c:pt idx="2">
                  <c:v>1.875</c:v>
                </c:pt>
                <c:pt idx="3">
                  <c:v>3.75</c:v>
                </c:pt>
                <c:pt idx="4">
                  <c:v>7.5</c:v>
                </c:pt>
                <c:pt idx="5">
                  <c:v>15</c:v>
                </c:pt>
                <c:pt idx="6">
                  <c:v>30</c:v>
                </c:pt>
                <c:pt idx="7">
                  <c:v>60</c:v>
                </c:pt>
                <c:pt idx="8">
                  <c:v>90</c:v>
                </c:pt>
                <c:pt idx="9">
                  <c:v>99</c:v>
                </c:pt>
                <c:pt idx="10">
                  <c:v>108</c:v>
                </c:pt>
                <c:pt idx="11">
                  <c:v>114</c:v>
                </c:pt>
                <c:pt idx="12">
                  <c:v>117</c:v>
                </c:pt>
                <c:pt idx="13">
                  <c:v>120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0.63187499999999996</c:v>
                </c:pt>
                <c:pt idx="1">
                  <c:v>1.2637499999999999</c:v>
                </c:pt>
                <c:pt idx="2">
                  <c:v>2.5274999999999999</c:v>
                </c:pt>
                <c:pt idx="3">
                  <c:v>5.0549999999999997</c:v>
                </c:pt>
                <c:pt idx="4">
                  <c:v>10.11</c:v>
                </c:pt>
                <c:pt idx="5">
                  <c:v>20.22</c:v>
                </c:pt>
                <c:pt idx="6">
                  <c:v>40.44</c:v>
                </c:pt>
                <c:pt idx="7">
                  <c:v>80.88</c:v>
                </c:pt>
                <c:pt idx="8">
                  <c:v>121.32000000000001</c:v>
                </c:pt>
                <c:pt idx="9">
                  <c:v>133.452</c:v>
                </c:pt>
                <c:pt idx="10">
                  <c:v>145.584</c:v>
                </c:pt>
                <c:pt idx="11">
                  <c:v>153.672</c:v>
                </c:pt>
                <c:pt idx="12">
                  <c:v>157.71600000000001</c:v>
                </c:pt>
                <c:pt idx="13">
                  <c:v>161.76</c:v>
                </c:pt>
              </c:numCache>
            </c:numRef>
          </c:val>
          <c:smooth val="0"/>
          <c:extLst>
            <c:ext xmlns:c16="http://schemas.microsoft.com/office/drawing/2014/chart" uri="{C3380CC4-5D6E-409C-BE32-E72D297353CC}">
              <c16:uniqueId val="{00000000-5E66-4AF0-A3CA-7CF12153AA8E}"/>
            </c:ext>
          </c:extLst>
        </c:ser>
        <c:ser>
          <c:idx val="5"/>
          <c:order val="1"/>
          <c:tx>
            <c:strRef>
              <c:f>Projections!$A$85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Projections!$A$81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Projections!$A$83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20.148</c:v>
                </c:pt>
                <c:pt idx="9">
                  <c:v>22.162800000000001</c:v>
                </c:pt>
                <c:pt idx="10">
                  <c:v>24.177599999999998</c:v>
                </c:pt>
                <c:pt idx="11">
                  <c:v>25.520799999999994</c:v>
                </c:pt>
                <c:pt idx="12">
                  <c:v>26.192399999999999</c:v>
                </c:pt>
                <c:pt idx="13">
                  <c:v>26.863999999999997</c:v>
                </c:pt>
              </c:numCache>
            </c:numRef>
          </c:val>
          <c:smooth val="0"/>
          <c:extLst>
            <c:ext xmlns:c16="http://schemas.microsoft.com/office/drawing/2014/chart" uri="{C3380CC4-5D6E-409C-BE32-E72D297353CC}">
              <c16:uniqueId val="{00000003-5E66-4AF0-A3CA-7CF12153AA8E}"/>
            </c:ext>
          </c:extLst>
        </c:ser>
        <c:ser>
          <c:idx val="9"/>
          <c:order val="4"/>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2.6249999999999999E-2</c:v>
                </c:pt>
                <c:pt idx="1">
                  <c:v>5.2499999999999998E-2</c:v>
                </c:pt>
                <c:pt idx="2">
                  <c:v>0.105</c:v>
                </c:pt>
                <c:pt idx="3">
                  <c:v>0.21</c:v>
                </c:pt>
                <c:pt idx="4">
                  <c:v>0.42</c:v>
                </c:pt>
                <c:pt idx="5">
                  <c:v>0.84</c:v>
                </c:pt>
                <c:pt idx="6">
                  <c:v>1.68</c:v>
                </c:pt>
                <c:pt idx="7">
                  <c:v>3.36</c:v>
                </c:pt>
                <c:pt idx="8">
                  <c:v>5.04</c:v>
                </c:pt>
                <c:pt idx="9">
                  <c:v>5.5440000000000005</c:v>
                </c:pt>
                <c:pt idx="10">
                  <c:v>6.048</c:v>
                </c:pt>
                <c:pt idx="11">
                  <c:v>6.3840000000000003</c:v>
                </c:pt>
                <c:pt idx="12">
                  <c:v>6.5520000000000005</c:v>
                </c:pt>
                <c:pt idx="13">
                  <c:v>6.72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Projections!$G$26:$AF$26</c15:sqref>
                  </c15:fullRef>
                </c:ext>
              </c:extLst>
              <c:f>Projections!$G$26:$T$26</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Projections!$A$50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Projections!$G$50:$AF$50</c15:sqref>
                  </c15:fullRef>
                </c:ext>
              </c:extLst>
              <c:f>Projections!$G$50:$T$50</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0.40625</c:v>
                </c:pt>
                <c:pt idx="1">
                  <c:v>0.8125</c:v>
                </c:pt>
                <c:pt idx="2">
                  <c:v>1.625</c:v>
                </c:pt>
                <c:pt idx="3">
                  <c:v>3.25</c:v>
                </c:pt>
                <c:pt idx="4">
                  <c:v>6.5</c:v>
                </c:pt>
                <c:pt idx="5">
                  <c:v>13</c:v>
                </c:pt>
                <c:pt idx="6">
                  <c:v>26</c:v>
                </c:pt>
                <c:pt idx="7">
                  <c:v>52</c:v>
                </c:pt>
                <c:pt idx="8">
                  <c:v>78</c:v>
                </c:pt>
                <c:pt idx="9">
                  <c:v>85.8</c:v>
                </c:pt>
                <c:pt idx="10">
                  <c:v>93.6</c:v>
                </c:pt>
                <c:pt idx="11">
                  <c:v>98.8</c:v>
                </c:pt>
                <c:pt idx="12">
                  <c:v>101.39999999999999</c:v>
                </c:pt>
                <c:pt idx="13">
                  <c:v>104</c:v>
                </c:pt>
              </c:numCache>
            </c:numRef>
          </c:val>
          <c:smooth val="0"/>
          <c:extLst>
            <c:ext xmlns:c16="http://schemas.microsoft.com/office/drawing/2014/chart" uri="{C3380CC4-5D6E-409C-BE32-E72D297353CC}">
              <c16:uniqueId val="{00000000-FE1B-4946-A476-7952C5C71231}"/>
            </c:ext>
          </c:extLst>
        </c:ser>
        <c:ser>
          <c:idx val="1"/>
          <c:order val="1"/>
          <c:tx>
            <c:strRef>
              <c:f>Projections!$A$54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Projections!$G$54:$AF$54</c15:sqref>
                  </c15:fullRef>
                </c:ext>
              </c:extLst>
              <c:f>Projections!$G$54:$T$54</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76.92307692307692</c:v>
                </c:pt>
                <c:pt idx="4">
                  <c:v>153.84615384615384</c:v>
                </c:pt>
                <c:pt idx="5">
                  <c:v>307.69230769230768</c:v>
                </c:pt>
                <c:pt idx="6">
                  <c:v>615.38461538461536</c:v>
                </c:pt>
                <c:pt idx="7">
                  <c:v>1230.7692307692307</c:v>
                </c:pt>
                <c:pt idx="8">
                  <c:v>2461.5384615384614</c:v>
                </c:pt>
                <c:pt idx="9">
                  <c:v>4923.0769230769229</c:v>
                </c:pt>
                <c:pt idx="10">
                  <c:v>9846.1538461538457</c:v>
                </c:pt>
                <c:pt idx="11">
                  <c:v>19692.307692307691</c:v>
                </c:pt>
                <c:pt idx="12">
                  <c:v>39384.615384615383</c:v>
                </c:pt>
                <c:pt idx="13">
                  <c:v>78769.230769230766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76.92307692307692</c:v>
                </c:pt>
                <c:pt idx="3">
                  <c:v>153.84615384615384</c:v>
                </c:pt>
                <c:pt idx="4">
                  <c:v>283.07692307692309</c:v>
                </c:pt>
                <c:pt idx="5">
                  <c:v>566.15384615384619</c:v>
                </c:pt>
                <c:pt idx="6">
                  <c:v>1132.3076923076924</c:v>
                </c:pt>
                <c:pt idx="7">
                  <c:v>2193.8461538461538</c:v>
                </c:pt>
                <c:pt idx="8">
                  <c:v>4387.6923076923076</c:v>
                </c:pt>
                <c:pt idx="9">
                  <c:v>8775.3846153846152</c:v>
                </c:pt>
                <c:pt idx="10">
                  <c:v>17550.76923076923</c:v>
                </c:pt>
                <c:pt idx="11">
                  <c:v>35101.538461538461</c:v>
                </c:pt>
                <c:pt idx="12">
                  <c:v>70273.846153846156</c:v>
                </c:pt>
                <c:pt idx="13">
                  <c:v>140547.69230769231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24.615384615384613</c:v>
                </c:pt>
                <c:pt idx="5">
                  <c:v>49.230769230769226</c:v>
                </c:pt>
                <c:pt idx="6">
                  <c:v>61.53846153846154</c:v>
                </c:pt>
                <c:pt idx="7">
                  <c:v>123.07692307692308</c:v>
                </c:pt>
                <c:pt idx="8">
                  <c:v>246.15384615384616</c:v>
                </c:pt>
                <c:pt idx="9">
                  <c:v>492.30769230769232</c:v>
                </c:pt>
                <c:pt idx="10">
                  <c:v>984.61538461538464</c:v>
                </c:pt>
                <c:pt idx="11">
                  <c:v>1969.2307692307693</c:v>
                </c:pt>
                <c:pt idx="12">
                  <c:v>3938.4615384615386</c:v>
                </c:pt>
                <c:pt idx="13">
                  <c:v>7876.9230769230771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36.92307692307692</c:v>
                </c:pt>
                <c:pt idx="7">
                  <c:v>73.84615384615384</c:v>
                </c:pt>
                <c:pt idx="8">
                  <c:v>147.69230769230768</c:v>
                </c:pt>
                <c:pt idx="9">
                  <c:v>295.38461538461536</c:v>
                </c:pt>
                <c:pt idx="10">
                  <c:v>590.76923076923072</c:v>
                </c:pt>
                <c:pt idx="11">
                  <c:v>1181.5384615384614</c:v>
                </c:pt>
                <c:pt idx="12">
                  <c:v>2363.0769230769229</c:v>
                </c:pt>
                <c:pt idx="13">
                  <c:v>4726.1538461538457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94.966761633428291</c:v>
                </c:pt>
                <c:pt idx="1">
                  <c:v>189.93352326685658</c:v>
                </c:pt>
                <c:pt idx="2">
                  <c:v>379.86704653371316</c:v>
                </c:pt>
                <c:pt idx="3">
                  <c:v>759.73409306742633</c:v>
                </c:pt>
                <c:pt idx="4">
                  <c:v>1519.4681861348527</c:v>
                </c:pt>
                <c:pt idx="5">
                  <c:v>3038.9363722697053</c:v>
                </c:pt>
                <c:pt idx="6">
                  <c:v>6077.8727445394106</c:v>
                </c:pt>
                <c:pt idx="7">
                  <c:v>12155.745489078821</c:v>
                </c:pt>
                <c:pt idx="8">
                  <c:v>24311.490978157643</c:v>
                </c:pt>
                <c:pt idx="9">
                  <c:v>48622.981956315285</c:v>
                </c:pt>
                <c:pt idx="10">
                  <c:v>97245.96391263057</c:v>
                </c:pt>
                <c:pt idx="11">
                  <c:v>194491.92782526114</c:v>
                </c:pt>
                <c:pt idx="12">
                  <c:v>388983.85565052228</c:v>
                </c:pt>
                <c:pt idx="13">
                  <c:v>777967.71130104456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18.043684710351371</c:v>
                </c:pt>
                <c:pt idx="1">
                  <c:v>36.087369420702743</c:v>
                </c:pt>
                <c:pt idx="2">
                  <c:v>72.174738841405485</c:v>
                </c:pt>
                <c:pt idx="3">
                  <c:v>144.34947768281097</c:v>
                </c:pt>
                <c:pt idx="4">
                  <c:v>288.69895536562194</c:v>
                </c:pt>
                <c:pt idx="5">
                  <c:v>577.39791073124388</c:v>
                </c:pt>
                <c:pt idx="6">
                  <c:v>1154.7958214624878</c:v>
                </c:pt>
                <c:pt idx="7">
                  <c:v>2309.5916429249755</c:v>
                </c:pt>
                <c:pt idx="8">
                  <c:v>4619.1832858499511</c:v>
                </c:pt>
                <c:pt idx="9">
                  <c:v>9238.3665716999021</c:v>
                </c:pt>
                <c:pt idx="10">
                  <c:v>18476.733143399804</c:v>
                </c:pt>
                <c:pt idx="11">
                  <c:v>36953.466286799608</c:v>
                </c:pt>
                <c:pt idx="12">
                  <c:v>73906.932573599217</c:v>
                </c:pt>
                <c:pt idx="13">
                  <c:v>147813.86514719843</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76.92307692307692</c:v>
                </c:pt>
                <c:pt idx="4">
                  <c:v>153.84615384615384</c:v>
                </c:pt>
                <c:pt idx="5">
                  <c:v>307.69230769230768</c:v>
                </c:pt>
                <c:pt idx="6">
                  <c:v>615.38461538461536</c:v>
                </c:pt>
                <c:pt idx="7">
                  <c:v>1230.7692307692307</c:v>
                </c:pt>
                <c:pt idx="8">
                  <c:v>2461.5384615384614</c:v>
                </c:pt>
                <c:pt idx="9">
                  <c:v>4923.0769230769229</c:v>
                </c:pt>
                <c:pt idx="10">
                  <c:v>9846.1538461538457</c:v>
                </c:pt>
                <c:pt idx="11">
                  <c:v>19692.307692307691</c:v>
                </c:pt>
                <c:pt idx="12">
                  <c:v>39384.615384615383</c:v>
                </c:pt>
                <c:pt idx="13">
                  <c:v>78769.230769230766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76.92307692307692</c:v>
                </c:pt>
                <c:pt idx="4">
                  <c:v>153.84615384615384</c:v>
                </c:pt>
                <c:pt idx="5">
                  <c:v>307.69230769230768</c:v>
                </c:pt>
                <c:pt idx="6">
                  <c:v>615.38461538461536</c:v>
                </c:pt>
                <c:pt idx="7">
                  <c:v>1230.7692307692307</c:v>
                </c:pt>
                <c:pt idx="8">
                  <c:v>2461.5384615384614</c:v>
                </c:pt>
                <c:pt idx="9">
                  <c:v>4923.0769230769229</c:v>
                </c:pt>
                <c:pt idx="10">
                  <c:v>9846.1538461538457</c:v>
                </c:pt>
                <c:pt idx="11">
                  <c:v>19692.307692307691</c:v>
                </c:pt>
                <c:pt idx="12">
                  <c:v>39384.615384615383</c:v>
                </c:pt>
                <c:pt idx="13">
                  <c:v>78769.230769230766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76.92307692307692</c:v>
                </c:pt>
                <c:pt idx="3">
                  <c:v>153.84615384615384</c:v>
                </c:pt>
                <c:pt idx="4">
                  <c:v>283.07692307692309</c:v>
                </c:pt>
                <c:pt idx="5">
                  <c:v>566.15384615384619</c:v>
                </c:pt>
                <c:pt idx="6">
                  <c:v>1132.3076923076924</c:v>
                </c:pt>
                <c:pt idx="7">
                  <c:v>2193.8461538461538</c:v>
                </c:pt>
                <c:pt idx="8">
                  <c:v>4387.6923076923076</c:v>
                </c:pt>
                <c:pt idx="9">
                  <c:v>8775.3846153846152</c:v>
                </c:pt>
                <c:pt idx="10">
                  <c:v>17550.76923076923</c:v>
                </c:pt>
                <c:pt idx="11">
                  <c:v>35101.538461538461</c:v>
                </c:pt>
                <c:pt idx="12">
                  <c:v>70273.846153846156</c:v>
                </c:pt>
                <c:pt idx="13">
                  <c:v>140547.69230769231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24.615384615384613</c:v>
                </c:pt>
                <c:pt idx="5">
                  <c:v>49.230769230769226</c:v>
                </c:pt>
                <c:pt idx="6">
                  <c:v>61.53846153846154</c:v>
                </c:pt>
                <c:pt idx="7">
                  <c:v>123.07692307692308</c:v>
                </c:pt>
                <c:pt idx="8">
                  <c:v>246.15384615384616</c:v>
                </c:pt>
                <c:pt idx="9">
                  <c:v>492.30769230769232</c:v>
                </c:pt>
                <c:pt idx="10">
                  <c:v>984.61538461538464</c:v>
                </c:pt>
                <c:pt idx="11">
                  <c:v>1969.2307692307693</c:v>
                </c:pt>
                <c:pt idx="12">
                  <c:v>3938.4615384615386</c:v>
                </c:pt>
                <c:pt idx="13">
                  <c:v>7876.9230769230771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43912.44735613426</c:v>
                </c:pt>
                <c:pt idx="1">
                  <c:v>43915.44735613426</c:v>
                </c:pt>
                <c:pt idx="2">
                  <c:v>43918.44735613426</c:v>
                </c:pt>
                <c:pt idx="3">
                  <c:v>43921.44735613426</c:v>
                </c:pt>
                <c:pt idx="4">
                  <c:v>43924.44735613426</c:v>
                </c:pt>
                <c:pt idx="5">
                  <c:v>43927.44735613426</c:v>
                </c:pt>
                <c:pt idx="6">
                  <c:v>43930.44735613426</c:v>
                </c:pt>
                <c:pt idx="7">
                  <c:v>43933.44735613426</c:v>
                </c:pt>
                <c:pt idx="8">
                  <c:v>43936.44735613426</c:v>
                </c:pt>
                <c:pt idx="9">
                  <c:v>43939.44735613426</c:v>
                </c:pt>
                <c:pt idx="10">
                  <c:v>43942.44735613426</c:v>
                </c:pt>
                <c:pt idx="11">
                  <c:v>43945.44735613426</c:v>
                </c:pt>
                <c:pt idx="12">
                  <c:v>43948.44735613426</c:v>
                </c:pt>
                <c:pt idx="13">
                  <c:v>43951.44735613426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36.92307692307692</c:v>
                </c:pt>
                <c:pt idx="7">
                  <c:v>73.84615384615384</c:v>
                </c:pt>
                <c:pt idx="8">
                  <c:v>147.69230769230768</c:v>
                </c:pt>
                <c:pt idx="9">
                  <c:v>295.38461538461536</c:v>
                </c:pt>
                <c:pt idx="10">
                  <c:v>590.76923076923072</c:v>
                </c:pt>
                <c:pt idx="11">
                  <c:v>1181.5384615384614</c:v>
                </c:pt>
                <c:pt idx="12">
                  <c:v>2363.0769230769229</c:v>
                </c:pt>
                <c:pt idx="13">
                  <c:v>4726.1538461538457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Projections!$A$36</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608.3294820965848</c:v>
                </c:pt>
                <c:pt idx="9">
                  <c:v>761.47298336739129</c:v>
                </c:pt>
                <c:pt idx="10">
                  <c:v>748.8238327675374</c:v>
                </c:pt>
                <c:pt idx="11">
                  <c:v>762.27007555246541</c:v>
                </c:pt>
                <c:pt idx="12">
                  <c:v>766.60424841990653</c:v>
                </c:pt>
                <c:pt idx="13">
                  <c:v>758.33024585961698</c:v>
                </c:pt>
              </c:numCache>
            </c:numRef>
          </c:val>
          <c:smooth val="0"/>
          <c:extLst>
            <c:ext xmlns:c16="http://schemas.microsoft.com/office/drawing/2014/chart" uri="{C3380CC4-5D6E-409C-BE32-E72D297353CC}">
              <c16:uniqueId val="{00000003-5231-4BE2-97ED-54F0C3DB105C}"/>
            </c:ext>
          </c:extLst>
        </c:ser>
        <c:ser>
          <c:idx val="2"/>
          <c:order val="1"/>
          <c:tx>
            <c:strRef>
              <c:f>Projections!$A$37</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517.49242108391991</c:v>
                </c:pt>
                <c:pt idx="9">
                  <c:v>321.44882867066076</c:v>
                </c:pt>
                <c:pt idx="10">
                  <c:v>274.56516344014676</c:v>
                </c:pt>
                <c:pt idx="11">
                  <c:v>342.48047997211228</c:v>
                </c:pt>
                <c:pt idx="12">
                  <c:v>367.12847661274299</c:v>
                </c:pt>
                <c:pt idx="13">
                  <c:v>421.51777969362746</c:v>
                </c:pt>
              </c:numCache>
            </c:numRef>
          </c:val>
          <c:smooth val="0"/>
          <c:extLst>
            <c:ext xmlns:c16="http://schemas.microsoft.com/office/drawing/2014/chart" uri="{C3380CC4-5D6E-409C-BE32-E72D297353CC}">
              <c16:uniqueId val="{00000002-9381-4A4E-BB43-DCD8EC2F4E00}"/>
            </c:ext>
          </c:extLst>
        </c:ser>
        <c:ser>
          <c:idx val="0"/>
          <c:order val="2"/>
          <c:tx>
            <c:strRef>
              <c:f>Projections!$A$38</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Projections!$G$38:$AF$38</c15:sqref>
                  </c15:fullRef>
                </c:ext>
              </c:extLst>
              <c:f>Projections!$G$38:$T$38</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90.837061012664918</c:v>
                </c:pt>
                <c:pt idx="9">
                  <c:v>440.02415469673053</c:v>
                </c:pt>
                <c:pt idx="10">
                  <c:v>474.25866932739063</c:v>
                </c:pt>
                <c:pt idx="11">
                  <c:v>419.78959558035314</c:v>
                </c:pt>
                <c:pt idx="12">
                  <c:v>399.47577180716354</c:v>
                </c:pt>
                <c:pt idx="13">
                  <c:v>382.76661378826617</c:v>
                </c:pt>
              </c:numCache>
            </c:numRef>
          </c:val>
          <c:smooth val="0"/>
          <c:extLst>
            <c:ext xmlns:c16="http://schemas.microsoft.com/office/drawing/2014/chart" uri="{C3380CC4-5D6E-409C-BE32-E72D297353CC}">
              <c16:uniqueId val="{00000000-9381-4A4E-BB43-DCD8EC2F4E00}"/>
            </c:ext>
          </c:extLst>
        </c:ser>
        <c:ser>
          <c:idx val="4"/>
          <c:order val="3"/>
          <c:tx>
            <c:strRef>
              <c:f>Projections!$A$39</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Projections!$G$39:$AF$39</c15:sqref>
                  </c15:fullRef>
                </c:ext>
              </c:extLst>
              <c:f>Projections!$G$39:$T$39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90.837061012664918</c:v>
                </c:pt>
                <c:pt idx="9">
                  <c:v>440.02415469673053</c:v>
                </c:pt>
                <c:pt idx="10">
                  <c:v>474.25866932739063</c:v>
                </c:pt>
                <c:pt idx="11">
                  <c:v>419.78959558035314</c:v>
                </c:pt>
                <c:pt idx="12">
                  <c:v>399.47577180716354</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Projections!$A$40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0.40625</c:v>
                </c:pt>
                <c:pt idx="1">
                  <c:v>0.8125</c:v>
                </c:pt>
                <c:pt idx="2">
                  <c:v>1.625</c:v>
                </c:pt>
                <c:pt idx="3">
                  <c:v>3.25</c:v>
                </c:pt>
                <c:pt idx="4">
                  <c:v>6.5</c:v>
                </c:pt>
                <c:pt idx="5">
                  <c:v>13</c:v>
                </c:pt>
                <c:pt idx="6">
                  <c:v>26</c:v>
                </c:pt>
                <c:pt idx="7">
                  <c:v>52</c:v>
                </c:pt>
                <c:pt idx="8">
                  <c:v>78</c:v>
                </c:pt>
                <c:pt idx="9">
                  <c:v>85.8</c:v>
                </c:pt>
                <c:pt idx="10">
                  <c:v>93.6</c:v>
                </c:pt>
                <c:pt idx="11">
                  <c:v>98.8</c:v>
                </c:pt>
                <c:pt idx="12">
                  <c:v>101.39999999999999</c:v>
                </c:pt>
                <c:pt idx="13">
                  <c:v>104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Projections!$G$58:$AF$58</c15:sqref>
                  </c15:fullRef>
                </c:ext>
              </c:extLst>
              <c:f>Projections!$G$58:$T$58</c:f>
              <c:numCache>
                <c:formatCode>#,##0</c:formatCode>
                <c:ptCount val="14"/>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190.67410035478966</c:v>
                </c:pt>
                <c:pt idx="10">
                  <c:v>208.00810947795236</c:v>
                </c:pt>
                <c:pt idx="11">
                  <c:v>219.5641155600608</c:v>
                </c:pt>
                <c:pt idx="12">
                  <c:v>225.34211860111503</c:v>
                </c:pt>
                <c:pt idx="13">
                  <c:v>231.12012164216927</c:v>
                </c:pt>
              </c:numCache>
            </c:numRef>
          </c:val>
          <c:smooth val="0"/>
          <c:extLst>
            <c:ext xmlns:c16="http://schemas.microsoft.com/office/drawing/2014/chart" uri="{C3380CC4-5D6E-409C-BE32-E72D297353CC}">
              <c16:uniqueId val="{00000000-04B6-450D-AD81-6BF382C059D1}"/>
            </c:ext>
          </c:extLst>
        </c:ser>
        <c:ser>
          <c:idx val="2"/>
          <c:order val="1"/>
          <c:tx>
            <c:strRef>
              <c:f>Projections!$A$60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Projections!$G$60:$AF$60</c15:sqref>
                  </c15:fullRef>
                </c:ext>
              </c:extLst>
              <c:f>Projections!$G$60:$T$60</c:f>
              <c:numCache>
                <c:formatCode>#,##0</c:formatCode>
                <c:ptCount val="14"/>
                <c:pt idx="0">
                  <c:v>3.315593850312553</c:v>
                </c:pt>
                <c:pt idx="1">
                  <c:v>6.6311877006251061</c:v>
                </c:pt>
                <c:pt idx="2">
                  <c:v>13.262375401250212</c:v>
                </c:pt>
                <c:pt idx="3">
                  <c:v>26.524750802500424</c:v>
                </c:pt>
                <c:pt idx="4">
                  <c:v>53.049501605000849</c:v>
                </c:pt>
                <c:pt idx="5">
                  <c:v>106.0990032100017</c:v>
                </c:pt>
                <c:pt idx="6">
                  <c:v>212.1980064200034</c:v>
                </c:pt>
                <c:pt idx="7">
                  <c:v>424.39601284000679</c:v>
                </c:pt>
                <c:pt idx="8">
                  <c:v>636.59401926001021</c:v>
                </c:pt>
                <c:pt idx="9">
                  <c:v>700.25342118601122</c:v>
                </c:pt>
                <c:pt idx="10">
                  <c:v>763.91282311201223</c:v>
                </c:pt>
                <c:pt idx="11">
                  <c:v>806.35242439601291</c:v>
                </c:pt>
                <c:pt idx="12">
                  <c:v>827.57222503801324</c:v>
                </c:pt>
                <c:pt idx="13">
                  <c:v>848.79202568001358</c:v>
                </c:pt>
              </c:numCache>
            </c:numRef>
          </c:val>
          <c:smooth val="0"/>
          <c:extLst>
            <c:ext xmlns:c16="http://schemas.microsoft.com/office/drawing/2014/chart" uri="{C3380CC4-5D6E-409C-BE32-E72D297353CC}">
              <c16:uniqueId val="{00000002-04B6-450D-AD81-6BF382C059D1}"/>
            </c:ext>
          </c:extLst>
        </c:ser>
        <c:ser>
          <c:idx val="4"/>
          <c:order val="2"/>
          <c:tx>
            <c:strRef>
              <c:f>Projections!$A$62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Projections!$G$62:$AF$62</c15:sqref>
                  </c15:fullRef>
                </c:ext>
              </c:extLst>
              <c:f>Projections!$G$62:$T$62</c:f>
              <c:numCache>
                <c:formatCode>#,##0</c:formatCode>
                <c:ptCount val="14"/>
                <c:pt idx="0">
                  <c:v>5.2584896097313738</c:v>
                </c:pt>
                <c:pt idx="1">
                  <c:v>10.516979219462748</c:v>
                </c:pt>
                <c:pt idx="2">
                  <c:v>21.033958438925495</c:v>
                </c:pt>
                <c:pt idx="3">
                  <c:v>42.06791687785099</c:v>
                </c:pt>
                <c:pt idx="4">
                  <c:v>84.135833755701981</c:v>
                </c:pt>
                <c:pt idx="5">
                  <c:v>168.27166751140396</c:v>
                </c:pt>
                <c:pt idx="6">
                  <c:v>336.54333502280792</c:v>
                </c:pt>
                <c:pt idx="7">
                  <c:v>673.08667004561585</c:v>
                </c:pt>
                <c:pt idx="8">
                  <c:v>1009.6300050684238</c:v>
                </c:pt>
                <c:pt idx="9">
                  <c:v>1110.593005575266</c:v>
                </c:pt>
                <c:pt idx="10">
                  <c:v>1211.5560060821085</c:v>
                </c:pt>
                <c:pt idx="11">
                  <c:v>1278.8646730866701</c:v>
                </c:pt>
                <c:pt idx="12">
                  <c:v>1312.5190065889508</c:v>
                </c:pt>
                <c:pt idx="13">
                  <c:v>1346.1733400912317</c:v>
                </c:pt>
              </c:numCache>
            </c:numRef>
          </c:val>
          <c:smooth val="0"/>
          <c:extLst>
            <c:ext xmlns:c16="http://schemas.microsoft.com/office/drawing/2014/chart" uri="{C3380CC4-5D6E-409C-BE32-E72D297353CC}">
              <c16:uniqueId val="{00000004-04B6-450D-AD81-6BF382C059D1}"/>
            </c:ext>
          </c:extLst>
        </c:ser>
        <c:ser>
          <c:idx val="6"/>
          <c:order val="3"/>
          <c:tx>
            <c:strRef>
              <c:f>Projections!$A$64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4.8361209663794558</c:v>
                </c:pt>
                <c:pt idx="1">
                  <c:v>9.6722419327589115</c:v>
                </c:pt>
                <c:pt idx="2">
                  <c:v>19.344483865517823</c:v>
                </c:pt>
                <c:pt idx="3">
                  <c:v>38.688967731035646</c:v>
                </c:pt>
                <c:pt idx="4">
                  <c:v>77.377935462071292</c:v>
                </c:pt>
                <c:pt idx="5">
                  <c:v>154.75587092414258</c:v>
                </c:pt>
                <c:pt idx="6">
                  <c:v>309.51174184828517</c:v>
                </c:pt>
                <c:pt idx="7">
                  <c:v>619.02348369657034</c:v>
                </c:pt>
                <c:pt idx="8">
                  <c:v>928.53522554485551</c:v>
                </c:pt>
                <c:pt idx="9">
                  <c:v>1021.3887480993411</c:v>
                </c:pt>
                <c:pt idx="10">
                  <c:v>1114.2422706538266</c:v>
                </c:pt>
                <c:pt idx="11">
                  <c:v>1176.1446190234838</c:v>
                </c:pt>
                <c:pt idx="12">
                  <c:v>1207.0957932083122</c:v>
                </c:pt>
                <c:pt idx="13">
                  <c:v>1238.0469673931407</c:v>
                </c:pt>
              </c:numCache>
            </c:numRef>
          </c:val>
          <c:smooth val="0"/>
          <c:extLst>
            <c:ext xmlns:c16="http://schemas.microsoft.com/office/drawing/2014/chart" uri="{C3380CC4-5D6E-409C-BE32-E72D297353CC}">
              <c16:uniqueId val="{00000006-04B6-450D-AD81-6BF382C059D1}"/>
            </c:ext>
          </c:extLst>
        </c:ser>
        <c:ser>
          <c:idx val="8"/>
          <c:order val="4"/>
          <c:tx>
            <c:strRef>
              <c:f>Projections!$A$66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4.028340935968914</c:v>
                </c:pt>
                <c:pt idx="1">
                  <c:v>8.0566818719378279</c:v>
                </c:pt>
                <c:pt idx="2">
                  <c:v>16.113363743875656</c:v>
                </c:pt>
                <c:pt idx="3">
                  <c:v>32.226727487751312</c:v>
                </c:pt>
                <c:pt idx="4">
                  <c:v>64.453454975502623</c:v>
                </c:pt>
                <c:pt idx="5">
                  <c:v>128.90690995100525</c:v>
                </c:pt>
                <c:pt idx="6">
                  <c:v>257.81381990201049</c:v>
                </c:pt>
                <c:pt idx="7">
                  <c:v>515.62763980402099</c:v>
                </c:pt>
                <c:pt idx="8">
                  <c:v>773.44145970603142</c:v>
                </c:pt>
                <c:pt idx="9">
                  <c:v>850.78560567663453</c:v>
                </c:pt>
                <c:pt idx="10">
                  <c:v>928.12975164723764</c:v>
                </c:pt>
                <c:pt idx="11">
                  <c:v>979.69251562763975</c:v>
                </c:pt>
                <c:pt idx="12">
                  <c:v>1005.4738976178409</c:v>
                </c:pt>
                <c:pt idx="13">
                  <c:v>1031.255279608042</c:v>
                </c:pt>
              </c:numCache>
            </c:numRef>
          </c:val>
          <c:smooth val="0"/>
          <c:extLst>
            <c:ext xmlns:c16="http://schemas.microsoft.com/office/drawing/2014/chart" uri="{C3380CC4-5D6E-409C-BE32-E72D297353CC}">
              <c16:uniqueId val="{00000008-04B6-450D-AD81-6BF382C059D1}"/>
            </c:ext>
          </c:extLst>
        </c:ser>
        <c:ser>
          <c:idx val="10"/>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4.9417131272174357</c:v>
                </c:pt>
                <c:pt idx="1">
                  <c:v>9.8834262544348714</c:v>
                </c:pt>
                <c:pt idx="2">
                  <c:v>19.766852508869743</c:v>
                </c:pt>
                <c:pt idx="3">
                  <c:v>39.533705017739486</c:v>
                </c:pt>
                <c:pt idx="4">
                  <c:v>79.067410035478972</c:v>
                </c:pt>
                <c:pt idx="5">
                  <c:v>158.13482007095794</c:v>
                </c:pt>
                <c:pt idx="6">
                  <c:v>316.26964014191589</c:v>
                </c:pt>
                <c:pt idx="7">
                  <c:v>632.53928028383177</c:v>
                </c:pt>
                <c:pt idx="8">
                  <c:v>948.80892042574771</c:v>
                </c:pt>
                <c:pt idx="9">
                  <c:v>1043.6898124683223</c:v>
                </c:pt>
                <c:pt idx="10">
                  <c:v>1138.5707045108973</c:v>
                </c:pt>
                <c:pt idx="11">
                  <c:v>1201.8246325392804</c:v>
                </c:pt>
                <c:pt idx="12">
                  <c:v>1233.451596553472</c:v>
                </c:pt>
                <c:pt idx="13">
                  <c:v>1265.0785605676635</c:v>
                </c:pt>
              </c:numCache>
            </c:numRef>
          </c:val>
          <c:smooth val="0"/>
          <c:extLst>
            <c:ext xmlns:c16="http://schemas.microsoft.com/office/drawing/2014/chart" uri="{C3380CC4-5D6E-409C-BE32-E72D297353CC}">
              <c16:uniqueId val="{0000000A-04B6-450D-AD81-6BF382C059D1}"/>
            </c:ext>
          </c:extLst>
        </c:ser>
        <c:ser>
          <c:idx val="12"/>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6.7526186855887822</c:v>
                </c:pt>
                <c:pt idx="1">
                  <c:v>13.505237371177564</c:v>
                </c:pt>
                <c:pt idx="2">
                  <c:v>27.010474742355129</c:v>
                </c:pt>
                <c:pt idx="3">
                  <c:v>54.020949484710258</c:v>
                </c:pt>
                <c:pt idx="4">
                  <c:v>108.04189896942052</c:v>
                </c:pt>
                <c:pt idx="5">
                  <c:v>216.08379793884103</c:v>
                </c:pt>
                <c:pt idx="6">
                  <c:v>432.16759587768206</c:v>
                </c:pt>
                <c:pt idx="7">
                  <c:v>864.33519175536412</c:v>
                </c:pt>
                <c:pt idx="8">
                  <c:v>1296.5027876330462</c:v>
                </c:pt>
                <c:pt idx="9">
                  <c:v>1426.1530663963508</c:v>
                </c:pt>
                <c:pt idx="10">
                  <c:v>1555.8033451596555</c:v>
                </c:pt>
                <c:pt idx="11">
                  <c:v>1642.2368643351917</c:v>
                </c:pt>
                <c:pt idx="12">
                  <c:v>1685.4536239229601</c:v>
                </c:pt>
                <c:pt idx="13">
                  <c:v>1728.6703835107282</c:v>
                </c:pt>
              </c:numCache>
            </c:numRef>
          </c:val>
          <c:smooth val="0"/>
          <c:extLst>
            <c:ext xmlns:c16="http://schemas.microsoft.com/office/drawing/2014/chart" uri="{C3380CC4-5D6E-409C-BE32-E72D297353CC}">
              <c16:uniqueId val="{0000000C-04B6-450D-AD81-6BF382C059D1}"/>
            </c:ext>
          </c:extLst>
        </c:ser>
        <c:ser>
          <c:idx val="14"/>
          <c:order val="7"/>
          <c:tx>
            <c:strRef>
              <c:f>Projections!$A$72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190.67410035478966</c:v>
                </c:pt>
                <c:pt idx="10">
                  <c:v>208.00810947795236</c:v>
                </c:pt>
                <c:pt idx="11">
                  <c:v>219.5641155600608</c:v>
                </c:pt>
                <c:pt idx="12">
                  <c:v>225.34211860111503</c:v>
                </c:pt>
                <c:pt idx="13">
                  <c:v>231.12012164216927</c:v>
                </c:pt>
              </c:numCache>
            </c:numRef>
          </c:val>
          <c:smooth val="0"/>
          <c:extLst>
            <c:ext xmlns:c16="http://schemas.microsoft.com/office/drawing/2014/chart" uri="{C3380CC4-5D6E-409C-BE32-E72D297353CC}">
              <c16:uniqueId val="{0000000E-04B6-450D-AD81-6BF382C059D1}"/>
            </c:ext>
          </c:extLst>
        </c:ser>
        <c:ser>
          <c:idx val="16"/>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0.31149687447203916</c:v>
                </c:pt>
                <c:pt idx="1">
                  <c:v>0.62299374894407833</c:v>
                </c:pt>
                <c:pt idx="2">
                  <c:v>1.2459874978881567</c:v>
                </c:pt>
                <c:pt idx="3">
                  <c:v>2.4919749957763133</c:v>
                </c:pt>
                <c:pt idx="4">
                  <c:v>4.9839499915526266</c:v>
                </c:pt>
                <c:pt idx="5">
                  <c:v>9.9678999831052533</c:v>
                </c:pt>
                <c:pt idx="6">
                  <c:v>19.935799966210507</c:v>
                </c:pt>
                <c:pt idx="7">
                  <c:v>39.871599932421013</c:v>
                </c:pt>
                <c:pt idx="8">
                  <c:v>59.807399898631523</c:v>
                </c:pt>
                <c:pt idx="9">
                  <c:v>65.788139888494683</c:v>
                </c:pt>
                <c:pt idx="10">
                  <c:v>71.768879878357822</c:v>
                </c:pt>
                <c:pt idx="11">
                  <c:v>75.756039871599924</c:v>
                </c:pt>
                <c:pt idx="12">
                  <c:v>77.749619868220975</c:v>
                </c:pt>
                <c:pt idx="13">
                  <c:v>79.743199864842026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Projections!$G$59:$AF$59</c15:sqref>
                  </c15:fullRef>
                </c:ext>
              </c:extLst>
              <c:f>Projections!$G$59:$T$59</c:f>
              <c:numCache>
                <c:formatCode>#,##0</c:formatCode>
                <c:ptCount val="14"/>
                <c:pt idx="0">
                  <c:v>0.13361632032437909</c:v>
                </c:pt>
                <c:pt idx="1">
                  <c:v>0.26723264064875818</c:v>
                </c:pt>
                <c:pt idx="2">
                  <c:v>0.53446528129751636</c:v>
                </c:pt>
                <c:pt idx="3">
                  <c:v>1.0689305625950327</c:v>
                </c:pt>
                <c:pt idx="4">
                  <c:v>2.1378611251900654</c:v>
                </c:pt>
                <c:pt idx="5">
                  <c:v>4.2757222503801309</c:v>
                </c:pt>
                <c:pt idx="6">
                  <c:v>8.5514445007602617</c:v>
                </c:pt>
                <c:pt idx="7">
                  <c:v>17.102889001520523</c:v>
                </c:pt>
                <c:pt idx="8">
                  <c:v>25.654333502280789</c:v>
                </c:pt>
                <c:pt idx="9">
                  <c:v>28.219766852508869</c:v>
                </c:pt>
                <c:pt idx="10">
                  <c:v>30.785200202736949</c:v>
                </c:pt>
                <c:pt idx="11">
                  <c:v>32.495489102888996</c:v>
                </c:pt>
                <c:pt idx="12">
                  <c:v>33.350633552965022</c:v>
                </c:pt>
                <c:pt idx="13">
                  <c:v>34.205778003041047</c:v>
                </c:pt>
              </c:numCache>
            </c:numRef>
          </c:val>
          <c:smooth val="0"/>
          <c:extLst>
            <c:ext xmlns:c16="http://schemas.microsoft.com/office/drawing/2014/chart" uri="{C3380CC4-5D6E-409C-BE32-E72D297353CC}">
              <c16:uniqueId val="{00000001-EBAD-48A5-9277-83F388186C0C}"/>
            </c:ext>
          </c:extLst>
        </c:ser>
        <c:ser>
          <c:idx val="3"/>
          <c:order val="1"/>
          <c:tx>
            <c:strRef>
              <c:f>Projections!$A$60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Projections!$G$61:$AF$61</c15:sqref>
                  </c15:fullRef>
                </c:ext>
              </c:extLst>
              <c:f>Projections!$G$61:$T$61</c:f>
              <c:numCache>
                <c:formatCode>#,##0</c:formatCode>
                <c:ptCount val="14"/>
                <c:pt idx="0">
                  <c:v>0.26524750802500424</c:v>
                </c:pt>
                <c:pt idx="1">
                  <c:v>0.53049501605000848</c:v>
                </c:pt>
                <c:pt idx="2">
                  <c:v>1.060990032100017</c:v>
                </c:pt>
                <c:pt idx="3">
                  <c:v>2.1219800642000339</c:v>
                </c:pt>
                <c:pt idx="4">
                  <c:v>4.2439601284000679</c:v>
                </c:pt>
                <c:pt idx="5">
                  <c:v>8.4879202568001357</c:v>
                </c:pt>
                <c:pt idx="6">
                  <c:v>16.975840513600271</c:v>
                </c:pt>
                <c:pt idx="7">
                  <c:v>33.951681027200543</c:v>
                </c:pt>
                <c:pt idx="8">
                  <c:v>50.927521540800818</c:v>
                </c:pt>
                <c:pt idx="9">
                  <c:v>56.020273694880899</c:v>
                </c:pt>
                <c:pt idx="10">
                  <c:v>61.11302584896098</c:v>
                </c:pt>
                <c:pt idx="11">
                  <c:v>64.508193951681037</c:v>
                </c:pt>
                <c:pt idx="12">
                  <c:v>66.205778003041061</c:v>
                </c:pt>
                <c:pt idx="13">
                  <c:v>67.903362054401086</c:v>
                </c:pt>
              </c:numCache>
            </c:numRef>
          </c:val>
          <c:smooth val="0"/>
          <c:extLst>
            <c:ext xmlns:c16="http://schemas.microsoft.com/office/drawing/2014/chart" uri="{C3380CC4-5D6E-409C-BE32-E72D297353CC}">
              <c16:uniqueId val="{00000003-EBAD-48A5-9277-83F388186C0C}"/>
            </c:ext>
          </c:extLst>
        </c:ser>
        <c:ser>
          <c:idx val="5"/>
          <c:order val="2"/>
          <c:tx>
            <c:strRef>
              <c:f>Projections!$A$62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Projections!$G$63:$AF$63</c15:sqref>
                  </c15:fullRef>
                </c:ext>
              </c:extLst>
              <c:f>Projections!$G$63:$T$63</c:f>
              <c:numCache>
                <c:formatCode>#,##0</c:formatCode>
                <c:ptCount val="14"/>
                <c:pt idx="0">
                  <c:v>0.18930562595032943</c:v>
                </c:pt>
                <c:pt idx="1">
                  <c:v>0.37861125190065886</c:v>
                </c:pt>
                <c:pt idx="2">
                  <c:v>0.75722250380131773</c:v>
                </c:pt>
                <c:pt idx="3">
                  <c:v>1.5144450076026355</c:v>
                </c:pt>
                <c:pt idx="4">
                  <c:v>3.0288900152052709</c:v>
                </c:pt>
                <c:pt idx="5">
                  <c:v>6.0577800304105418</c:v>
                </c:pt>
                <c:pt idx="6">
                  <c:v>12.115560060821084</c:v>
                </c:pt>
                <c:pt idx="7">
                  <c:v>24.231120121642167</c:v>
                </c:pt>
                <c:pt idx="8">
                  <c:v>36.346680182463253</c:v>
                </c:pt>
                <c:pt idx="9">
                  <c:v>39.981348200709576</c:v>
                </c:pt>
                <c:pt idx="10">
                  <c:v>43.616016218955906</c:v>
                </c:pt>
                <c:pt idx="11">
                  <c:v>46.039128231120124</c:v>
                </c:pt>
                <c:pt idx="12">
                  <c:v>47.250684237202222</c:v>
                </c:pt>
                <c:pt idx="13">
                  <c:v>48.462240243284334</c:v>
                </c:pt>
              </c:numCache>
            </c:numRef>
          </c:val>
          <c:smooth val="0"/>
          <c:extLst>
            <c:ext xmlns:c16="http://schemas.microsoft.com/office/drawing/2014/chart" uri="{C3380CC4-5D6E-409C-BE32-E72D297353CC}">
              <c16:uniqueId val="{00000005-EBAD-48A5-9277-83F388186C0C}"/>
            </c:ext>
          </c:extLst>
        </c:ser>
        <c:ser>
          <c:idx val="7"/>
          <c:order val="3"/>
          <c:tx>
            <c:strRef>
              <c:f>Projections!$A$64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6.2869572562932921E-2</c:v>
                </c:pt>
                <c:pt idx="1">
                  <c:v>0.12573914512586584</c:v>
                </c:pt>
                <c:pt idx="2">
                  <c:v>0.25147829025173168</c:v>
                </c:pt>
                <c:pt idx="3">
                  <c:v>0.50295658050346337</c:v>
                </c:pt>
                <c:pt idx="4">
                  <c:v>1.0059131610069267</c:v>
                </c:pt>
                <c:pt idx="5">
                  <c:v>2.0118263220138535</c:v>
                </c:pt>
                <c:pt idx="6">
                  <c:v>4.0236526440277069</c:v>
                </c:pt>
                <c:pt idx="7">
                  <c:v>8.0473052880554139</c:v>
                </c:pt>
                <c:pt idx="8">
                  <c:v>12.070957932083122</c:v>
                </c:pt>
                <c:pt idx="9">
                  <c:v>13.278053725291434</c:v>
                </c:pt>
                <c:pt idx="10">
                  <c:v>14.485149518499746</c:v>
                </c:pt>
                <c:pt idx="11">
                  <c:v>15.289880047305289</c:v>
                </c:pt>
                <c:pt idx="12">
                  <c:v>15.692245311708058</c:v>
                </c:pt>
                <c:pt idx="13">
                  <c:v>16.094610576110828</c:v>
                </c:pt>
              </c:numCache>
            </c:numRef>
          </c:val>
          <c:smooth val="0"/>
          <c:extLst>
            <c:ext xmlns:c16="http://schemas.microsoft.com/office/drawing/2014/chart" uri="{C3380CC4-5D6E-409C-BE32-E72D297353CC}">
              <c16:uniqueId val="{00000007-EBAD-48A5-9277-83F388186C0C}"/>
            </c:ext>
          </c:extLst>
        </c:ser>
        <c:ser>
          <c:idx val="9"/>
          <c:order val="4"/>
          <c:tx>
            <c:strRef>
              <c:f>Projections!$A$66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1.6113363743875658E-2</c:v>
                </c:pt>
                <c:pt idx="1">
                  <c:v>3.2226727487751315E-2</c:v>
                </c:pt>
                <c:pt idx="2">
                  <c:v>6.445345497550263E-2</c:v>
                </c:pt>
                <c:pt idx="3">
                  <c:v>0.12890690995100526</c:v>
                </c:pt>
                <c:pt idx="4">
                  <c:v>0.25781381990201052</c:v>
                </c:pt>
                <c:pt idx="5">
                  <c:v>0.51562763980402104</c:v>
                </c:pt>
                <c:pt idx="6">
                  <c:v>1.0312552796080421</c:v>
                </c:pt>
                <c:pt idx="7">
                  <c:v>2.0625105592160842</c:v>
                </c:pt>
                <c:pt idx="8">
                  <c:v>3.0937658388241256</c:v>
                </c:pt>
                <c:pt idx="9">
                  <c:v>3.4031424227065381</c:v>
                </c:pt>
                <c:pt idx="10">
                  <c:v>3.7125190065889506</c:v>
                </c:pt>
                <c:pt idx="11">
                  <c:v>3.9187700625105593</c:v>
                </c:pt>
                <c:pt idx="12">
                  <c:v>4.0218955904713631</c:v>
                </c:pt>
                <c:pt idx="13">
                  <c:v>4.1250211184321683</c:v>
                </c:pt>
              </c:numCache>
            </c:numRef>
          </c:val>
          <c:smooth val="0"/>
          <c:extLst>
            <c:ext xmlns:c16="http://schemas.microsoft.com/office/drawing/2014/chart" uri="{C3380CC4-5D6E-409C-BE32-E72D297353CC}">
              <c16:uniqueId val="{00000009-EBAD-48A5-9277-83F388186C0C}"/>
            </c:ext>
          </c:extLst>
        </c:ser>
        <c:ser>
          <c:idx val="11"/>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9.8834262544348715E-3</c:v>
                </c:pt>
                <c:pt idx="1">
                  <c:v>1.9766852508869743E-2</c:v>
                </c:pt>
                <c:pt idx="2">
                  <c:v>3.9533705017739486E-2</c:v>
                </c:pt>
                <c:pt idx="3">
                  <c:v>7.9067410035478972E-2</c:v>
                </c:pt>
                <c:pt idx="4">
                  <c:v>0.15813482007095794</c:v>
                </c:pt>
                <c:pt idx="5">
                  <c:v>0.31626964014191589</c:v>
                </c:pt>
                <c:pt idx="6">
                  <c:v>0.63253928028383177</c:v>
                </c:pt>
                <c:pt idx="7">
                  <c:v>1.2650785605676635</c:v>
                </c:pt>
                <c:pt idx="8">
                  <c:v>1.8976178408514954</c:v>
                </c:pt>
                <c:pt idx="9">
                  <c:v>2.0873796249366445</c:v>
                </c:pt>
                <c:pt idx="10">
                  <c:v>2.2771414090217945</c:v>
                </c:pt>
                <c:pt idx="11">
                  <c:v>2.403649265078561</c:v>
                </c:pt>
                <c:pt idx="12">
                  <c:v>2.4669031931069441</c:v>
                </c:pt>
                <c:pt idx="13">
                  <c:v>2.5301571211353271</c:v>
                </c:pt>
              </c:numCache>
            </c:numRef>
          </c:val>
          <c:smooth val="0"/>
          <c:extLst>
            <c:ext xmlns:c16="http://schemas.microsoft.com/office/drawing/2014/chart" uri="{C3380CC4-5D6E-409C-BE32-E72D297353CC}">
              <c16:uniqueId val="{0000000B-EBAD-48A5-9277-83F388186C0C}"/>
            </c:ext>
          </c:extLst>
        </c:ser>
        <c:ser>
          <c:idx val="13"/>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1.3505237371177564E-2</c:v>
                </c:pt>
                <c:pt idx="1">
                  <c:v>2.7010474742355128E-2</c:v>
                </c:pt>
                <c:pt idx="2">
                  <c:v>5.4020949484710257E-2</c:v>
                </c:pt>
                <c:pt idx="3">
                  <c:v>0.10804189896942051</c:v>
                </c:pt>
                <c:pt idx="4">
                  <c:v>0.21608379793884103</c:v>
                </c:pt>
                <c:pt idx="5">
                  <c:v>0.43216759587768205</c:v>
                </c:pt>
                <c:pt idx="6">
                  <c:v>0.86433519175536411</c:v>
                </c:pt>
                <c:pt idx="7">
                  <c:v>1.7286703835107282</c:v>
                </c:pt>
                <c:pt idx="8">
                  <c:v>2.5930055752660923</c:v>
                </c:pt>
                <c:pt idx="9">
                  <c:v>2.8523061327927017</c:v>
                </c:pt>
                <c:pt idx="10">
                  <c:v>3.1116066903193111</c:v>
                </c:pt>
                <c:pt idx="11">
                  <c:v>3.2844737286703833</c:v>
                </c:pt>
                <c:pt idx="12">
                  <c:v>3.3709072478459201</c:v>
                </c:pt>
                <c:pt idx="13">
                  <c:v>3.4573407670214564</c:v>
                </c:pt>
              </c:numCache>
            </c:numRef>
          </c:val>
          <c:smooth val="0"/>
          <c:extLst>
            <c:ext xmlns:c16="http://schemas.microsoft.com/office/drawing/2014/chart" uri="{C3380CC4-5D6E-409C-BE32-E72D297353CC}">
              <c16:uniqueId val="{0000000D-EBAD-48A5-9277-83F388186C0C}"/>
            </c:ext>
          </c:extLst>
        </c:ser>
        <c:ser>
          <c:idx val="15"/>
          <c:order val="7"/>
          <c:tx>
            <c:strRef>
              <c:f>Projections!$A$72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1.8056259503294475E-3</c:v>
                </c:pt>
                <c:pt idx="1">
                  <c:v>3.6112519006588949E-3</c:v>
                </c:pt>
                <c:pt idx="2">
                  <c:v>7.2225038013177898E-3</c:v>
                </c:pt>
                <c:pt idx="3">
                  <c:v>1.444500760263558E-2</c:v>
                </c:pt>
                <c:pt idx="4">
                  <c:v>2.8890015205271159E-2</c:v>
                </c:pt>
                <c:pt idx="5">
                  <c:v>5.7780030410542318E-2</c:v>
                </c:pt>
                <c:pt idx="6">
                  <c:v>0.11556006082108464</c:v>
                </c:pt>
                <c:pt idx="7">
                  <c:v>0.23112012164216927</c:v>
                </c:pt>
                <c:pt idx="8">
                  <c:v>0.34668018246325394</c:v>
                </c:pt>
                <c:pt idx="9">
                  <c:v>0.38134820070957931</c:v>
                </c:pt>
                <c:pt idx="10">
                  <c:v>0.41601621895590474</c:v>
                </c:pt>
                <c:pt idx="11">
                  <c:v>0.43912823112012161</c:v>
                </c:pt>
                <c:pt idx="12">
                  <c:v>0.45068423720223005</c:v>
                </c:pt>
                <c:pt idx="13">
                  <c:v>0.46224024328433855</c:v>
                </c:pt>
              </c:numCache>
            </c:numRef>
          </c:val>
          <c:smooth val="0"/>
          <c:extLst>
            <c:ext xmlns:c16="http://schemas.microsoft.com/office/drawing/2014/chart" uri="{C3380CC4-5D6E-409C-BE32-E72D297353CC}">
              <c16:uniqueId val="{0000000F-EBAD-48A5-9277-83F388186C0C}"/>
            </c:ext>
          </c:extLst>
        </c:ser>
        <c:ser>
          <c:idx val="17"/>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10.53125</c:v>
                </c:pt>
                <c:pt idx="1">
                  <c:v>21.0625</c:v>
                </c:pt>
                <c:pt idx="2">
                  <c:v>42.125</c:v>
                </c:pt>
                <c:pt idx="3">
                  <c:v>84.25</c:v>
                </c:pt>
                <c:pt idx="4">
                  <c:v>168.5</c:v>
                </c:pt>
                <c:pt idx="5">
                  <c:v>337</c:v>
                </c:pt>
                <c:pt idx="6">
                  <c:v>674</c:v>
                </c:pt>
                <c:pt idx="7">
                  <c:v>1348</c:v>
                </c:pt>
                <c:pt idx="8">
                  <c:v>2022.0000000000002</c:v>
                </c:pt>
                <c:pt idx="9">
                  <c:v>2224.2000000000003</c:v>
                </c:pt>
                <c:pt idx="10">
                  <c:v>2426.4</c:v>
                </c:pt>
                <c:pt idx="11">
                  <c:v>2561.2000000000003</c:v>
                </c:pt>
                <c:pt idx="12">
                  <c:v>2628.6000000000004</c:v>
                </c:pt>
                <c:pt idx="13">
                  <c:v>2696</c:v>
                </c:pt>
              </c:numCache>
            </c:numRef>
          </c:val>
          <c:smooth val="0"/>
          <c:extLst>
            <c:ext xmlns:c16="http://schemas.microsoft.com/office/drawing/2014/chart" uri="{C3380CC4-5D6E-409C-BE32-E72D297353CC}">
              <c16:uniqueId val="{0000001E-05DD-4DD4-A5B5-12D162507280}"/>
            </c:ext>
          </c:extLst>
        </c:ser>
        <c:ser>
          <c:idx val="4"/>
          <c:order val="1"/>
          <c:tx>
            <c:strRef>
              <c:f>Projections!$A$85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Projections!$A$91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5.03125</c:v>
                </c:pt>
                <c:pt idx="1">
                  <c:v>10.0625</c:v>
                </c:pt>
                <c:pt idx="2">
                  <c:v>20.125</c:v>
                </c:pt>
                <c:pt idx="3">
                  <c:v>40.25</c:v>
                </c:pt>
                <c:pt idx="4">
                  <c:v>80.5</c:v>
                </c:pt>
                <c:pt idx="5">
                  <c:v>161</c:v>
                </c:pt>
                <c:pt idx="6">
                  <c:v>322</c:v>
                </c:pt>
                <c:pt idx="7">
                  <c:v>644</c:v>
                </c:pt>
                <c:pt idx="8">
                  <c:v>966</c:v>
                </c:pt>
                <c:pt idx="9">
                  <c:v>1062.6000000000001</c:v>
                </c:pt>
                <c:pt idx="10">
                  <c:v>1159.2</c:v>
                </c:pt>
                <c:pt idx="11">
                  <c:v>1223.6000000000001</c:v>
                </c:pt>
                <c:pt idx="12">
                  <c:v>1255.8</c:v>
                </c:pt>
                <c:pt idx="13">
                  <c:v>1288</c:v>
                </c:pt>
              </c:numCache>
            </c:numRef>
          </c:val>
          <c:smooth val="0"/>
          <c:extLst>
            <c:ext xmlns:c16="http://schemas.microsoft.com/office/drawing/2014/chart" uri="{C3380CC4-5D6E-409C-BE32-E72D297353CC}">
              <c16:uniqueId val="{00000022-05DD-4DD4-A5B5-12D162507280}"/>
            </c:ext>
          </c:extLst>
        </c:ser>
        <c:ser>
          <c:idx val="0"/>
          <c:order val="3"/>
          <c:tx>
            <c:strRef>
              <c:f>Projections!$A$81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Projections!$A$83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1.4375</c:v>
                </c:pt>
                <c:pt idx="1">
                  <c:v>2.875</c:v>
                </c:pt>
                <c:pt idx="2">
                  <c:v>5.75</c:v>
                </c:pt>
                <c:pt idx="3">
                  <c:v>11.5</c:v>
                </c:pt>
                <c:pt idx="4">
                  <c:v>23</c:v>
                </c:pt>
                <c:pt idx="5">
                  <c:v>46</c:v>
                </c:pt>
                <c:pt idx="6">
                  <c:v>92</c:v>
                </c:pt>
                <c:pt idx="7">
                  <c:v>184</c:v>
                </c:pt>
                <c:pt idx="8">
                  <c:v>276</c:v>
                </c:pt>
                <c:pt idx="9">
                  <c:v>303.60000000000002</c:v>
                </c:pt>
                <c:pt idx="10">
                  <c:v>331.2</c:v>
                </c:pt>
                <c:pt idx="11">
                  <c:v>349.59999999999997</c:v>
                </c:pt>
                <c:pt idx="12">
                  <c:v>358.8</c:v>
                </c:pt>
                <c:pt idx="13">
                  <c:v>368</c:v>
                </c:pt>
              </c:numCache>
            </c:numRef>
          </c:val>
          <c:smooth val="0"/>
          <c:extLst>
            <c:ext xmlns:c16="http://schemas.microsoft.com/office/drawing/2014/chart" uri="{C3380CC4-5D6E-409C-BE32-E72D297353CC}">
              <c16:uniqueId val="{0000001A-05DD-4DD4-A5B5-12D162507280}"/>
            </c:ext>
          </c:extLst>
        </c:ser>
        <c:ser>
          <c:idx val="8"/>
          <c:order val="5"/>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0.46875</c:v>
                </c:pt>
                <c:pt idx="1">
                  <c:v>0.9375</c:v>
                </c:pt>
                <c:pt idx="2">
                  <c:v>1.875</c:v>
                </c:pt>
                <c:pt idx="3">
                  <c:v>3.75</c:v>
                </c:pt>
                <c:pt idx="4">
                  <c:v>7.5</c:v>
                </c:pt>
                <c:pt idx="5">
                  <c:v>15</c:v>
                </c:pt>
                <c:pt idx="6">
                  <c:v>30</c:v>
                </c:pt>
                <c:pt idx="7">
                  <c:v>60</c:v>
                </c:pt>
                <c:pt idx="8">
                  <c:v>90</c:v>
                </c:pt>
                <c:pt idx="9">
                  <c:v>99</c:v>
                </c:pt>
                <c:pt idx="10">
                  <c:v>108</c:v>
                </c:pt>
                <c:pt idx="11">
                  <c:v>114</c:v>
                </c:pt>
                <c:pt idx="12">
                  <c:v>117</c:v>
                </c:pt>
                <c:pt idx="13">
                  <c:v>120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0.63187499999999996</c:v>
                </c:pt>
                <c:pt idx="1">
                  <c:v>1.2637499999999999</c:v>
                </c:pt>
                <c:pt idx="2">
                  <c:v>2.5274999999999999</c:v>
                </c:pt>
                <c:pt idx="3">
                  <c:v>5.0549999999999997</c:v>
                </c:pt>
                <c:pt idx="4">
                  <c:v>10.11</c:v>
                </c:pt>
                <c:pt idx="5">
                  <c:v>20.22</c:v>
                </c:pt>
                <c:pt idx="6">
                  <c:v>40.44</c:v>
                </c:pt>
                <c:pt idx="7">
                  <c:v>80.88</c:v>
                </c:pt>
                <c:pt idx="8">
                  <c:v>121.32000000000001</c:v>
                </c:pt>
                <c:pt idx="9">
                  <c:v>133.452</c:v>
                </c:pt>
                <c:pt idx="10">
                  <c:v>145.584</c:v>
                </c:pt>
                <c:pt idx="11">
                  <c:v>153.672</c:v>
                </c:pt>
                <c:pt idx="12">
                  <c:v>157.71600000000001</c:v>
                </c:pt>
                <c:pt idx="13">
                  <c:v>161.76</c:v>
                </c:pt>
              </c:numCache>
            </c:numRef>
          </c:val>
          <c:smooth val="0"/>
          <c:extLst>
            <c:ext xmlns:c16="http://schemas.microsoft.com/office/drawing/2014/chart" uri="{C3380CC4-5D6E-409C-BE32-E72D297353CC}">
              <c16:uniqueId val="{00000007-65B4-47F9-9B97-64FB989C8893}"/>
            </c:ext>
          </c:extLst>
        </c:ser>
        <c:ser>
          <c:idx val="5"/>
          <c:order val="1"/>
          <c:tx>
            <c:strRef>
              <c:f>Projections!$A$85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Projections!$A$81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Projections!$A$83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20.148</c:v>
                </c:pt>
                <c:pt idx="9">
                  <c:v>22.162800000000001</c:v>
                </c:pt>
                <c:pt idx="10">
                  <c:v>24.177599999999998</c:v>
                </c:pt>
                <c:pt idx="11">
                  <c:v>25.520799999999994</c:v>
                </c:pt>
                <c:pt idx="12">
                  <c:v>26.192399999999999</c:v>
                </c:pt>
                <c:pt idx="13">
                  <c:v>26.863999999999997</c:v>
                </c:pt>
              </c:numCache>
            </c:numRef>
          </c:val>
          <c:smooth val="0"/>
          <c:extLst>
            <c:ext xmlns:c16="http://schemas.microsoft.com/office/drawing/2014/chart" uri="{C3380CC4-5D6E-409C-BE32-E72D297353CC}">
              <c16:uniqueId val="{00000003-65B4-47F9-9B97-64FB989C8893}"/>
            </c:ext>
          </c:extLst>
        </c:ser>
        <c:ser>
          <c:idx val="9"/>
          <c:order val="4"/>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2.6249999999999999E-2</c:v>
                </c:pt>
                <c:pt idx="1">
                  <c:v>5.2499999999999998E-2</c:v>
                </c:pt>
                <c:pt idx="2">
                  <c:v>0.105</c:v>
                </c:pt>
                <c:pt idx="3">
                  <c:v>0.21</c:v>
                </c:pt>
                <c:pt idx="4">
                  <c:v>0.42</c:v>
                </c:pt>
                <c:pt idx="5">
                  <c:v>0.84</c:v>
                </c:pt>
                <c:pt idx="6">
                  <c:v>1.68</c:v>
                </c:pt>
                <c:pt idx="7">
                  <c:v>3.36</c:v>
                </c:pt>
                <c:pt idx="8">
                  <c:v>5.04</c:v>
                </c:pt>
                <c:pt idx="9">
                  <c:v>5.5440000000000005</c:v>
                </c:pt>
                <c:pt idx="10">
                  <c:v>6.048</c:v>
                </c:pt>
                <c:pt idx="11">
                  <c:v>6.3840000000000003</c:v>
                </c:pt>
                <c:pt idx="12">
                  <c:v>6.5520000000000005</c:v>
                </c:pt>
                <c:pt idx="13">
                  <c:v>6.72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34</xdr:col>
      <xdr:colOff>9526</xdr:colOff>
      <xdr:row>12</xdr:row>
      <xdr:rowOff>180975</xdr:rowOff>
    </xdr:from>
    <xdr:to>
      <xdr:col>45</xdr:col>
      <xdr:colOff>600075</xdr:colOff>
      <xdr:row>39</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736455</xdr:colOff>
      <xdr:row>84</xdr:row>
      <xdr:rowOff>5814</xdr:rowOff>
    </xdr:from>
    <xdr:to>
      <xdr:col>46</xdr:col>
      <xdr:colOff>19050</xdr:colOff>
      <xdr:row>107</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3031</xdr:colOff>
      <xdr:row>108</xdr:row>
      <xdr:rowOff>10576</xdr:rowOff>
    </xdr:from>
    <xdr:to>
      <xdr:col>46</xdr:col>
      <xdr:colOff>28575</xdr:colOff>
      <xdr:row>124</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741217</xdr:colOff>
      <xdr:row>125</xdr:row>
      <xdr:rowOff>182025</xdr:rowOff>
    </xdr:from>
    <xdr:to>
      <xdr:col>46</xdr:col>
      <xdr:colOff>38099</xdr:colOff>
      <xdr:row>141</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741219</xdr:colOff>
      <xdr:row>143</xdr:row>
      <xdr:rowOff>10575</xdr:rowOff>
    </xdr:from>
    <xdr:to>
      <xdr:col>46</xdr:col>
      <xdr:colOff>19050</xdr:colOff>
      <xdr:row>162</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738187</xdr:colOff>
      <xdr:row>46</xdr:row>
      <xdr:rowOff>4762</xdr:rowOff>
    </xdr:from>
    <xdr:to>
      <xdr:col>46</xdr:col>
      <xdr:colOff>19050</xdr:colOff>
      <xdr:row>66</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740228</xdr:colOff>
      <xdr:row>67</xdr:row>
      <xdr:rowOff>2721</xdr:rowOff>
    </xdr:from>
    <xdr:to>
      <xdr:col>45</xdr:col>
      <xdr:colOff>590550</xdr:colOff>
      <xdr:row>82</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1</xdr:colOff>
      <xdr:row>12</xdr:row>
      <xdr:rowOff>180975</xdr:rowOff>
    </xdr:from>
    <xdr:to>
      <xdr:col>59</xdr:col>
      <xdr:colOff>161925</xdr:colOff>
      <xdr:row>39</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607867</xdr:colOff>
      <xdr:row>83</xdr:row>
      <xdr:rowOff>177264</xdr:rowOff>
    </xdr:from>
    <xdr:to>
      <xdr:col>59</xdr:col>
      <xdr:colOff>209550</xdr:colOff>
      <xdr:row>106</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598343</xdr:colOff>
      <xdr:row>108</xdr:row>
      <xdr:rowOff>1051</xdr:rowOff>
    </xdr:from>
    <xdr:to>
      <xdr:col>59</xdr:col>
      <xdr:colOff>200025</xdr:colOff>
      <xdr:row>124</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47</xdr:col>
      <xdr:colOff>3029</xdr:colOff>
      <xdr:row>125</xdr:row>
      <xdr:rowOff>182025</xdr:rowOff>
    </xdr:from>
    <xdr:to>
      <xdr:col>59</xdr:col>
      <xdr:colOff>219074</xdr:colOff>
      <xdr:row>141</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47</xdr:col>
      <xdr:colOff>22081</xdr:colOff>
      <xdr:row>143</xdr:row>
      <xdr:rowOff>10575</xdr:rowOff>
    </xdr:from>
    <xdr:to>
      <xdr:col>59</xdr:col>
      <xdr:colOff>228600</xdr:colOff>
      <xdr:row>162</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600074</xdr:colOff>
      <xdr:row>46</xdr:row>
      <xdr:rowOff>14287</xdr:rowOff>
    </xdr:from>
    <xdr:to>
      <xdr:col>59</xdr:col>
      <xdr:colOff>200025</xdr:colOff>
      <xdr:row>66</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606878</xdr:colOff>
      <xdr:row>67</xdr:row>
      <xdr:rowOff>2721</xdr:rowOff>
    </xdr:from>
    <xdr:to>
      <xdr:col>59</xdr:col>
      <xdr:colOff>161925</xdr:colOff>
      <xdr:row>82</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coronavirus"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/Projections!B14</f>
        <v>94.966761633428291</v>
      </c>
      <c r="C17" s="116"/>
      <c r="D17" s="117"/>
      <c r="E17" s="111">
        <f>B17*2</f>
        <v>189.93352326685658</v>
      </c>
      <c r="F17" s="116"/>
      <c r="G17" s="111"/>
      <c r="H17" s="111">
        <f>E17*2</f>
        <v>379.86704653371316</v>
      </c>
      <c r="I17" s="116"/>
      <c r="J17" s="117"/>
      <c r="K17" s="108">
        <f>H17*2</f>
        <v>759.73409306742633</v>
      </c>
      <c r="L17" s="106"/>
      <c r="M17" s="107"/>
      <c r="N17" s="108">
        <f>K17*2</f>
        <v>1519.4681861348527</v>
      </c>
      <c r="O17" s="106"/>
      <c r="P17" s="107"/>
      <c r="Q17" s="108">
        <f>N17*2</f>
        <v>3038.9363722697053</v>
      </c>
      <c r="R17" s="106"/>
      <c r="S17" s="107"/>
      <c r="T17" s="108">
        <f>Q17*2</f>
        <v>6077.8727445394106</v>
      </c>
      <c r="U17" s="106"/>
      <c r="V17" s="107"/>
      <c r="W17" s="108">
        <f>T17*2</f>
        <v>12155.745489078821</v>
      </c>
      <c r="X17" s="106"/>
      <c r="Y17" s="107"/>
      <c r="Z17" s="108">
        <f>W17*2</f>
        <v>24311.490978157643</v>
      </c>
      <c r="AA17" s="106"/>
      <c r="AB17" s="107"/>
      <c r="AC17" s="108">
        <f>Z17*2</f>
        <v>48622.981956315285</v>
      </c>
      <c r="AD17" s="106"/>
      <c r="AE17" s="107"/>
      <c r="AF17" s="108">
        <f>AC17*2</f>
        <v>97245.96391263057</v>
      </c>
      <c r="AG17" s="106"/>
      <c r="AH17" s="107"/>
      <c r="AI17" s="108">
        <f>AF17*2</f>
        <v>194491.92782526114</v>
      </c>
      <c r="AJ17" s="106"/>
      <c r="AK17" s="107"/>
      <c r="AL17" s="108">
        <f>AI17*2</f>
        <v>388983.85565052228</v>
      </c>
      <c r="AM17" s="106"/>
      <c r="AN17" s="107"/>
      <c r="AO17" s="108">
        <f>AL17*2</f>
        <v>777967.71130104456</v>
      </c>
      <c r="AP17" s="111"/>
      <c r="AQ17" t="s">
        <v>190</v>
      </c>
    </row>
    <row r="18" spans="1:43" s="81" customFormat="1" x14ac:dyDescent="0.25">
      <c r="A18" s="81" t="s">
        <v>276</v>
      </c>
      <c r="B18" s="100">
        <f>B17*$E$34</f>
        <v>18.043684710351371</v>
      </c>
      <c r="C18" s="118"/>
      <c r="D18" s="118"/>
      <c r="E18" s="118">
        <f>E17*$E$34</f>
        <v>36.087369420702743</v>
      </c>
      <c r="F18" s="118"/>
      <c r="G18" s="45"/>
      <c r="H18" s="118">
        <f>H17*$E$34</f>
        <v>72.174738841405485</v>
      </c>
      <c r="I18" s="118"/>
      <c r="J18" s="118"/>
      <c r="K18" s="118">
        <f>K17*$E$34</f>
        <v>144.34947768281097</v>
      </c>
      <c r="L18" s="118"/>
      <c r="M18" s="118"/>
      <c r="N18" s="118">
        <f>N17*$E$34</f>
        <v>288.69895536562194</v>
      </c>
      <c r="O18" s="118"/>
      <c r="P18" s="118"/>
      <c r="Q18" s="118">
        <f>Q17*$E$34</f>
        <v>577.39791073124388</v>
      </c>
      <c r="R18" s="118"/>
      <c r="S18" s="118"/>
      <c r="T18" s="118">
        <f>T17*$E$34</f>
        <v>1154.7958214624878</v>
      </c>
      <c r="U18" s="118"/>
      <c r="V18" s="118"/>
      <c r="W18" s="118">
        <f>W17*$E$34</f>
        <v>2309.5916429249755</v>
      </c>
      <c r="X18" s="118"/>
      <c r="Y18" s="118"/>
      <c r="Z18" s="118">
        <f>Z17*$E$34</f>
        <v>4619.1832858499511</v>
      </c>
      <c r="AA18" s="118"/>
      <c r="AB18" s="118"/>
      <c r="AC18" s="118">
        <f>AC17*$E$34</f>
        <v>9238.3665716999021</v>
      </c>
      <c r="AD18" s="118"/>
      <c r="AE18" s="118"/>
      <c r="AF18" s="118">
        <f>AF17*$E$34</f>
        <v>18476.733143399804</v>
      </c>
      <c r="AG18" s="118"/>
      <c r="AH18" s="118"/>
      <c r="AI18" s="118">
        <f>AI17*$E$34</f>
        <v>36953.466286799608</v>
      </c>
      <c r="AJ18" s="118"/>
      <c r="AK18" s="118"/>
      <c r="AL18" s="118">
        <f>AL17*$E$34</f>
        <v>73906.932573599217</v>
      </c>
      <c r="AM18" s="118"/>
      <c r="AN18" s="118"/>
      <c r="AO18" s="118">
        <f>AO17*$E$34</f>
        <v>147813.86514719843</v>
      </c>
      <c r="AP18" s="45"/>
      <c r="AQ18" s="81" t="s">
        <v>276</v>
      </c>
    </row>
    <row r="19" spans="1:43" s="81" customFormat="1" x14ac:dyDescent="0.25">
      <c r="A19" s="59" t="s">
        <v>278</v>
      </c>
      <c r="B19" s="98">
        <f>B18</f>
        <v>18.043684710351371</v>
      </c>
      <c r="C19" s="99"/>
      <c r="D19" s="99"/>
      <c r="E19" s="99">
        <f>E18</f>
        <v>36.087369420702743</v>
      </c>
      <c r="F19" s="99"/>
      <c r="G19" s="46"/>
      <c r="H19" s="99">
        <f>H18</f>
        <v>72.174738841405485</v>
      </c>
      <c r="I19" s="99"/>
      <c r="J19" s="99"/>
      <c r="K19" s="99">
        <f>K18</f>
        <v>144.34947768281097</v>
      </c>
      <c r="L19" s="99"/>
      <c r="M19" s="99"/>
      <c r="N19" s="99">
        <f>N18</f>
        <v>288.69895536562194</v>
      </c>
      <c r="O19" s="99"/>
      <c r="P19" s="99"/>
      <c r="Q19" s="99">
        <f>Q18</f>
        <v>577.39791073124388</v>
      </c>
      <c r="R19" s="99"/>
      <c r="S19" s="99"/>
      <c r="T19" s="99">
        <f>T18</f>
        <v>1154.7958214624878</v>
      </c>
      <c r="U19" s="99"/>
      <c r="V19" s="99"/>
      <c r="W19" s="135">
        <f>W18-B18</f>
        <v>2291.547958214624</v>
      </c>
      <c r="X19" s="135"/>
      <c r="Y19" s="135"/>
      <c r="Z19" s="135">
        <f>Z18-E18</f>
        <v>4583.0959164292481</v>
      </c>
      <c r="AA19" s="135"/>
      <c r="AB19" s="135"/>
      <c r="AC19" s="135">
        <f>AC18-H18</f>
        <v>9166.1918328584961</v>
      </c>
      <c r="AD19" s="135"/>
      <c r="AE19" s="135"/>
      <c r="AF19" s="135">
        <f>AF18-K18</f>
        <v>18332.383665716992</v>
      </c>
      <c r="AG19" s="135"/>
      <c r="AH19" s="135"/>
      <c r="AI19" s="135">
        <f>AI18-N18</f>
        <v>36664.767331433985</v>
      </c>
      <c r="AJ19" s="135"/>
      <c r="AK19" s="135"/>
      <c r="AL19" s="135">
        <f>AL18-Q18</f>
        <v>73329.534662867969</v>
      </c>
      <c r="AM19" s="135"/>
      <c r="AN19" s="135"/>
      <c r="AO19" s="135">
        <f>AO18-T18</f>
        <v>146659.06932573594</v>
      </c>
      <c r="AP19" s="136"/>
      <c r="AQ19" s="59" t="s">
        <v>278</v>
      </c>
    </row>
    <row r="20" spans="1:43" s="81" customFormat="1" x14ac:dyDescent="0.25">
      <c r="A20" t="s">
        <v>191</v>
      </c>
      <c r="B20" s="100"/>
      <c r="C20" s="118"/>
      <c r="D20" s="118"/>
      <c r="E20" s="118"/>
      <c r="F20" s="118"/>
      <c r="G20" s="45"/>
      <c r="H20" s="119"/>
      <c r="I20" s="120"/>
      <c r="J20" s="121"/>
      <c r="K20" s="145">
        <f>B17*(1-E34)</f>
        <v>76.92307692307692</v>
      </c>
      <c r="L20" s="142"/>
      <c r="M20" s="143"/>
      <c r="N20" s="144">
        <f>E17*(1-E34)</f>
        <v>153.84615384615384</v>
      </c>
      <c r="O20" s="142"/>
      <c r="P20" s="143"/>
      <c r="Q20" s="144">
        <f>H17*(1-E34)</f>
        <v>307.69230769230768</v>
      </c>
      <c r="R20" s="142"/>
      <c r="S20" s="143"/>
      <c r="T20" s="144">
        <f>K17*(1-E34)</f>
        <v>615.38461538461536</v>
      </c>
      <c r="U20" s="142"/>
      <c r="V20" s="143"/>
      <c r="W20" s="144">
        <f>N17*(1-E34)</f>
        <v>1230.7692307692307</v>
      </c>
      <c r="X20" s="142"/>
      <c r="Y20" s="143"/>
      <c r="Z20" s="144">
        <f>Q17*(1-E34)</f>
        <v>2461.5384615384614</v>
      </c>
      <c r="AA20" s="142"/>
      <c r="AB20" s="143"/>
      <c r="AC20" s="144">
        <f>T17*(1-E34)</f>
        <v>4923.0769230769229</v>
      </c>
      <c r="AD20" s="142"/>
      <c r="AE20" s="143"/>
      <c r="AF20" s="144">
        <f>W17*(1-E34)</f>
        <v>9846.1538461538457</v>
      </c>
      <c r="AG20" s="142"/>
      <c r="AH20" s="143"/>
      <c r="AI20" s="144">
        <f>Z17*(1-E34)</f>
        <v>19692.307692307691</v>
      </c>
      <c r="AJ20" s="142"/>
      <c r="AK20" s="143"/>
      <c r="AL20" s="144">
        <f>AC17*(1-E34)</f>
        <v>39384.615384615383</v>
      </c>
      <c r="AM20" s="142"/>
      <c r="AN20" s="143"/>
      <c r="AO20" s="144">
        <f>AF17*(1-E34)</f>
        <v>78769.230769230766</v>
      </c>
      <c r="AP20" s="91"/>
      <c r="AQ20" t="s">
        <v>191</v>
      </c>
    </row>
    <row r="21" spans="1:43" s="81" customFormat="1" x14ac:dyDescent="0.25">
      <c r="A21" s="81" t="s">
        <v>172</v>
      </c>
      <c r="B21" s="92"/>
      <c r="C21" s="93"/>
      <c r="D21" s="93"/>
      <c r="E21" s="93"/>
      <c r="F21" s="93"/>
      <c r="G21" s="94"/>
      <c r="H21" s="137">
        <f>B17-B18</f>
        <v>76.92307692307692</v>
      </c>
      <c r="I21" s="137"/>
      <c r="J21" s="137"/>
      <c r="K21" s="137">
        <f>E17-E18</f>
        <v>153.84615384615384</v>
      </c>
      <c r="L21" s="137"/>
      <c r="M21" s="137"/>
      <c r="N21" s="137">
        <f>(H17-H18)*$E$35</f>
        <v>283.07692307692309</v>
      </c>
      <c r="O21" s="137"/>
      <c r="P21" s="137"/>
      <c r="Q21" s="137">
        <f>(K17-K18)*$E$35</f>
        <v>566.15384615384619</v>
      </c>
      <c r="R21" s="137"/>
      <c r="S21" s="137"/>
      <c r="T21" s="137">
        <f>(N17-N18)*$E$35</f>
        <v>1132.3076923076924</v>
      </c>
      <c r="U21" s="137"/>
      <c r="V21" s="137"/>
      <c r="W21" s="137">
        <f>((Q17-Q18)*$E$35)-(H21*$E$35)</f>
        <v>2193.8461538461538</v>
      </c>
      <c r="X21" s="137"/>
      <c r="Y21" s="137"/>
      <c r="Z21" s="137">
        <f>((T17-T18)*$E$35)-(K21*$E$35)</f>
        <v>4387.6923076923076</v>
      </c>
      <c r="AA21" s="137"/>
      <c r="AB21" s="137"/>
      <c r="AC21" s="137">
        <f>((W17-W18)*$E$35)-N21</f>
        <v>8775.3846153846152</v>
      </c>
      <c r="AD21" s="137"/>
      <c r="AE21" s="137"/>
      <c r="AF21" s="137">
        <f>((Z17-Z18)*$E$35)-Q21</f>
        <v>17550.76923076923</v>
      </c>
      <c r="AG21" s="137"/>
      <c r="AH21" s="137"/>
      <c r="AI21" s="137">
        <f>((AC17-AC18)*$E$35)-T21</f>
        <v>35101.538461538461</v>
      </c>
      <c r="AJ21" s="137"/>
      <c r="AK21" s="137"/>
      <c r="AL21" s="137">
        <f>((AF17-AF18)*$E$35)-W21</f>
        <v>70273.846153846156</v>
      </c>
      <c r="AM21" s="137"/>
      <c r="AN21" s="137"/>
      <c r="AO21" s="137">
        <f>((AI17-AI18)*$E$35)-Z21</f>
        <v>140547.69230769231</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24.615384615384613</v>
      </c>
      <c r="O22" s="139"/>
      <c r="P22" s="139"/>
      <c r="Q22" s="139">
        <f>(K17-K18)*($E$36+$E$37)</f>
        <v>49.230769230769226</v>
      </c>
      <c r="R22" s="139"/>
      <c r="S22" s="139"/>
      <c r="T22" s="139">
        <f>(N17-N18)*$E$36</f>
        <v>61.53846153846154</v>
      </c>
      <c r="U22" s="139"/>
      <c r="V22" s="139"/>
      <c r="W22" s="139">
        <f>(Q17-Q18)*$E$36</f>
        <v>123.07692307692308</v>
      </c>
      <c r="X22" s="139"/>
      <c r="Y22" s="139"/>
      <c r="Z22" s="139">
        <f>(T17-T18)*$E$36</f>
        <v>246.15384615384616</v>
      </c>
      <c r="AA22" s="139"/>
      <c r="AB22" s="139"/>
      <c r="AC22" s="139">
        <f>(W17-W18)*$E$36</f>
        <v>492.30769230769232</v>
      </c>
      <c r="AD22" s="139"/>
      <c r="AE22" s="139"/>
      <c r="AF22" s="139">
        <f>(Z17-Z18)*$E$36</f>
        <v>984.61538461538464</v>
      </c>
      <c r="AG22" s="139"/>
      <c r="AH22" s="139"/>
      <c r="AI22" s="139">
        <f>(AC17-AC18)*$E$36</f>
        <v>1969.2307692307693</v>
      </c>
      <c r="AJ22" s="139"/>
      <c r="AK22" s="139"/>
      <c r="AL22" s="139">
        <f>(AF17-AF18)*$E$36</f>
        <v>3938.4615384615386</v>
      </c>
      <c r="AM22" s="139"/>
      <c r="AN22" s="139"/>
      <c r="AO22" s="139">
        <f>(AI17-AI18)*$E$36</f>
        <v>7876.9230769230771</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36.92307692307692</v>
      </c>
      <c r="U23" s="52"/>
      <c r="V23" s="52"/>
      <c r="W23" s="52">
        <f>(Q17-Q18)*$E$37</f>
        <v>73.84615384615384</v>
      </c>
      <c r="X23" s="52"/>
      <c r="Y23" s="52"/>
      <c r="Z23" s="52">
        <f>(T17-T18)*$E$37</f>
        <v>147.69230769230768</v>
      </c>
      <c r="AA23" s="52"/>
      <c r="AB23" s="52"/>
      <c r="AC23" s="52">
        <f>(W17-W18)*$E$37</f>
        <v>295.38461538461536</v>
      </c>
      <c r="AD23" s="52"/>
      <c r="AE23" s="52"/>
      <c r="AF23" s="52">
        <f>(Z17-Z18)*$E$37</f>
        <v>590.76923076923072</v>
      </c>
      <c r="AG23" s="52"/>
      <c r="AH23" s="52"/>
      <c r="AI23" s="52">
        <f>(AC17-AC18)*$E$37</f>
        <v>1181.5384615384614</v>
      </c>
      <c r="AJ23" s="52"/>
      <c r="AK23" s="52"/>
      <c r="AL23" s="52">
        <f>(AF17-AF18)*$E$37</f>
        <v>2363.0769230769229</v>
      </c>
      <c r="AM23" s="52"/>
      <c r="AN23" s="52"/>
      <c r="AO23" s="52">
        <f>(AI17-AI18)*$E$37</f>
        <v>4726.1538461538457</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70.769230769230774</v>
      </c>
      <c r="W24" s="122"/>
      <c r="X24" s="122"/>
      <c r="Y24" s="122">
        <f>K21*$E$35</f>
        <v>141.53846153846155</v>
      </c>
      <c r="Z24" s="122"/>
      <c r="AA24" s="122"/>
      <c r="AB24" s="122">
        <f>N21</f>
        <v>283.07692307692309</v>
      </c>
      <c r="AC24" s="122"/>
      <c r="AD24" s="122"/>
      <c r="AE24" s="122">
        <f>Q21</f>
        <v>566.15384615384619</v>
      </c>
      <c r="AF24" s="122"/>
      <c r="AG24" s="122"/>
      <c r="AH24" s="122">
        <f>T21</f>
        <v>1132.3076923076924</v>
      </c>
      <c r="AI24" s="122"/>
      <c r="AJ24" s="122"/>
      <c r="AK24" s="122">
        <f>W21</f>
        <v>2193.8461538461538</v>
      </c>
      <c r="AL24" s="122"/>
      <c r="AM24" s="122"/>
      <c r="AN24" s="122">
        <f>Z21</f>
        <v>4387.6923076923076</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43912.44735613426</v>
      </c>
      <c r="C26" s="103">
        <f t="shared" ca="1" si="0"/>
        <v>43913.44735613426</v>
      </c>
      <c r="D26" s="103">
        <f t="shared" ca="1" si="0"/>
        <v>43914.44735613426</v>
      </c>
      <c r="E26" s="103">
        <f t="shared" ca="1" si="0"/>
        <v>43915.44735613426</v>
      </c>
      <c r="F26" s="103">
        <f t="shared" ca="1" si="0"/>
        <v>43916.44735613426</v>
      </c>
      <c r="G26" s="104">
        <f t="shared" ca="1" si="0"/>
        <v>43917.44735613426</v>
      </c>
      <c r="H26" s="103">
        <f t="shared" ref="H26:U26" ca="1" si="1">I26-1</f>
        <v>43918.44735613426</v>
      </c>
      <c r="I26" s="103">
        <f t="shared" ca="1" si="1"/>
        <v>43919.44735613426</v>
      </c>
      <c r="J26" s="103">
        <f t="shared" ca="1" si="1"/>
        <v>43920.44735613426</v>
      </c>
      <c r="K26" s="103">
        <f t="shared" ca="1" si="1"/>
        <v>43921.44735613426</v>
      </c>
      <c r="L26" s="103">
        <f t="shared" ca="1" si="1"/>
        <v>43922.44735613426</v>
      </c>
      <c r="M26" s="103">
        <f t="shared" ca="1" si="1"/>
        <v>43923.44735613426</v>
      </c>
      <c r="N26" s="104">
        <f t="shared" ca="1" si="1"/>
        <v>43924.44735613426</v>
      </c>
      <c r="O26" s="102">
        <f t="shared" ca="1" si="1"/>
        <v>43925.44735613426</v>
      </c>
      <c r="P26" s="103">
        <f t="shared" ca="1" si="1"/>
        <v>43926.44735613426</v>
      </c>
      <c r="Q26" s="103">
        <f t="shared" ca="1" si="1"/>
        <v>43927.44735613426</v>
      </c>
      <c r="R26" s="103">
        <f t="shared" ca="1" si="1"/>
        <v>43928.44735613426</v>
      </c>
      <c r="S26" s="103">
        <f t="shared" ca="1" si="1"/>
        <v>43929.44735613426</v>
      </c>
      <c r="T26" s="103">
        <f t="shared" ca="1" si="1"/>
        <v>43930.44735613426</v>
      </c>
      <c r="U26" s="104">
        <f t="shared" ca="1" si="1"/>
        <v>43931.44735613426</v>
      </c>
      <c r="V26" s="102">
        <f t="shared" ref="V26:AN26" ca="1" si="2">W26-1</f>
        <v>43932.44735613426</v>
      </c>
      <c r="W26" s="103">
        <f t="shared" ca="1" si="2"/>
        <v>43933.44735613426</v>
      </c>
      <c r="X26" s="103">
        <f t="shared" ca="1" si="2"/>
        <v>43934.44735613426</v>
      </c>
      <c r="Y26" s="103">
        <f t="shared" ca="1" si="2"/>
        <v>43935.44735613426</v>
      </c>
      <c r="Z26" s="103">
        <f t="shared" ca="1" si="2"/>
        <v>43936.44735613426</v>
      </c>
      <c r="AA26" s="103">
        <f t="shared" ca="1" si="2"/>
        <v>43937.44735613426</v>
      </c>
      <c r="AB26" s="104">
        <f t="shared" ca="1" si="2"/>
        <v>43938.44735613426</v>
      </c>
      <c r="AC26" s="102">
        <f t="shared" ca="1" si="2"/>
        <v>43939.44735613426</v>
      </c>
      <c r="AD26" s="103">
        <f t="shared" ca="1" si="2"/>
        <v>43940.44735613426</v>
      </c>
      <c r="AE26" s="103">
        <f t="shared" ca="1" si="2"/>
        <v>43941.44735613426</v>
      </c>
      <c r="AF26" s="103">
        <f t="shared" ca="1" si="2"/>
        <v>43942.44735613426</v>
      </c>
      <c r="AG26" s="103">
        <f t="shared" ca="1" si="2"/>
        <v>43943.44735613426</v>
      </c>
      <c r="AH26" s="103">
        <f t="shared" ca="1" si="2"/>
        <v>43944.44735613426</v>
      </c>
      <c r="AI26" s="104">
        <f t="shared" ca="1" si="2"/>
        <v>43945.44735613426</v>
      </c>
      <c r="AJ26" s="102">
        <f t="shared" ca="1" si="2"/>
        <v>43946.44735613426</v>
      </c>
      <c r="AK26" s="103">
        <f t="shared" ca="1" si="2"/>
        <v>43947.44735613426</v>
      </c>
      <c r="AL26" s="103">
        <f t="shared" ca="1" si="2"/>
        <v>43948.44735613426</v>
      </c>
      <c r="AM26" s="103">
        <f t="shared" ca="1" si="2"/>
        <v>43949.44735613426</v>
      </c>
      <c r="AN26" s="103">
        <f t="shared" ca="1" si="2"/>
        <v>43950.44735613426</v>
      </c>
      <c r="AO26" s="103">
        <f ca="1">AP26-1</f>
        <v>43951.44735613426</v>
      </c>
      <c r="AP26" s="124">
        <f ca="1">NOW()</f>
        <v>43952.44735613426</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287" t="s">
        <v>166</v>
      </c>
      <c r="C28" s="288"/>
      <c r="D28" s="288"/>
      <c r="E28" s="288"/>
      <c r="F28" s="288"/>
      <c r="G28" s="289"/>
      <c r="H28" s="293" t="s">
        <v>154</v>
      </c>
      <c r="I28" s="293"/>
      <c r="J28" s="293"/>
      <c r="K28" s="293"/>
      <c r="L28" s="293"/>
      <c r="M28" s="293"/>
      <c r="N28" s="294"/>
      <c r="O28" s="292" t="s">
        <v>155</v>
      </c>
      <c r="P28" s="293"/>
      <c r="Q28" s="293"/>
      <c r="R28" s="293"/>
      <c r="S28" s="293"/>
      <c r="T28" s="293"/>
      <c r="U28" s="294"/>
      <c r="V28" s="292" t="s">
        <v>156</v>
      </c>
      <c r="W28" s="293"/>
      <c r="X28" s="293"/>
      <c r="Y28" s="293"/>
      <c r="Z28" s="293"/>
      <c r="AA28" s="293"/>
      <c r="AB28" s="294"/>
      <c r="AC28" s="292" t="s">
        <v>157</v>
      </c>
      <c r="AD28" s="293"/>
      <c r="AE28" s="293"/>
      <c r="AF28" s="293"/>
      <c r="AG28" s="293"/>
      <c r="AH28" s="293"/>
      <c r="AI28" s="294"/>
      <c r="AJ28" s="292" t="s">
        <v>158</v>
      </c>
      <c r="AK28" s="293"/>
      <c r="AL28" s="293"/>
      <c r="AM28" s="293"/>
      <c r="AN28" s="293"/>
      <c r="AO28" s="293"/>
      <c r="AP28" s="294"/>
    </row>
    <row r="29" spans="1:43" x14ac:dyDescent="0.25">
      <c r="B29" s="63" t="s">
        <v>178</v>
      </c>
      <c r="C29" s="109"/>
      <c r="D29" s="109"/>
      <c r="E29" s="109"/>
      <c r="F29" s="109"/>
      <c r="G29" s="110"/>
      <c r="H29" s="290" t="s">
        <v>165</v>
      </c>
      <c r="I29" s="290"/>
      <c r="J29" s="290"/>
      <c r="K29" s="290"/>
      <c r="L29" s="290"/>
      <c r="M29" s="290"/>
      <c r="N29" s="290"/>
      <c r="O29" s="290"/>
      <c r="P29" s="290"/>
      <c r="Q29" s="290"/>
      <c r="R29" s="290"/>
      <c r="S29" s="290"/>
      <c r="T29" s="290"/>
      <c r="U29" s="290"/>
      <c r="V29" s="290"/>
      <c r="W29" s="290"/>
      <c r="X29" s="290"/>
      <c r="Y29" s="290"/>
      <c r="Z29" s="290"/>
      <c r="AA29" s="290"/>
      <c r="AB29" s="290"/>
      <c r="AC29" s="290"/>
      <c r="AD29" s="290"/>
      <c r="AE29" s="290"/>
      <c r="AF29" s="290"/>
      <c r="AG29" s="290"/>
      <c r="AH29" s="290"/>
      <c r="AI29" s="290"/>
      <c r="AJ29" s="290"/>
      <c r="AK29" s="290"/>
      <c r="AL29" s="290"/>
      <c r="AM29" s="290"/>
      <c r="AN29" s="290"/>
      <c r="AO29" s="290"/>
      <c r="AP29" s="291"/>
    </row>
    <row r="31" spans="1:43" x14ac:dyDescent="0.25">
      <c r="B31" s="69" t="s">
        <v>167</v>
      </c>
      <c r="C31" s="152" t="s">
        <v>290</v>
      </c>
      <c r="D31" s="21"/>
      <c r="E31" s="97">
        <f>VLOOKUP(C31,B43:C54,2,FALSE)</f>
        <v>1.2999999999999999E-2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289</v>
      </c>
      <c r="C34" s="28"/>
      <c r="D34" s="28"/>
      <c r="E34" s="154">
        <f>1-Projections!B14</f>
        <v>0.18999999999999995</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290</v>
      </c>
      <c r="C45" s="39">
        <f>Projections!B21</f>
        <v>1.2999999999999999E-2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94"/>
  <sheetViews>
    <sheetView tabSelected="1" zoomScaleNormal="100" workbookViewId="0">
      <selection activeCell="U11" sqref="U11"/>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1:19" x14ac:dyDescent="0.25">
      <c r="D1" t="s">
        <v>220</v>
      </c>
    </row>
    <row r="2" spans="1:19" x14ac:dyDescent="0.25">
      <c r="D2" s="173">
        <v>43862</v>
      </c>
      <c r="E2" s="174" t="s">
        <v>267</v>
      </c>
      <c r="F2" s="173">
        <f>D2+14</f>
        <v>43876</v>
      </c>
    </row>
    <row r="3" spans="1:19" x14ac:dyDescent="0.25">
      <c r="F3" s="173">
        <v>43891</v>
      </c>
      <c r="G3" s="174" t="s">
        <v>268</v>
      </c>
      <c r="H3" s="174"/>
      <c r="I3" s="174"/>
      <c r="J3" s="173">
        <f>F3+14</f>
        <v>43905</v>
      </c>
    </row>
    <row r="4" spans="1:19" x14ac:dyDescent="0.25">
      <c r="G4" s="173">
        <v>43895</v>
      </c>
      <c r="H4" s="174" t="s">
        <v>269</v>
      </c>
      <c r="I4" s="174"/>
      <c r="J4" s="174"/>
      <c r="K4" s="173">
        <f>G4+14</f>
        <v>43909</v>
      </c>
    </row>
    <row r="5" spans="1:19" x14ac:dyDescent="0.25">
      <c r="I5" s="173">
        <v>43901</v>
      </c>
      <c r="J5" s="174" t="s">
        <v>272</v>
      </c>
      <c r="K5" s="174"/>
      <c r="L5" s="174"/>
      <c r="M5" s="173">
        <f>I5+14</f>
        <v>43915</v>
      </c>
    </row>
    <row r="6" spans="1:19" x14ac:dyDescent="0.25">
      <c r="J6" s="173">
        <v>43906</v>
      </c>
      <c r="K6" s="174" t="s">
        <v>270</v>
      </c>
      <c r="L6" s="174"/>
      <c r="M6" s="174"/>
      <c r="N6" s="173">
        <f>J6+14</f>
        <v>43920</v>
      </c>
      <c r="O6" s="181"/>
    </row>
    <row r="7" spans="1:19" x14ac:dyDescent="0.25">
      <c r="K7" s="173">
        <v>43908</v>
      </c>
      <c r="L7" s="207" t="s">
        <v>271</v>
      </c>
      <c r="M7" s="207"/>
      <c r="N7" s="173">
        <f>K7+14</f>
        <v>43922</v>
      </c>
      <c r="O7" s="181"/>
    </row>
    <row r="8" spans="1:19" x14ac:dyDescent="0.25">
      <c r="K8" s="173">
        <v>43909</v>
      </c>
      <c r="L8" s="174" t="s">
        <v>292</v>
      </c>
      <c r="M8" s="174"/>
      <c r="N8" s="173">
        <v>43923</v>
      </c>
    </row>
    <row r="9" spans="1:19" x14ac:dyDescent="0.25">
      <c r="L9" s="173">
        <v>43911</v>
      </c>
      <c r="M9" s="174" t="s">
        <v>295</v>
      </c>
      <c r="N9" s="173">
        <f>L9+14</f>
        <v>43925</v>
      </c>
      <c r="O9" s="181"/>
      <c r="P9" s="181"/>
      <c r="Q9" s="181"/>
      <c r="R9" s="181"/>
    </row>
    <row r="10" spans="1:19" x14ac:dyDescent="0.25">
      <c r="L10" s="173">
        <v>43913</v>
      </c>
      <c r="M10" s="174" t="s">
        <v>217</v>
      </c>
      <c r="N10" s="173">
        <f>L10+14</f>
        <v>43927</v>
      </c>
      <c r="O10" s="181"/>
      <c r="P10" s="181"/>
      <c r="Q10" s="181"/>
      <c r="R10" s="181"/>
      <c r="S10" s="181"/>
    </row>
    <row r="11" spans="1:19" x14ac:dyDescent="0.25">
      <c r="M11" s="175">
        <v>43914</v>
      </c>
      <c r="N11" s="207" t="s">
        <v>293</v>
      </c>
      <c r="O11" s="175">
        <v>43928</v>
      </c>
      <c r="S11" s="181"/>
    </row>
    <row r="12" spans="1:19" x14ac:dyDescent="0.25">
      <c r="L12" s="28"/>
      <c r="M12" s="175">
        <v>43915</v>
      </c>
      <c r="N12" s="207" t="s">
        <v>294</v>
      </c>
      <c r="O12" s="175">
        <v>43929</v>
      </c>
      <c r="S12" s="181"/>
    </row>
    <row r="13" spans="1:19" x14ac:dyDescent="0.25">
      <c r="A13" s="16" t="s">
        <v>0</v>
      </c>
      <c r="B13" s="169">
        <v>25634000</v>
      </c>
      <c r="C13" t="s">
        <v>151</v>
      </c>
      <c r="M13" s="175">
        <v>43915</v>
      </c>
      <c r="N13" s="207" t="s">
        <v>218</v>
      </c>
      <c r="O13" s="175">
        <f>M13+14</f>
        <v>43929</v>
      </c>
      <c r="P13" s="81"/>
      <c r="Q13" s="81"/>
      <c r="R13" s="81"/>
      <c r="S13" s="181"/>
    </row>
    <row r="14" spans="1:19" x14ac:dyDescent="0.25">
      <c r="A14" s="16" t="s">
        <v>214</v>
      </c>
      <c r="B14" s="170">
        <v>0.81</v>
      </c>
      <c r="C14" t="s">
        <v>213</v>
      </c>
      <c r="N14" s="173">
        <v>43920</v>
      </c>
      <c r="O14" s="174" t="s">
        <v>219</v>
      </c>
      <c r="P14" s="173">
        <f>N14+14</f>
        <v>43934</v>
      </c>
      <c r="Q14" s="181"/>
      <c r="R14" s="181"/>
      <c r="S14" s="81"/>
    </row>
    <row r="15" spans="1:19" x14ac:dyDescent="0.25">
      <c r="A15" s="49" t="s">
        <v>216</v>
      </c>
      <c r="B15" s="128">
        <v>0.2</v>
      </c>
      <c r="P15" s="278">
        <v>43948</v>
      </c>
      <c r="Q15" t="s">
        <v>300</v>
      </c>
      <c r="S15" s="181"/>
    </row>
    <row r="16" spans="1:19" x14ac:dyDescent="0.25">
      <c r="A16" s="53" t="s">
        <v>144</v>
      </c>
      <c r="B16" s="125">
        <v>2.6</v>
      </c>
      <c r="C16" s="76">
        <f>(B13/1000)*B16</f>
        <v>66648.400000000009</v>
      </c>
      <c r="L16" s="164"/>
      <c r="M16" s="59"/>
      <c r="N16" s="59"/>
      <c r="O16" s="59"/>
      <c r="P16" s="164">
        <v>43949</v>
      </c>
      <c r="Q16" s="59" t="s">
        <v>301</v>
      </c>
      <c r="R16" s="59"/>
    </row>
    <row r="17" spans="1:36" x14ac:dyDescent="0.25">
      <c r="A17" s="53" t="s">
        <v>145</v>
      </c>
      <c r="B17" s="125">
        <v>7.4</v>
      </c>
      <c r="C17" s="73">
        <f>(B13/100000)*B17</f>
        <v>1896.9159999999999</v>
      </c>
      <c r="X17" s="134"/>
    </row>
    <row r="18" spans="1:36" x14ac:dyDescent="0.25">
      <c r="A18" s="16" t="s">
        <v>172</v>
      </c>
      <c r="B18" s="126">
        <v>0.92</v>
      </c>
      <c r="C18" s="2" t="s">
        <v>287</v>
      </c>
    </row>
    <row r="19" spans="1:36" x14ac:dyDescent="0.25">
      <c r="A19" s="53" t="s">
        <v>173</v>
      </c>
      <c r="B19" s="127">
        <v>0.05</v>
      </c>
      <c r="C19" s="2" t="s">
        <v>286</v>
      </c>
      <c r="X19" s="134"/>
      <c r="Y19" s="278"/>
      <c r="Z19" s="278"/>
    </row>
    <row r="20" spans="1:36" x14ac:dyDescent="0.25">
      <c r="A20" s="49" t="s">
        <v>209</v>
      </c>
      <c r="B20" s="128">
        <v>0.03</v>
      </c>
      <c r="C20" s="2" t="s">
        <v>285</v>
      </c>
      <c r="D20" s="233" t="s">
        <v>280</v>
      </c>
      <c r="K20" s="164"/>
      <c r="S20" s="59"/>
      <c r="T20" s="81"/>
      <c r="U20" s="81"/>
      <c r="AE20" s="191"/>
    </row>
    <row r="21" spans="1:36" x14ac:dyDescent="0.25">
      <c r="A21" s="49" t="s">
        <v>215</v>
      </c>
      <c r="B21" s="77">
        <v>1.2999999999999999E-2</v>
      </c>
      <c r="C21" s="2"/>
      <c r="D21" s="194" t="s">
        <v>266</v>
      </c>
      <c r="K21" s="164"/>
      <c r="L21" s="59"/>
      <c r="M21" s="59"/>
      <c r="N21" s="59"/>
      <c r="O21" s="59" t="s">
        <v>281</v>
      </c>
      <c r="P21" s="59"/>
      <c r="Q21" s="59"/>
      <c r="R21" s="59"/>
      <c r="S21" s="164"/>
      <c r="T21" s="81"/>
      <c r="U21" s="81"/>
      <c r="AD21" s="192"/>
    </row>
    <row r="22" spans="1:36" x14ac:dyDescent="0.25">
      <c r="A22" s="167" t="s">
        <v>202</v>
      </c>
      <c r="B22" s="168">
        <v>43855</v>
      </c>
      <c r="C22" s="2"/>
      <c r="D22" s="251">
        <f>(AD25-G25)/(LOG(AD26/G26)/LOG(2))</f>
        <v>40.611111111111114</v>
      </c>
      <c r="E22" s="191"/>
      <c r="J22" s="28"/>
      <c r="K22" s="59"/>
      <c r="L22" s="59"/>
      <c r="M22" s="59"/>
      <c r="N22" s="59"/>
      <c r="O22" s="59" t="s">
        <v>297</v>
      </c>
      <c r="P22" s="59"/>
      <c r="Q22" s="59"/>
      <c r="R22" s="59"/>
      <c r="S22" s="59"/>
      <c r="T22" s="81"/>
      <c r="U22" s="81"/>
    </row>
    <row r="23" spans="1:36" x14ac:dyDescent="0.25">
      <c r="A23" s="28"/>
      <c r="B23" s="62" t="s">
        <v>150</v>
      </c>
      <c r="C23" s="22"/>
      <c r="D23" s="28"/>
      <c r="E23" s="28"/>
      <c r="F23" s="28"/>
      <c r="G23" s="28"/>
      <c r="H23" s="28"/>
      <c r="I23" s="28"/>
      <c r="J23" s="28"/>
      <c r="K23" s="59"/>
      <c r="L23" s="59"/>
      <c r="M23" t="s">
        <v>298</v>
      </c>
      <c r="N23" s="59"/>
      <c r="P23" s="59"/>
      <c r="Q23" s="59" t="s">
        <v>299</v>
      </c>
      <c r="R23" s="59"/>
      <c r="S23" s="59"/>
      <c r="T23" s="59"/>
      <c r="U23" s="59"/>
      <c r="V23" s="28"/>
      <c r="W23" s="28"/>
      <c r="X23" s="28"/>
      <c r="Y23" s="28"/>
      <c r="Z23" s="28"/>
      <c r="AA23" s="28"/>
      <c r="AB23" s="28"/>
      <c r="AC23" s="28"/>
      <c r="AD23" s="233" t="s">
        <v>282</v>
      </c>
      <c r="AG23" s="166"/>
    </row>
    <row r="24" spans="1:36" x14ac:dyDescent="0.25">
      <c r="A24" s="65" t="s">
        <v>133</v>
      </c>
      <c r="B24" s="206">
        <v>43892</v>
      </c>
      <c r="C24" s="206">
        <v>43908</v>
      </c>
      <c r="D24" s="206">
        <v>43914</v>
      </c>
      <c r="E24" s="206">
        <v>43919</v>
      </c>
      <c r="F24" s="206"/>
      <c r="G24" s="147" t="s">
        <v>161</v>
      </c>
      <c r="H24" s="28"/>
      <c r="I24" s="28"/>
      <c r="J24" s="28"/>
      <c r="K24" s="59"/>
      <c r="L24" s="59"/>
      <c r="M24" s="59"/>
      <c r="N24" s="285"/>
      <c r="O24" s="286" t="s">
        <v>296</v>
      </c>
      <c r="P24" s="197"/>
      <c r="Q24" s="197"/>
      <c r="R24" s="197"/>
      <c r="S24" s="28"/>
      <c r="T24" s="28"/>
      <c r="U24" s="28"/>
      <c r="W24" s="28"/>
      <c r="AA24" s="28"/>
      <c r="AB24" s="28"/>
      <c r="AC24" s="28"/>
      <c r="AG24" s="247" t="s">
        <v>288</v>
      </c>
    </row>
    <row r="25" spans="1:36" x14ac:dyDescent="0.25">
      <c r="A25" s="16" t="s">
        <v>12</v>
      </c>
      <c r="B25" s="171">
        <v>4</v>
      </c>
      <c r="C25" s="172">
        <v>3</v>
      </c>
      <c r="D25" s="96">
        <v>5</v>
      </c>
      <c r="E25" s="21">
        <v>64</v>
      </c>
      <c r="F25" s="21"/>
      <c r="G25" s="279">
        <v>43892</v>
      </c>
      <c r="H25" s="280">
        <f>G25+HLOOKUP(G25+1, $B$24:$F$25,2,TRUE)</f>
        <v>43896</v>
      </c>
      <c r="I25" s="280">
        <f t="shared" ref="I25:AC25" si="0">H25+HLOOKUP(H25+1, $B$24:$F$25,2,TRUE)</f>
        <v>43900</v>
      </c>
      <c r="J25" s="280">
        <f t="shared" si="0"/>
        <v>43904</v>
      </c>
      <c r="K25" s="280">
        <f t="shared" si="0"/>
        <v>43908</v>
      </c>
      <c r="L25" s="281">
        <f t="shared" si="0"/>
        <v>43911</v>
      </c>
      <c r="M25" s="281">
        <f t="shared" si="0"/>
        <v>43914</v>
      </c>
      <c r="N25" s="282">
        <f t="shared" si="0"/>
        <v>43919</v>
      </c>
      <c r="O25" s="284">
        <f>$N$25+(($T$25-$N$25)*(1/6))</f>
        <v>43929.666666666664</v>
      </c>
      <c r="P25" s="283">
        <f>$N$25+(($T$25-$N$25)*(1/3))</f>
        <v>43940.333333333336</v>
      </c>
      <c r="Q25" s="295">
        <f>$N$25+(($T$25-$N$25)*(1/2))</f>
        <v>43951</v>
      </c>
      <c r="R25" s="295">
        <f>$N$25+(($T$25-$N$25)*(2/3))</f>
        <v>43961.666666666664</v>
      </c>
      <c r="S25" s="295">
        <f>$N$25+(($T$25-$N$25)*(5/6))</f>
        <v>43972.333333333336</v>
      </c>
      <c r="T25" s="296">
        <f>N25+HLOOKUP(N25+1, $B$24:$F$25,2,TRUE)</f>
        <v>43983</v>
      </c>
      <c r="U25" s="296">
        <f t="shared" si="0"/>
        <v>44047</v>
      </c>
      <c r="V25" s="296">
        <f t="shared" si="0"/>
        <v>44111</v>
      </c>
      <c r="W25" s="296">
        <f t="shared" si="0"/>
        <v>44175</v>
      </c>
      <c r="X25" s="296">
        <f t="shared" si="0"/>
        <v>44239</v>
      </c>
      <c r="Y25" s="296">
        <f t="shared" si="0"/>
        <v>44303</v>
      </c>
      <c r="Z25" s="296">
        <f t="shared" si="0"/>
        <v>44367</v>
      </c>
      <c r="AA25" s="296">
        <f t="shared" si="0"/>
        <v>44431</v>
      </c>
      <c r="AB25" s="296">
        <f t="shared" si="0"/>
        <v>44495</v>
      </c>
      <c r="AC25" s="296">
        <f t="shared" si="0"/>
        <v>44559</v>
      </c>
      <c r="AD25" s="297">
        <f>AC25+HLOOKUP(AC25+1, $B$24:$F$25,2,TRUE)</f>
        <v>44623</v>
      </c>
      <c r="AE25" s="298">
        <f>AD25+HLOOKUP(AD25+1, $B$24:$F$25,2,TRUE)</f>
        <v>44687</v>
      </c>
      <c r="AF25" s="299">
        <f>AE25+HLOOKUP(AE25+1, $B$24:$F$25,2,TRUE)</f>
        <v>44751</v>
      </c>
      <c r="AG25" s="248">
        <f>AF25+(7*8)</f>
        <v>44807</v>
      </c>
      <c r="AH25" s="82"/>
      <c r="AI25" s="82"/>
      <c r="AJ25" s="81"/>
    </row>
    <row r="26" spans="1:36" x14ac:dyDescent="0.25">
      <c r="A26" s="53" t="s">
        <v>207</v>
      </c>
      <c r="B26" s="28"/>
      <c r="C26" s="28"/>
      <c r="D26" s="28"/>
      <c r="E26" s="28"/>
      <c r="F26" s="28"/>
      <c r="G26" s="274">
        <v>31.25</v>
      </c>
      <c r="H26" s="275">
        <f>G26*2</f>
        <v>62.5</v>
      </c>
      <c r="I26" s="275">
        <f t="shared" ref="I26:AB26" si="1">H26*2</f>
        <v>125</v>
      </c>
      <c r="J26" s="275">
        <f t="shared" si="1"/>
        <v>250</v>
      </c>
      <c r="K26" s="276">
        <f t="shared" si="1"/>
        <v>500</v>
      </c>
      <c r="L26" s="277">
        <f t="shared" si="1"/>
        <v>1000</v>
      </c>
      <c r="M26" s="275">
        <f t="shared" si="1"/>
        <v>2000</v>
      </c>
      <c r="N26" s="275">
        <f t="shared" si="1"/>
        <v>4000</v>
      </c>
      <c r="O26" s="277">
        <f>$N$26+(($T$26-$N$26)*0.5)</f>
        <v>6000</v>
      </c>
      <c r="P26" s="275">
        <f>$N$26+(($T$26-$N$26)*0.65)</f>
        <v>6600</v>
      </c>
      <c r="Q26" s="275">
        <f>$N$26+(($T$26-$N$26)*0.8)</f>
        <v>7200</v>
      </c>
      <c r="R26" s="275">
        <f>$N$26+(($T$26-$N$26)*0.9)</f>
        <v>7600</v>
      </c>
      <c r="S26" s="275">
        <f>$N$26+(($T$26-$N$26)*0.95)</f>
        <v>7800</v>
      </c>
      <c r="T26" s="277">
        <f>N26*2</f>
        <v>8000</v>
      </c>
      <c r="U26" s="275">
        <f>T26*2</f>
        <v>16000</v>
      </c>
      <c r="V26" s="275">
        <f>U26*2</f>
        <v>32000</v>
      </c>
      <c r="W26" s="275">
        <f>V26*2</f>
        <v>64000</v>
      </c>
      <c r="X26" s="275">
        <f>W26*2</f>
        <v>128000</v>
      </c>
      <c r="Y26" s="275">
        <f t="shared" si="1"/>
        <v>256000</v>
      </c>
      <c r="Z26" s="275">
        <f t="shared" si="1"/>
        <v>512000</v>
      </c>
      <c r="AA26" s="275">
        <f t="shared" si="1"/>
        <v>1024000</v>
      </c>
      <c r="AB26" s="275">
        <f t="shared" si="1"/>
        <v>2048000</v>
      </c>
      <c r="AC26" s="275">
        <f>AB26*2</f>
        <v>4096000</v>
      </c>
      <c r="AD26" s="276">
        <f>AC26*2</f>
        <v>8192000</v>
      </c>
      <c r="AE26" s="265">
        <f>AD26*2</f>
        <v>16384000</v>
      </c>
      <c r="AF26" s="222">
        <f>B13</f>
        <v>25634000</v>
      </c>
      <c r="AG26" s="241">
        <f>B13*AG27</f>
        <v>5126800</v>
      </c>
      <c r="AH26" s="57"/>
      <c r="AI26" s="57"/>
      <c r="AJ26" s="81"/>
    </row>
    <row r="27" spans="1:36" x14ac:dyDescent="0.25">
      <c r="A27" s="53" t="s">
        <v>208</v>
      </c>
      <c r="B27" s="28"/>
      <c r="C27" s="28"/>
      <c r="D27" s="28"/>
      <c r="E27" s="28"/>
      <c r="F27" s="28"/>
      <c r="G27" s="210">
        <f t="shared" ref="G27:AB27" si="2">G26/$B$13</f>
        <v>1.2190840290239525E-6</v>
      </c>
      <c r="H27" s="211">
        <f t="shared" si="2"/>
        <v>2.438168058047905E-6</v>
      </c>
      <c r="I27" s="78">
        <f t="shared" si="2"/>
        <v>4.87633611609581E-6</v>
      </c>
      <c r="J27" s="48">
        <f t="shared" si="2"/>
        <v>9.7526722321916199E-6</v>
      </c>
      <c r="K27" s="209">
        <f t="shared" si="2"/>
        <v>1.950534446438324E-5</v>
      </c>
      <c r="L27" s="101">
        <f t="shared" si="2"/>
        <v>3.901068892876648E-5</v>
      </c>
      <c r="M27" s="48">
        <f t="shared" si="2"/>
        <v>7.8021377857532959E-5</v>
      </c>
      <c r="N27" s="48">
        <f t="shared" si="2"/>
        <v>1.5604275571506592E-4</v>
      </c>
      <c r="O27" s="101">
        <f t="shared" ref="O27:S27" si="3">O26/$B$13</f>
        <v>2.3406413357259889E-4</v>
      </c>
      <c r="P27" s="48">
        <f t="shared" si="3"/>
        <v>2.5747054692985876E-4</v>
      </c>
      <c r="Q27" s="48">
        <f t="shared" ref="Q27:R27" si="4">Q26/$B$13</f>
        <v>2.8087696028711865E-4</v>
      </c>
      <c r="R27" s="48">
        <f t="shared" si="4"/>
        <v>2.9648123585862524E-4</v>
      </c>
      <c r="S27" s="48">
        <f t="shared" si="3"/>
        <v>3.0428337364437854E-4</v>
      </c>
      <c r="T27" s="18">
        <f t="shared" si="2"/>
        <v>3.1208551143013184E-4</v>
      </c>
      <c r="U27" s="26">
        <f>U26/$B$13</f>
        <v>6.2417102286026367E-4</v>
      </c>
      <c r="V27" s="26">
        <f>V26/$B$13</f>
        <v>1.2483420457205273E-3</v>
      </c>
      <c r="W27" s="26">
        <f>W26/$B$13</f>
        <v>2.4966840914410547E-3</v>
      </c>
      <c r="X27" s="27">
        <f>X26/$B$13</f>
        <v>4.9933681828821094E-3</v>
      </c>
      <c r="Y27" s="87">
        <f t="shared" si="2"/>
        <v>9.9867363657642188E-3</v>
      </c>
      <c r="Z27" s="87">
        <f t="shared" si="2"/>
        <v>1.9973472731528438E-2</v>
      </c>
      <c r="AA27" s="87">
        <f t="shared" si="2"/>
        <v>3.9946945463056875E-2</v>
      </c>
      <c r="AB27" s="87">
        <f t="shared" si="2"/>
        <v>7.989389092611375E-2</v>
      </c>
      <c r="AC27" s="87">
        <f>AC26/$B$13</f>
        <v>0.1597877818522275</v>
      </c>
      <c r="AD27" s="269">
        <f>AD26/$B$13</f>
        <v>0.319575563704455</v>
      </c>
      <c r="AE27" s="266">
        <f>AE26/$B$13</f>
        <v>0.63915112740891</v>
      </c>
      <c r="AF27" s="193">
        <f>AF26/$B$13</f>
        <v>1</v>
      </c>
      <c r="AG27" s="242">
        <f>B15</f>
        <v>0.2</v>
      </c>
      <c r="AH27" s="37"/>
      <c r="AI27" s="37"/>
      <c r="AJ27" s="81"/>
    </row>
    <row r="28" spans="1:36" x14ac:dyDescent="0.25">
      <c r="A28" s="53" t="s">
        <v>262</v>
      </c>
      <c r="B28" s="28"/>
      <c r="C28" s="28"/>
      <c r="D28" s="28"/>
      <c r="E28" s="28"/>
      <c r="F28" s="28"/>
      <c r="G28" s="252">
        <f t="shared" ref="G28:U28" si="5">MAX(G26-(G34-G35)-(G36-G37)-(G38-G39),0)</f>
        <v>23.164089590657923</v>
      </c>
      <c r="H28" s="253">
        <f t="shared" si="5"/>
        <v>50.699712342982444</v>
      </c>
      <c r="I28" s="253">
        <f t="shared" si="5"/>
        <v>107.77908340074089</v>
      </c>
      <c r="J28" s="253">
        <f t="shared" si="5"/>
        <v>224.86841192873166</v>
      </c>
      <c r="K28" s="254">
        <f t="shared" si="5"/>
        <v>464.13626956465896</v>
      </c>
      <c r="L28" s="252">
        <f t="shared" si="5"/>
        <v>933.37965322963009</v>
      </c>
      <c r="M28" s="253">
        <f t="shared" si="5"/>
        <v>1895.6439393939395</v>
      </c>
      <c r="N28" s="253">
        <f t="shared" si="5"/>
        <v>3736.0594121267809</v>
      </c>
      <c r="O28" s="252">
        <f t="shared" ref="O28:S28" si="6">MAX(O26-(O34-O35)-(O36-O37)-(O38-O39),0)</f>
        <v>3123.4930679322779</v>
      </c>
      <c r="P28" s="253">
        <f t="shared" si="6"/>
        <v>87.975845303269466</v>
      </c>
      <c r="Q28" s="253">
        <f t="shared" ref="Q28:R28" si="7">MAX(Q26-(Q34-Q35)-(Q36-Q37)-(Q38-Q39),0)</f>
        <v>101.74133067260937</v>
      </c>
      <c r="R28" s="253">
        <f t="shared" si="7"/>
        <v>188.21040441964686</v>
      </c>
      <c r="S28" s="253">
        <f t="shared" si="6"/>
        <v>224.52422819283646</v>
      </c>
      <c r="T28" s="252">
        <f>MAX(T26-(T34-T35)-(T36-T37)-(T38-T39),0)</f>
        <v>0</v>
      </c>
      <c r="U28" s="253">
        <f t="shared" si="5"/>
        <v>0</v>
      </c>
      <c r="V28" s="253">
        <f>MAX(V26-(V34-V35)-(V36-V37)-(V38-V39),0)</f>
        <v>0</v>
      </c>
      <c r="W28" s="253">
        <f t="shared" ref="W28:AF28" si="8">MAX(W26-(W34-W35)-(W36-W37)-(W38-W39),0)</f>
        <v>0</v>
      </c>
      <c r="X28" s="253">
        <f t="shared" si="8"/>
        <v>0</v>
      </c>
      <c r="Y28" s="253">
        <f t="shared" si="8"/>
        <v>0</v>
      </c>
      <c r="Z28" s="253">
        <f t="shared" si="8"/>
        <v>0</v>
      </c>
      <c r="AA28" s="253">
        <f t="shared" si="8"/>
        <v>3850.8588877349139</v>
      </c>
      <c r="AB28" s="253">
        <f t="shared" si="8"/>
        <v>13955.184526734301</v>
      </c>
      <c r="AC28" s="253">
        <f t="shared" si="8"/>
        <v>37357.917092291522</v>
      </c>
      <c r="AD28" s="254">
        <f t="shared" si="8"/>
        <v>89485.192379299813</v>
      </c>
      <c r="AE28" s="267">
        <f t="shared" si="8"/>
        <v>202686.4303722058</v>
      </c>
      <c r="AF28" s="215">
        <f t="shared" si="8"/>
        <v>0</v>
      </c>
      <c r="AG28" s="243"/>
      <c r="AH28" s="57"/>
      <c r="AI28" s="57"/>
      <c r="AJ28" s="81"/>
    </row>
    <row r="29" spans="1:36" x14ac:dyDescent="0.25">
      <c r="A29" s="53" t="s">
        <v>283</v>
      </c>
      <c r="B29" s="28"/>
      <c r="C29" s="28"/>
      <c r="D29" s="28"/>
      <c r="E29" s="28"/>
      <c r="F29" s="28"/>
      <c r="G29" s="98">
        <f>G26-G28</f>
        <v>8.0859104093420768</v>
      </c>
      <c r="H29" s="99">
        <f t="shared" ref="H29:AF29" si="9">H26-H28</f>
        <v>11.800287657017556</v>
      </c>
      <c r="I29" s="99">
        <f t="shared" si="9"/>
        <v>17.220916599259112</v>
      </c>
      <c r="J29" s="99">
        <f t="shared" si="9"/>
        <v>25.131588071268339</v>
      </c>
      <c r="K29" s="136">
        <f t="shared" si="9"/>
        <v>35.86373043534104</v>
      </c>
      <c r="L29" s="270">
        <f t="shared" si="9"/>
        <v>66.620346770369906</v>
      </c>
      <c r="M29" s="135">
        <f t="shared" si="9"/>
        <v>104.35606060606051</v>
      </c>
      <c r="N29" s="135">
        <f t="shared" si="9"/>
        <v>263.9405878732191</v>
      </c>
      <c r="O29" s="270">
        <f t="shared" ref="O29:S29" si="10">O26-O28</f>
        <v>2876.5069320677221</v>
      </c>
      <c r="P29" s="135">
        <f t="shared" si="10"/>
        <v>6512.0241546967309</v>
      </c>
      <c r="Q29" s="135">
        <f t="shared" ref="Q29:R29" si="11">Q26-Q28</f>
        <v>7098.2586693273906</v>
      </c>
      <c r="R29" s="135">
        <f t="shared" si="11"/>
        <v>7411.7895955803533</v>
      </c>
      <c r="S29" s="135">
        <f t="shared" si="10"/>
        <v>7575.4757718071633</v>
      </c>
      <c r="T29" s="270">
        <f>T26-T28</f>
        <v>8000</v>
      </c>
      <c r="U29" s="135">
        <f t="shared" si="9"/>
        <v>16000</v>
      </c>
      <c r="V29" s="135">
        <f t="shared" si="9"/>
        <v>32000</v>
      </c>
      <c r="W29" s="135">
        <f t="shared" si="9"/>
        <v>64000</v>
      </c>
      <c r="X29" s="135">
        <f t="shared" si="9"/>
        <v>128000</v>
      </c>
      <c r="Y29" s="135">
        <f t="shared" si="9"/>
        <v>256000</v>
      </c>
      <c r="Z29" s="135">
        <f t="shared" si="9"/>
        <v>512000</v>
      </c>
      <c r="AA29" s="135">
        <f t="shared" si="9"/>
        <v>1020149.1411122651</v>
      </c>
      <c r="AB29" s="135">
        <f t="shared" si="9"/>
        <v>2034044.8154732657</v>
      </c>
      <c r="AC29" s="135">
        <f t="shared" si="9"/>
        <v>4058642.0829077084</v>
      </c>
      <c r="AD29" s="136">
        <f t="shared" si="9"/>
        <v>8102514.8076207004</v>
      </c>
      <c r="AE29" s="235">
        <f t="shared" si="9"/>
        <v>16181313.569627794</v>
      </c>
      <c r="AF29" s="234">
        <f t="shared" si="9"/>
        <v>25634000</v>
      </c>
      <c r="AG29" s="244"/>
      <c r="AH29" s="37"/>
      <c r="AI29" s="37"/>
      <c r="AJ29" s="81"/>
    </row>
    <row r="30" spans="1:36" x14ac:dyDescent="0.25">
      <c r="A30" s="16" t="s">
        <v>275</v>
      </c>
      <c r="B30" s="21"/>
      <c r="C30" s="21"/>
      <c r="D30" s="21"/>
      <c r="E30" s="21"/>
      <c r="F30" s="21"/>
      <c r="G30" s="231">
        <f t="shared" ref="G30:AD30" si="12">G26/$B$14</f>
        <v>38.580246913580247</v>
      </c>
      <c r="H30" s="232">
        <f t="shared" si="12"/>
        <v>77.160493827160494</v>
      </c>
      <c r="I30" s="232">
        <f t="shared" si="12"/>
        <v>154.32098765432099</v>
      </c>
      <c r="J30" s="232">
        <f t="shared" si="12"/>
        <v>308.64197530864197</v>
      </c>
      <c r="K30" s="232">
        <f t="shared" si="12"/>
        <v>617.28395061728395</v>
      </c>
      <c r="L30" s="231">
        <f t="shared" si="12"/>
        <v>1234.5679012345679</v>
      </c>
      <c r="M30" s="232">
        <f t="shared" si="12"/>
        <v>2469.1358024691358</v>
      </c>
      <c r="N30" s="232">
        <f t="shared" si="12"/>
        <v>4938.2716049382716</v>
      </c>
      <c r="O30" s="231">
        <f t="shared" ref="O30:S30" si="13">O26/$B$14</f>
        <v>7407.4074074074069</v>
      </c>
      <c r="P30" s="232">
        <f t="shared" si="13"/>
        <v>8148.1481481481478</v>
      </c>
      <c r="Q30" s="232">
        <f t="shared" ref="Q30:R30" si="14">Q26/$B$14</f>
        <v>8888.8888888888887</v>
      </c>
      <c r="R30" s="232">
        <f t="shared" si="14"/>
        <v>9382.7160493827159</v>
      </c>
      <c r="S30" s="232">
        <f t="shared" si="13"/>
        <v>9629.6296296296296</v>
      </c>
      <c r="T30" s="231">
        <f t="shared" si="12"/>
        <v>9876.5432098765432</v>
      </c>
      <c r="U30" s="232">
        <f t="shared" si="12"/>
        <v>19753.086419753086</v>
      </c>
      <c r="V30" s="232">
        <f t="shared" si="12"/>
        <v>39506.172839506173</v>
      </c>
      <c r="W30" s="232">
        <f t="shared" si="12"/>
        <v>79012.345679012345</v>
      </c>
      <c r="X30" s="232">
        <f t="shared" si="12"/>
        <v>158024.69135802469</v>
      </c>
      <c r="Y30" s="232">
        <f t="shared" si="12"/>
        <v>316049.38271604938</v>
      </c>
      <c r="Z30" s="232">
        <f t="shared" si="12"/>
        <v>632098.76543209876</v>
      </c>
      <c r="AA30" s="232">
        <f t="shared" si="12"/>
        <v>1264197.5308641975</v>
      </c>
      <c r="AB30" s="232">
        <f t="shared" si="12"/>
        <v>2528395.0617283951</v>
      </c>
      <c r="AC30" s="232">
        <f t="shared" si="12"/>
        <v>5056790.1234567901</v>
      </c>
      <c r="AD30" s="240">
        <f t="shared" si="12"/>
        <v>10113580.24691358</v>
      </c>
      <c r="AE30" s="267">
        <f>AE26/$B$14</f>
        <v>20227160.49382716</v>
      </c>
      <c r="AF30" s="215">
        <f>AF26</f>
        <v>25634000</v>
      </c>
      <c r="AG30" s="243">
        <f>($B$13*$B$15)/$B$14</f>
        <v>6329382.7160493825</v>
      </c>
      <c r="AH30" s="37"/>
      <c r="AI30" s="37"/>
      <c r="AJ30" s="81"/>
    </row>
    <row r="31" spans="1:36" x14ac:dyDescent="0.25">
      <c r="A31" s="53" t="s">
        <v>212</v>
      </c>
      <c r="B31" s="28"/>
      <c r="C31" s="28"/>
      <c r="D31" s="28"/>
      <c r="E31" s="28"/>
      <c r="F31" s="28"/>
      <c r="G31" s="210">
        <f>G30/$B$13</f>
        <v>1.5050420111406822E-6</v>
      </c>
      <c r="H31" s="78">
        <f t="shared" ref="H31:AD31" si="15">H30/$B$13</f>
        <v>3.0100840222813645E-6</v>
      </c>
      <c r="I31" s="78">
        <f t="shared" si="15"/>
        <v>6.020168044562729E-6</v>
      </c>
      <c r="J31" s="48">
        <f t="shared" si="15"/>
        <v>1.2040336089125458E-5</v>
      </c>
      <c r="K31" s="48">
        <f t="shared" si="15"/>
        <v>2.4080672178250916E-5</v>
      </c>
      <c r="L31" s="101">
        <f t="shared" si="15"/>
        <v>4.8161344356501832E-5</v>
      </c>
      <c r="M31" s="48">
        <f t="shared" si="15"/>
        <v>9.6322688713003664E-5</v>
      </c>
      <c r="N31" s="26">
        <f t="shared" si="15"/>
        <v>1.9264537742600733E-4</v>
      </c>
      <c r="O31" s="18">
        <f t="shared" ref="O31:S31" si="16">O30/$B$13</f>
        <v>2.8896806613901095E-4</v>
      </c>
      <c r="P31" s="26">
        <f t="shared" si="16"/>
        <v>3.1786487275291205E-4</v>
      </c>
      <c r="Q31" s="26">
        <f t="shared" ref="Q31:R31" si="17">Q30/$B$13</f>
        <v>3.4676167936681314E-4</v>
      </c>
      <c r="R31" s="26">
        <f t="shared" si="17"/>
        <v>3.6602621710941392E-4</v>
      </c>
      <c r="S31" s="26">
        <f t="shared" si="16"/>
        <v>3.7565848598071429E-4</v>
      </c>
      <c r="T31" s="20">
        <f t="shared" si="15"/>
        <v>3.8529075485201465E-4</v>
      </c>
      <c r="U31" s="27">
        <f t="shared" si="15"/>
        <v>7.7058150970402931E-4</v>
      </c>
      <c r="V31" s="27">
        <f t="shared" si="15"/>
        <v>1.5411630194080586E-3</v>
      </c>
      <c r="W31" s="27">
        <f t="shared" si="15"/>
        <v>3.0823260388161172E-3</v>
      </c>
      <c r="X31" s="27">
        <f t="shared" si="15"/>
        <v>6.1646520776322345E-3</v>
      </c>
      <c r="Y31" s="87">
        <f t="shared" si="15"/>
        <v>1.2329304155264469E-2</v>
      </c>
      <c r="Z31" s="87">
        <f t="shared" si="15"/>
        <v>2.4658608310528938E-2</v>
      </c>
      <c r="AA31" s="87">
        <f t="shared" si="15"/>
        <v>4.9317216621057876E-2</v>
      </c>
      <c r="AB31" s="87">
        <f t="shared" si="15"/>
        <v>9.8634433242115752E-2</v>
      </c>
      <c r="AC31" s="87">
        <f t="shared" si="15"/>
        <v>0.1972688664842315</v>
      </c>
      <c r="AD31" s="269">
        <f t="shared" si="15"/>
        <v>0.39453773296846301</v>
      </c>
      <c r="AE31" s="266">
        <f>AE30/$B$13</f>
        <v>0.78907546593692601</v>
      </c>
      <c r="AF31" s="193">
        <v>1</v>
      </c>
      <c r="AG31" s="242">
        <f>AG30/B13</f>
        <v>0.24691358024691357</v>
      </c>
      <c r="AH31" s="37"/>
      <c r="AI31" s="37"/>
      <c r="AJ31" s="81"/>
    </row>
    <row r="32" spans="1:36" x14ac:dyDescent="0.25">
      <c r="A32" s="53" t="s">
        <v>273</v>
      </c>
      <c r="B32" s="28"/>
      <c r="C32" s="28"/>
      <c r="D32" s="28"/>
      <c r="E32" s="28"/>
      <c r="F32" s="28"/>
      <c r="G32" s="212">
        <f t="shared" ref="G32:AD32" si="18">G30-G26</f>
        <v>7.3302469135802468</v>
      </c>
      <c r="H32" s="213">
        <f t="shared" si="18"/>
        <v>14.660493827160494</v>
      </c>
      <c r="I32" s="213">
        <f t="shared" si="18"/>
        <v>29.320987654320987</v>
      </c>
      <c r="J32" s="213">
        <f t="shared" si="18"/>
        <v>58.641975308641975</v>
      </c>
      <c r="K32" s="213">
        <f t="shared" si="18"/>
        <v>117.28395061728395</v>
      </c>
      <c r="L32" s="212">
        <f t="shared" si="18"/>
        <v>234.5679012345679</v>
      </c>
      <c r="M32" s="213">
        <f t="shared" si="18"/>
        <v>469.1358024691358</v>
      </c>
      <c r="N32" s="213">
        <f t="shared" si="18"/>
        <v>938.27160493827159</v>
      </c>
      <c r="O32" s="212">
        <f t="shared" ref="O32:S32" si="19">O30-O26</f>
        <v>1407.4074074074069</v>
      </c>
      <c r="P32" s="213">
        <f t="shared" si="19"/>
        <v>1548.1481481481478</v>
      </c>
      <c r="Q32" s="213">
        <f t="shared" ref="Q32:R32" si="20">Q30-Q26</f>
        <v>1688.8888888888887</v>
      </c>
      <c r="R32" s="213">
        <f t="shared" si="20"/>
        <v>1782.7160493827159</v>
      </c>
      <c r="S32" s="213">
        <f t="shared" si="19"/>
        <v>1829.6296296296296</v>
      </c>
      <c r="T32" s="212">
        <f t="shared" si="18"/>
        <v>1876.5432098765432</v>
      </c>
      <c r="U32" s="213">
        <f t="shared" si="18"/>
        <v>3753.0864197530864</v>
      </c>
      <c r="V32" s="213">
        <f t="shared" si="18"/>
        <v>7506.1728395061727</v>
      </c>
      <c r="W32" s="213">
        <f t="shared" si="18"/>
        <v>15012.345679012345</v>
      </c>
      <c r="X32" s="213">
        <f>X30-X26</f>
        <v>30024.691358024691</v>
      </c>
      <c r="Y32" s="213">
        <f t="shared" si="18"/>
        <v>60049.382716049382</v>
      </c>
      <c r="Z32" s="213">
        <f t="shared" si="18"/>
        <v>120098.76543209876</v>
      </c>
      <c r="AA32" s="213">
        <f t="shared" si="18"/>
        <v>240197.53086419753</v>
      </c>
      <c r="AB32" s="213">
        <f t="shared" si="18"/>
        <v>480395.06172839506</v>
      </c>
      <c r="AC32" s="213">
        <f t="shared" si="18"/>
        <v>960790.12345679011</v>
      </c>
      <c r="AD32" s="214">
        <f t="shared" si="18"/>
        <v>1921580.2469135802</v>
      </c>
      <c r="AE32" s="267">
        <f>AE30</f>
        <v>20227160.49382716</v>
      </c>
      <c r="AF32" s="215">
        <f>AF30</f>
        <v>25634000</v>
      </c>
      <c r="AG32" s="245">
        <f>AG30-AG26</f>
        <v>1202582.7160493825</v>
      </c>
      <c r="AH32" s="37"/>
      <c r="AI32" s="37"/>
      <c r="AJ32" s="81"/>
    </row>
    <row r="33" spans="1:36" x14ac:dyDescent="0.25">
      <c r="A33" s="49" t="s">
        <v>274</v>
      </c>
      <c r="B33" s="51"/>
      <c r="C33" s="51"/>
      <c r="D33" s="51"/>
      <c r="E33" s="51"/>
      <c r="F33" s="51"/>
      <c r="G33" s="216">
        <f>MIN((1/$B$14)*(2^(((G25 - 14) - $B$22)/$G$51)),G32)</f>
        <v>7.3302469135802468</v>
      </c>
      <c r="H33" s="217">
        <f>MIN((1/$B$14)*(2^(((H25 - 14) - $B$22)/$G$51)),H32)</f>
        <v>14.660493827160494</v>
      </c>
      <c r="I33" s="217">
        <f t="shared" ref="I33:J33" si="21">MIN((1/$B$14)*(2^(((I25 - 14) - $B$22)/$G$51)),I32)</f>
        <v>23.10912050356831</v>
      </c>
      <c r="J33" s="217">
        <f t="shared" si="21"/>
        <v>33.72462167373638</v>
      </c>
      <c r="K33" s="219">
        <f t="shared" ref="K33:AF33" si="22">MIN(($G$26/$B$14)*(2^(((K25 - 14) - $G$25)/HLOOKUP((K25-14)-$B$22,$G$49:$AG$51,3,TRUE))),K32)</f>
        <v>46.606537277896066</v>
      </c>
      <c r="L33" s="220">
        <f t="shared" si="22"/>
        <v>86.576149149278706</v>
      </c>
      <c r="M33" s="219">
        <f t="shared" si="22"/>
        <v>135.61541339319115</v>
      </c>
      <c r="N33" s="219">
        <f t="shared" si="22"/>
        <v>343.00271328553481</v>
      </c>
      <c r="O33" s="220">
        <f t="shared" si="22"/>
        <v>1407.4074074074069</v>
      </c>
      <c r="P33" s="219">
        <f t="shared" si="22"/>
        <v>1548.1481481481478</v>
      </c>
      <c r="Q33" s="219">
        <f t="shared" si="22"/>
        <v>1688.8888888888887</v>
      </c>
      <c r="R33" s="219">
        <f t="shared" si="22"/>
        <v>1782.7160493827159</v>
      </c>
      <c r="S33" s="219">
        <f t="shared" si="22"/>
        <v>1829.6296296296296</v>
      </c>
      <c r="T33" s="220">
        <f t="shared" si="22"/>
        <v>1876.5432098765432</v>
      </c>
      <c r="U33" s="219">
        <f t="shared" si="22"/>
        <v>3753.0864197530864</v>
      </c>
      <c r="V33" s="219">
        <f t="shared" si="22"/>
        <v>7506.1728395061727</v>
      </c>
      <c r="W33" s="219">
        <f t="shared" si="22"/>
        <v>15012.345679012345</v>
      </c>
      <c r="X33" s="219">
        <f t="shared" si="22"/>
        <v>30024.691358024691</v>
      </c>
      <c r="Y33" s="219">
        <f t="shared" si="22"/>
        <v>60049.382716049382</v>
      </c>
      <c r="Z33" s="219">
        <f t="shared" si="22"/>
        <v>120098.76543209876</v>
      </c>
      <c r="AA33" s="219">
        <f t="shared" si="22"/>
        <v>240197.53086419753</v>
      </c>
      <c r="AB33" s="219">
        <f t="shared" si="22"/>
        <v>480395.06172839506</v>
      </c>
      <c r="AC33" s="219">
        <f t="shared" si="22"/>
        <v>960790.12345679011</v>
      </c>
      <c r="AD33" s="218">
        <f t="shared" si="22"/>
        <v>1921580.2469135802</v>
      </c>
      <c r="AE33" s="267">
        <f t="shared" si="22"/>
        <v>20227160.49382716</v>
      </c>
      <c r="AF33" s="221">
        <f t="shared" si="22"/>
        <v>25634000</v>
      </c>
      <c r="AG33" s="245"/>
      <c r="AH33" s="37"/>
      <c r="AI33" s="37"/>
      <c r="AJ33" s="81"/>
    </row>
    <row r="34" spans="1:36" x14ac:dyDescent="0.25">
      <c r="A34" s="53" t="s">
        <v>265</v>
      </c>
      <c r="B34" s="28"/>
      <c r="C34" s="28"/>
      <c r="D34" s="28"/>
      <c r="E34" s="28"/>
      <c r="F34" s="28"/>
      <c r="G34" s="236">
        <f t="shared" ref="G34:AF34" si="23">G26*$B$18</f>
        <v>28.75</v>
      </c>
      <c r="H34" s="237">
        <f t="shared" si="23"/>
        <v>57.5</v>
      </c>
      <c r="I34" s="237">
        <f t="shared" si="23"/>
        <v>115</v>
      </c>
      <c r="J34" s="237">
        <f t="shared" si="23"/>
        <v>230</v>
      </c>
      <c r="K34" s="237">
        <f t="shared" si="23"/>
        <v>460</v>
      </c>
      <c r="L34" s="236">
        <f t="shared" si="23"/>
        <v>920</v>
      </c>
      <c r="M34" s="237">
        <f t="shared" si="23"/>
        <v>1840</v>
      </c>
      <c r="N34" s="237">
        <f t="shared" si="23"/>
        <v>3680</v>
      </c>
      <c r="O34" s="236">
        <f t="shared" ref="O34:S34" si="24">O26*$B$18</f>
        <v>5520</v>
      </c>
      <c r="P34" s="237">
        <f t="shared" si="24"/>
        <v>6072</v>
      </c>
      <c r="Q34" s="237">
        <f t="shared" ref="Q34:R34" si="25">Q26*$B$18</f>
        <v>6624</v>
      </c>
      <c r="R34" s="237">
        <f t="shared" si="25"/>
        <v>6992</v>
      </c>
      <c r="S34" s="237">
        <f t="shared" si="24"/>
        <v>7176</v>
      </c>
      <c r="T34" s="236">
        <f t="shared" si="23"/>
        <v>7360</v>
      </c>
      <c r="U34" s="237">
        <f t="shared" si="23"/>
        <v>14720</v>
      </c>
      <c r="V34" s="237">
        <f t="shared" si="23"/>
        <v>29440</v>
      </c>
      <c r="W34" s="237">
        <f t="shared" si="23"/>
        <v>58880</v>
      </c>
      <c r="X34" s="237">
        <f t="shared" si="23"/>
        <v>117760</v>
      </c>
      <c r="Y34" s="237">
        <f t="shared" si="23"/>
        <v>235520</v>
      </c>
      <c r="Z34" s="237">
        <f t="shared" si="23"/>
        <v>471040</v>
      </c>
      <c r="AA34" s="237">
        <f t="shared" si="23"/>
        <v>942080</v>
      </c>
      <c r="AB34" s="237">
        <f t="shared" si="23"/>
        <v>1884160</v>
      </c>
      <c r="AC34" s="237">
        <f t="shared" si="23"/>
        <v>3768320</v>
      </c>
      <c r="AD34" s="271">
        <f t="shared" si="23"/>
        <v>7536640</v>
      </c>
      <c r="AE34" s="265">
        <f t="shared" si="23"/>
        <v>15073280</v>
      </c>
      <c r="AF34" s="215">
        <f t="shared" si="23"/>
        <v>23583280</v>
      </c>
      <c r="AG34" s="245">
        <f>AG26*B18</f>
        <v>4716656</v>
      </c>
      <c r="AH34" s="37"/>
      <c r="AI34" s="37"/>
      <c r="AJ34" s="81"/>
    </row>
    <row r="35" spans="1:36" x14ac:dyDescent="0.25">
      <c r="A35" s="53" t="s">
        <v>284</v>
      </c>
      <c r="B35" s="28"/>
      <c r="C35" s="28"/>
      <c r="D35" s="28"/>
      <c r="E35" s="28"/>
      <c r="F35" s="28"/>
      <c r="G35" s="216">
        <f>G34-(1*$B$18)*(2^(((G25 - 14) - $B$22)/$G$51))</f>
        <v>20.664089590657923</v>
      </c>
      <c r="H35" s="217">
        <f>H34-(1*$B$18)*(2^(((H25 - 14) - $B$22)/$G$51))</f>
        <v>45.699712342982444</v>
      </c>
      <c r="I35" s="217">
        <f>I34-(1*$B$18)*(2^(((I25 - 14) - $B$22)/$G$51))</f>
        <v>97.779083400740888</v>
      </c>
      <c r="J35" s="217">
        <f>J34-(1*$B$18)*(2^(((J25 - 14) - $B$22)/$G$51))</f>
        <v>204.86841192873166</v>
      </c>
      <c r="K35" s="223">
        <f t="shared" ref="K35:AF35" si="26">MAX(K34-(($G$26*$B$18)*(2^(((K25 -14) - $G$25)/HLOOKUP((K25-14)-$B$22,$G$49:$AG$51,3,TRUE)))),0)</f>
        <v>425.26880842051185</v>
      </c>
      <c r="L35" s="224">
        <f t="shared" si="26"/>
        <v>855.48345365395755</v>
      </c>
      <c r="M35" s="223">
        <f t="shared" si="26"/>
        <v>1738.939393939394</v>
      </c>
      <c r="N35" s="223">
        <f t="shared" si="26"/>
        <v>3424.3943780596196</v>
      </c>
      <c r="O35" s="224">
        <f t="shared" si="26"/>
        <v>2734.3301289449428</v>
      </c>
      <c r="P35" s="223">
        <f t="shared" si="26"/>
        <v>0</v>
      </c>
      <c r="Q35" s="223">
        <f t="shared" si="26"/>
        <v>0</v>
      </c>
      <c r="R35" s="223">
        <f t="shared" si="26"/>
        <v>0</v>
      </c>
      <c r="S35" s="223">
        <f t="shared" si="26"/>
        <v>0</v>
      </c>
      <c r="T35" s="224">
        <f t="shared" si="26"/>
        <v>0</v>
      </c>
      <c r="U35" s="223">
        <f t="shared" si="26"/>
        <v>0</v>
      </c>
      <c r="V35" s="223">
        <f t="shared" si="26"/>
        <v>0</v>
      </c>
      <c r="W35" s="223">
        <f t="shared" si="26"/>
        <v>0</v>
      </c>
      <c r="X35" s="223">
        <f t="shared" si="26"/>
        <v>0</v>
      </c>
      <c r="Y35" s="223">
        <f t="shared" si="26"/>
        <v>0</v>
      </c>
      <c r="Z35" s="223">
        <f t="shared" si="26"/>
        <v>0</v>
      </c>
      <c r="AA35" s="223">
        <f t="shared" si="26"/>
        <v>0</v>
      </c>
      <c r="AB35" s="223">
        <f t="shared" si="26"/>
        <v>0</v>
      </c>
      <c r="AC35" s="223">
        <f t="shared" si="26"/>
        <v>0</v>
      </c>
      <c r="AD35" s="238">
        <f t="shared" si="26"/>
        <v>0</v>
      </c>
      <c r="AE35" s="268">
        <f t="shared" si="26"/>
        <v>0</v>
      </c>
      <c r="AF35" s="221">
        <f t="shared" si="26"/>
        <v>0</v>
      </c>
      <c r="AG35" s="243"/>
      <c r="AH35" s="37"/>
      <c r="AI35" s="37"/>
      <c r="AJ35" s="81"/>
    </row>
    <row r="36" spans="1:36" x14ac:dyDescent="0.25">
      <c r="A36" s="74" t="s">
        <v>210</v>
      </c>
      <c r="B36" s="21"/>
      <c r="C36" s="21"/>
      <c r="D36" s="21"/>
      <c r="E36" s="21"/>
      <c r="F36" s="21"/>
      <c r="G36" s="272">
        <f>(1*($B$19+$B$20))*(2^(((G25 - 7) - $B$22)/$G$51))</f>
        <v>1.3624403770173663</v>
      </c>
      <c r="H36" s="273">
        <f>(1*($B$19+$B$20))*(2^(((H25 - 7) - $B$22)/$G$51))</f>
        <v>1.9882966234408881</v>
      </c>
      <c r="I36" s="232">
        <f t="shared" ref="I36:AE36" si="27">($G$26*($B$19+$B$20))*(2^(((I25-7)-$G$25)/HLOOKUP((I25-7)-$B$22,$G$49:$AG$51,3,TRUE)))</f>
        <v>2.7477734693782825</v>
      </c>
      <c r="J36" s="232">
        <f t="shared" si="27"/>
        <v>5.6101344648732603</v>
      </c>
      <c r="K36" s="232">
        <f t="shared" si="27"/>
        <v>10.283171151388096</v>
      </c>
      <c r="L36" s="231">
        <f t="shared" si="27"/>
        <v>18.787878787878775</v>
      </c>
      <c r="M36" s="232">
        <f t="shared" si="27"/>
        <v>31.107290494170176</v>
      </c>
      <c r="N36" s="232">
        <f t="shared" si="27"/>
        <v>97.540056745390302</v>
      </c>
      <c r="O36" s="231">
        <f t="shared" si="27"/>
        <v>608.3294820965848</v>
      </c>
      <c r="P36" s="232">
        <f t="shared" si="27"/>
        <v>761.47298336739129</v>
      </c>
      <c r="Q36" s="232">
        <f t="shared" si="27"/>
        <v>748.8238327675374</v>
      </c>
      <c r="R36" s="232">
        <f t="shared" si="27"/>
        <v>762.27007555246541</v>
      </c>
      <c r="S36" s="232">
        <f t="shared" si="27"/>
        <v>766.60424841990653</v>
      </c>
      <c r="T36" s="231">
        <f t="shared" si="27"/>
        <v>758.33024585961698</v>
      </c>
      <c r="U36" s="232">
        <f t="shared" si="27"/>
        <v>18886.505166077619</v>
      </c>
      <c r="V36" s="232">
        <f t="shared" si="27"/>
        <v>11780.290916527612</v>
      </c>
      <c r="W36" s="232">
        <f t="shared" si="27"/>
        <v>14518.430620838344</v>
      </c>
      <c r="X36" s="232">
        <f t="shared" si="27"/>
        <v>22273.380045074533</v>
      </c>
      <c r="Y36" s="232">
        <f t="shared" si="27"/>
        <v>37681.975005484972</v>
      </c>
      <c r="Z36" s="232">
        <f t="shared" si="27"/>
        <v>67160.989908821532</v>
      </c>
      <c r="AA36" s="232">
        <f t="shared" si="27"/>
        <v>123477.19418594088</v>
      </c>
      <c r="AB36" s="232">
        <f t="shared" si="27"/>
        <v>231600.04896416765</v>
      </c>
      <c r="AC36" s="232">
        <f t="shared" si="27"/>
        <v>440360.42376490822</v>
      </c>
      <c r="AD36" s="240">
        <f t="shared" si="27"/>
        <v>845458.31037767301</v>
      </c>
      <c r="AE36" s="265">
        <f t="shared" si="27"/>
        <v>1634871.0306666973</v>
      </c>
      <c r="AF36" s="222">
        <f>($G$26*($B$19+$B$20))*(2^(((AF25 - 7) - $G$25)/AF51))</f>
        <v>1738770.6967363185</v>
      </c>
      <c r="AG36" s="243">
        <f>AG26*(B19+B20)</f>
        <v>410144</v>
      </c>
      <c r="AH36" s="57"/>
      <c r="AI36" s="57"/>
      <c r="AJ36" s="81"/>
    </row>
    <row r="37" spans="1:36" x14ac:dyDescent="0.25">
      <c r="A37" s="49" t="s">
        <v>263</v>
      </c>
      <c r="B37" s="50"/>
      <c r="C37" s="51"/>
      <c r="D37" s="51"/>
      <c r="E37" s="51"/>
      <c r="F37" s="51"/>
      <c r="G37" s="216">
        <f t="shared" ref="G37:J37" si="28">G36</f>
        <v>1.3624403770173663</v>
      </c>
      <c r="H37" s="217">
        <f t="shared" si="28"/>
        <v>1.9882966234408881</v>
      </c>
      <c r="I37" s="219">
        <f t="shared" si="28"/>
        <v>2.7477734693782825</v>
      </c>
      <c r="J37" s="219">
        <f t="shared" si="28"/>
        <v>5.6101344648732603</v>
      </c>
      <c r="K37" s="219">
        <f>K36-K39</f>
        <v>9.1506322955352211</v>
      </c>
      <c r="L37" s="220">
        <f t="shared" ref="L37:M37" si="29">L36-L39</f>
        <v>16.684078363551301</v>
      </c>
      <c r="M37" s="219">
        <f t="shared" si="29"/>
        <v>27.811835948715633</v>
      </c>
      <c r="N37" s="219">
        <f>N36-N39</f>
        <v>89.205090812551802</v>
      </c>
      <c r="O37" s="220">
        <f t="shared" ref="O37:S37" si="30">O36-O39</f>
        <v>517.49242108391991</v>
      </c>
      <c r="P37" s="219">
        <f t="shared" si="30"/>
        <v>321.44882867066076</v>
      </c>
      <c r="Q37" s="219">
        <f t="shared" ref="Q37:R37" si="31">Q36-Q39</f>
        <v>274.56516344014676</v>
      </c>
      <c r="R37" s="219">
        <f t="shared" si="31"/>
        <v>342.48047997211228</v>
      </c>
      <c r="S37" s="219">
        <f t="shared" si="30"/>
        <v>367.12847661274299</v>
      </c>
      <c r="T37" s="220">
        <f t="shared" ref="T37:AF37" si="32">MAX(T36-($G$26*$B$19)*(2^(((T25 - 42) - $G$25)/HLOOKUP((T25-42)-$B$22,$G$49:$AG$51,3,TRUE)))-T39,0)</f>
        <v>421.51777969362746</v>
      </c>
      <c r="U37" s="219">
        <f t="shared" si="32"/>
        <v>14123.037957410823</v>
      </c>
      <c r="V37" s="219">
        <f t="shared" si="32"/>
        <v>8062.4332940569057</v>
      </c>
      <c r="W37" s="219">
        <f t="shared" si="32"/>
        <v>9384.9978229349363</v>
      </c>
      <c r="X37" s="219">
        <f t="shared" si="32"/>
        <v>13838.204781227825</v>
      </c>
      <c r="Y37" s="219">
        <f t="shared" si="32"/>
        <v>22741.146256975975</v>
      </c>
      <c r="Z37" s="219">
        <f t="shared" si="32"/>
        <v>39643.541150863057</v>
      </c>
      <c r="AA37" s="219">
        <f t="shared" si="32"/>
        <v>71625.112645226327</v>
      </c>
      <c r="AB37" s="219">
        <f t="shared" si="32"/>
        <v>132464.57146711531</v>
      </c>
      <c r="AC37" s="219">
        <f t="shared" si="32"/>
        <v>248959.12751720854</v>
      </c>
      <c r="AD37" s="218">
        <f t="shared" si="32"/>
        <v>473354.53377196973</v>
      </c>
      <c r="AE37" s="268">
        <f t="shared" si="32"/>
        <v>907790.18981429341</v>
      </c>
      <c r="AF37" s="221">
        <f t="shared" si="32"/>
        <v>312637.7133654739</v>
      </c>
      <c r="AG37" s="245"/>
      <c r="AH37" s="57"/>
      <c r="AI37" s="57"/>
      <c r="AJ37" s="81"/>
    </row>
    <row r="38" spans="1:36" x14ac:dyDescent="0.25">
      <c r="A38" s="60" t="s">
        <v>211</v>
      </c>
      <c r="C38" s="21"/>
      <c r="D38" s="21"/>
      <c r="E38" s="21"/>
      <c r="F38" s="21"/>
      <c r="G38" s="272">
        <f>(1*$B$20)*(2^(((G25 - 14) -$B$22)/$G$51))</f>
        <v>0.26367099160898083</v>
      </c>
      <c r="H38" s="273">
        <f>(1*$B$20)*(2^(((H25 - 14) -$B$22)/$G$51))</f>
        <v>0.38479198881578991</v>
      </c>
      <c r="I38" s="273">
        <f>(1*$B$20)*(2^(((I25 - 14) -$B$22)/$G$51))</f>
        <v>0.5615516282367099</v>
      </c>
      <c r="J38" s="273">
        <f>(1*$B$20)*(2^(((J25 - 14) -$B$22)/$G$51))</f>
        <v>0.81950830667179397</v>
      </c>
      <c r="K38" s="240">
        <f t="shared" ref="K38:AF38" si="33">($G$26*$B$20)*(2^(((K25 - 14) - $G$25)/HLOOKUP((K25-14)-$B$22,$G$49:$AG$51,3,TRUE)))</f>
        <v>1.1325388558528744</v>
      </c>
      <c r="L38" s="232">
        <f t="shared" si="33"/>
        <v>2.1038004243274724</v>
      </c>
      <c r="M38" s="232">
        <f t="shared" si="33"/>
        <v>3.295454545454545</v>
      </c>
      <c r="N38" s="232">
        <f t="shared" si="33"/>
        <v>8.3349659328384966</v>
      </c>
      <c r="O38" s="231">
        <f t="shared" si="33"/>
        <v>90.837061012664918</v>
      </c>
      <c r="P38" s="232">
        <f t="shared" si="33"/>
        <v>440.02415469673053</v>
      </c>
      <c r="Q38" s="232">
        <f t="shared" si="33"/>
        <v>474.25866932739063</v>
      </c>
      <c r="R38" s="232">
        <f t="shared" si="33"/>
        <v>419.78959558035314</v>
      </c>
      <c r="S38" s="232">
        <f t="shared" si="33"/>
        <v>399.47577180716354</v>
      </c>
      <c r="T38" s="231">
        <f t="shared" si="33"/>
        <v>382.76661378826617</v>
      </c>
      <c r="U38" s="232">
        <f t="shared" si="33"/>
        <v>4642.5217044729334</v>
      </c>
      <c r="V38" s="232">
        <f t="shared" si="33"/>
        <v>3341.1952021883326</v>
      </c>
      <c r="W38" s="232">
        <f t="shared" si="33"/>
        <v>4370.0629093780444</v>
      </c>
      <c r="X38" s="232">
        <f t="shared" si="33"/>
        <v>6926.2319892812029</v>
      </c>
      <c r="Y38" s="232">
        <f t="shared" si="33"/>
        <v>11961.082351454881</v>
      </c>
      <c r="Z38" s="232">
        <f t="shared" si="33"/>
        <v>21622.205037441792</v>
      </c>
      <c r="AA38" s="232">
        <f t="shared" si="33"/>
        <v>40166.085671439745</v>
      </c>
      <c r="AB38" s="232">
        <f t="shared" si="33"/>
        <v>75933.78202406886</v>
      </c>
      <c r="AC38" s="232">
        <f t="shared" si="33"/>
        <v>145278.56849822891</v>
      </c>
      <c r="AD38" s="240">
        <f t="shared" si="33"/>
        <v>280326.92384187406</v>
      </c>
      <c r="AE38" s="265">
        <f t="shared" si="33"/>
        <v>544319.44204374147</v>
      </c>
      <c r="AF38" s="222">
        <f t="shared" si="33"/>
        <v>1061965.3764218299</v>
      </c>
      <c r="AG38" s="243">
        <f>AG26*B20</f>
        <v>153804</v>
      </c>
      <c r="AH38" s="57"/>
      <c r="AI38" s="57"/>
      <c r="AJ38" s="81"/>
    </row>
    <row r="39" spans="1:36" x14ac:dyDescent="0.25">
      <c r="A39" s="53" t="s">
        <v>264</v>
      </c>
      <c r="B39" s="27"/>
      <c r="C39" s="28"/>
      <c r="D39" s="28"/>
      <c r="E39" s="28"/>
      <c r="F39" s="28"/>
      <c r="G39" s="216">
        <f t="shared" ref="G39:J39" si="34">G38</f>
        <v>0.26367099160898083</v>
      </c>
      <c r="H39" s="217">
        <f t="shared" si="34"/>
        <v>0.38479198881578991</v>
      </c>
      <c r="I39" s="217">
        <f t="shared" si="34"/>
        <v>0.5615516282367099</v>
      </c>
      <c r="J39" s="217">
        <f t="shared" si="34"/>
        <v>0.81950830667179397</v>
      </c>
      <c r="K39" s="218">
        <f>K38</f>
        <v>1.1325388558528744</v>
      </c>
      <c r="L39" s="219">
        <f t="shared" ref="L39:N39" si="35">L38</f>
        <v>2.1038004243274724</v>
      </c>
      <c r="M39" s="219">
        <f t="shared" si="35"/>
        <v>3.295454545454545</v>
      </c>
      <c r="N39" s="219">
        <f t="shared" si="35"/>
        <v>8.3349659328384966</v>
      </c>
      <c r="O39" s="220">
        <f t="shared" ref="O39:S39" si="36">O38</f>
        <v>90.837061012664918</v>
      </c>
      <c r="P39" s="219">
        <f t="shared" si="36"/>
        <v>440.02415469673053</v>
      </c>
      <c r="Q39" s="219">
        <f t="shared" ref="Q39:R39" si="37">Q38</f>
        <v>474.25866932739063</v>
      </c>
      <c r="R39" s="219">
        <f t="shared" si="37"/>
        <v>419.78959558035314</v>
      </c>
      <c r="S39" s="219">
        <f t="shared" si="36"/>
        <v>399.47577180716354</v>
      </c>
      <c r="T39" s="224">
        <f t="shared" ref="T39:AF39" si="38">MAX(T38-($G$26*$B$20)*(2^(((T25 - 35) - $G$25)/HLOOKUP((T25-35)-$B$22,$G$49:$AG$51,3,TRUE))),0)</f>
        <v>0</v>
      </c>
      <c r="U39" s="223">
        <f t="shared" si="38"/>
        <v>3334.9450360361848</v>
      </c>
      <c r="V39" s="223">
        <f t="shared" si="38"/>
        <v>1895.6038333217618</v>
      </c>
      <c r="W39" s="223">
        <f t="shared" si="38"/>
        <v>2110.1175872725953</v>
      </c>
      <c r="X39" s="223">
        <f t="shared" si="38"/>
        <v>2976.7880821226963</v>
      </c>
      <c r="Y39" s="223">
        <f t="shared" si="38"/>
        <v>4706.9220676527957</v>
      </c>
      <c r="Z39" s="223">
        <f t="shared" si="38"/>
        <v>7940.0390152033669</v>
      </c>
      <c r="AA39" s="223">
        <f t="shared" si="38"/>
        <v>13949.026099889215</v>
      </c>
      <c r="AB39" s="223">
        <f t="shared" si="38"/>
        <v>25184.444047855504</v>
      </c>
      <c r="AC39" s="223">
        <f t="shared" si="38"/>
        <v>46357.781838220108</v>
      </c>
      <c r="AD39" s="238">
        <f t="shared" si="38"/>
        <v>86555.892826877156</v>
      </c>
      <c r="AE39" s="268">
        <f t="shared" si="38"/>
        <v>163366.71326835116</v>
      </c>
      <c r="AF39" s="221">
        <f t="shared" si="38"/>
        <v>310943.71526227205</v>
      </c>
      <c r="AG39" s="243"/>
      <c r="AH39" s="57"/>
      <c r="AI39" s="57"/>
      <c r="AJ39" s="81"/>
    </row>
    <row r="40" spans="1:36" x14ac:dyDescent="0.25">
      <c r="A40" s="16" t="s">
        <v>153</v>
      </c>
      <c r="B40" s="97"/>
      <c r="C40" s="21"/>
      <c r="D40" s="21"/>
      <c r="E40" s="21"/>
      <c r="F40" s="21"/>
      <c r="G40" s="225">
        <f t="shared" ref="G40:AF40" si="39">G26*$B$21</f>
        <v>0.40625</v>
      </c>
      <c r="H40" s="226">
        <f t="shared" si="39"/>
        <v>0.8125</v>
      </c>
      <c r="I40" s="226">
        <f t="shared" si="39"/>
        <v>1.625</v>
      </c>
      <c r="J40" s="226">
        <f t="shared" si="39"/>
        <v>3.25</v>
      </c>
      <c r="K40" s="226">
        <f t="shared" si="39"/>
        <v>6.5</v>
      </c>
      <c r="L40" s="225">
        <f t="shared" si="39"/>
        <v>13</v>
      </c>
      <c r="M40" s="226">
        <f t="shared" si="39"/>
        <v>26</v>
      </c>
      <c r="N40" s="226">
        <f t="shared" si="39"/>
        <v>52</v>
      </c>
      <c r="O40" s="225">
        <f t="shared" ref="O40:S40" si="40">O26*$B$21</f>
        <v>78</v>
      </c>
      <c r="P40" s="226">
        <f t="shared" si="40"/>
        <v>85.8</v>
      </c>
      <c r="Q40" s="226">
        <f t="shared" ref="Q40:R40" si="41">Q26*$B$21</f>
        <v>93.6</v>
      </c>
      <c r="R40" s="226">
        <f t="shared" si="41"/>
        <v>98.8</v>
      </c>
      <c r="S40" s="226">
        <f t="shared" si="40"/>
        <v>101.39999999999999</v>
      </c>
      <c r="T40" s="225">
        <f t="shared" si="39"/>
        <v>104</v>
      </c>
      <c r="U40" s="226">
        <f t="shared" si="39"/>
        <v>208</v>
      </c>
      <c r="V40" s="226">
        <f t="shared" si="39"/>
        <v>416</v>
      </c>
      <c r="W40" s="226">
        <f t="shared" si="39"/>
        <v>832</v>
      </c>
      <c r="X40" s="226">
        <f t="shared" si="39"/>
        <v>1664</v>
      </c>
      <c r="Y40" s="226">
        <f t="shared" si="39"/>
        <v>3328</v>
      </c>
      <c r="Z40" s="226">
        <f t="shared" si="39"/>
        <v>6656</v>
      </c>
      <c r="AA40" s="226">
        <f t="shared" si="39"/>
        <v>13312</v>
      </c>
      <c r="AB40" s="226">
        <f t="shared" si="39"/>
        <v>26624</v>
      </c>
      <c r="AC40" s="226">
        <f t="shared" si="39"/>
        <v>53248</v>
      </c>
      <c r="AD40" s="227">
        <f t="shared" si="39"/>
        <v>106496</v>
      </c>
      <c r="AE40" s="267">
        <f t="shared" si="39"/>
        <v>212992</v>
      </c>
      <c r="AF40" s="222">
        <f t="shared" si="39"/>
        <v>333242</v>
      </c>
      <c r="AG40" s="243">
        <f>AG26*B21</f>
        <v>66648.399999999994</v>
      </c>
      <c r="AH40" s="57"/>
      <c r="AI40" s="57"/>
      <c r="AJ40" s="81"/>
    </row>
    <row r="41" spans="1:36" x14ac:dyDescent="0.25">
      <c r="A41" s="49" t="s">
        <v>152</v>
      </c>
      <c r="B41" s="50"/>
      <c r="C41" s="51"/>
      <c r="D41" s="51"/>
      <c r="E41" s="51"/>
      <c r="F41" s="51"/>
      <c r="G41" s="216"/>
      <c r="H41" s="217"/>
      <c r="I41" s="217"/>
      <c r="J41" s="217"/>
      <c r="K41" s="217"/>
      <c r="L41" s="216"/>
      <c r="M41" s="217"/>
      <c r="N41" s="229">
        <f>($G$26*$B$21)*(2^(((N25-35)-$G$25)/$G$51))</f>
        <v>0.19075065400041169</v>
      </c>
      <c r="O41" s="230">
        <f t="shared" ref="O41:S41" si="42">($G$26*$B$21)*(2^(((O25-35)-$G$25)/$G$51))</f>
        <v>0.52267992499193905</v>
      </c>
      <c r="P41" s="229">
        <f t="shared" si="42"/>
        <v>1.4322063817887472</v>
      </c>
      <c r="Q41" s="229">
        <f t="shared" ref="Q41:R41" si="43">($G$26*$B$21)*(2^(((Q25-35)-$G$25)/$G$51))</f>
        <v>3.9244191750173654</v>
      </c>
      <c r="R41" s="229">
        <f t="shared" si="43"/>
        <v>10.753384468241853</v>
      </c>
      <c r="S41" s="229">
        <f t="shared" si="42"/>
        <v>29.465577545342875</v>
      </c>
      <c r="T41" s="230">
        <f t="shared" ref="T41:AF41" si="44">($G$26*$B$21)*(2^(((T25-35)-$G$25)/HLOOKUP((T25-35)-$B$22,$G$49:$AG$51,3,TRUE)))</f>
        <v>188.68109204564672</v>
      </c>
      <c r="U41" s="229">
        <f t="shared" si="44"/>
        <v>566.61655632259101</v>
      </c>
      <c r="V41" s="229">
        <f t="shared" si="44"/>
        <v>626.42292650884735</v>
      </c>
      <c r="W41" s="229">
        <f t="shared" si="44"/>
        <v>979.30963957902793</v>
      </c>
      <c r="X41" s="229">
        <f t="shared" si="44"/>
        <v>1711.4256931020195</v>
      </c>
      <c r="Y41" s="229">
        <f t="shared" si="44"/>
        <v>3143.469456314237</v>
      </c>
      <c r="Z41" s="229">
        <f t="shared" si="44"/>
        <v>5928.9386096366507</v>
      </c>
      <c r="AA41" s="229">
        <f t="shared" si="44"/>
        <v>11360.725814338562</v>
      </c>
      <c r="AB41" s="229">
        <f t="shared" si="44"/>
        <v>21991.379789692455</v>
      </c>
      <c r="AC41" s="229">
        <f t="shared" si="44"/>
        <v>42865.674219337146</v>
      </c>
      <c r="AD41" s="228">
        <f t="shared" si="44"/>
        <v>83967.446773165328</v>
      </c>
      <c r="AE41" s="268">
        <f t="shared" si="44"/>
        <v>165079.51580266914</v>
      </c>
      <c r="AF41" s="221">
        <f t="shared" si="44"/>
        <v>325442.71983580838</v>
      </c>
      <c r="AG41" s="246">
        <f>($G$26*$B$21)*(2^(((AG25 - 35) - $G$25)/AG51))</f>
        <v>187838.10529115036</v>
      </c>
      <c r="AH41" s="57"/>
      <c r="AI41" s="57"/>
      <c r="AJ41" s="81"/>
    </row>
    <row r="42" spans="1:36" s="81" customFormat="1" hidden="1" x14ac:dyDescent="0.25">
      <c r="A42" s="60" t="s">
        <v>205</v>
      </c>
      <c r="B42" s="37"/>
      <c r="C42" s="59"/>
      <c r="D42" s="59"/>
      <c r="E42" s="59"/>
      <c r="F42" s="59"/>
      <c r="G42" s="164">
        <f t="shared" ref="G42:AF42" si="45">G25-7</f>
        <v>43885</v>
      </c>
      <c r="H42" s="164">
        <f t="shared" si="45"/>
        <v>43889</v>
      </c>
      <c r="I42" s="164">
        <f t="shared" si="45"/>
        <v>43893</v>
      </c>
      <c r="J42" s="164">
        <f t="shared" si="45"/>
        <v>43897</v>
      </c>
      <c r="K42" s="164">
        <f t="shared" si="45"/>
        <v>43901</v>
      </c>
      <c r="L42" s="164">
        <f t="shared" si="45"/>
        <v>43904</v>
      </c>
      <c r="M42" s="164">
        <f t="shared" si="45"/>
        <v>43907</v>
      </c>
      <c r="N42" s="164">
        <f t="shared" si="45"/>
        <v>43912</v>
      </c>
      <c r="O42" s="164"/>
      <c r="P42" s="164"/>
      <c r="Q42" s="164"/>
      <c r="R42" s="164"/>
      <c r="S42" s="164"/>
      <c r="T42" s="164">
        <f t="shared" si="45"/>
        <v>43976</v>
      </c>
      <c r="U42" s="164">
        <f t="shared" si="45"/>
        <v>44040</v>
      </c>
      <c r="V42" s="164">
        <f t="shared" si="45"/>
        <v>44104</v>
      </c>
      <c r="W42" s="164">
        <f t="shared" si="45"/>
        <v>44168</v>
      </c>
      <c r="X42" s="164">
        <f t="shared" si="45"/>
        <v>44232</v>
      </c>
      <c r="Y42" s="164">
        <f t="shared" si="45"/>
        <v>44296</v>
      </c>
      <c r="Z42" s="164">
        <f t="shared" si="45"/>
        <v>44360</v>
      </c>
      <c r="AA42" s="164">
        <f t="shared" si="45"/>
        <v>44424</v>
      </c>
      <c r="AB42" s="164">
        <f t="shared" si="45"/>
        <v>44488</v>
      </c>
      <c r="AC42" s="164">
        <f t="shared" si="45"/>
        <v>44552</v>
      </c>
      <c r="AD42" s="164">
        <f t="shared" si="45"/>
        <v>44616</v>
      </c>
      <c r="AE42" s="164">
        <f t="shared" si="45"/>
        <v>44680</v>
      </c>
      <c r="AF42" s="164">
        <f t="shared" si="45"/>
        <v>44744</v>
      </c>
      <c r="AG42" s="164"/>
      <c r="AH42" s="57"/>
      <c r="AI42" s="57"/>
    </row>
    <row r="43" spans="1:36" s="81" customFormat="1" hidden="1" x14ac:dyDescent="0.25">
      <c r="A43" s="60" t="s">
        <v>203</v>
      </c>
      <c r="B43" s="37"/>
      <c r="C43" s="59"/>
      <c r="D43" s="59"/>
      <c r="E43" s="59"/>
      <c r="F43" s="59"/>
      <c r="G43" s="164">
        <f t="shared" ref="G43:AF43" si="46">G25-14</f>
        <v>43878</v>
      </c>
      <c r="H43" s="164">
        <f t="shared" si="46"/>
        <v>43882</v>
      </c>
      <c r="I43" s="164">
        <f t="shared" si="46"/>
        <v>43886</v>
      </c>
      <c r="J43" s="164">
        <f t="shared" si="46"/>
        <v>43890</v>
      </c>
      <c r="K43" s="164">
        <f t="shared" si="46"/>
        <v>43894</v>
      </c>
      <c r="L43" s="164">
        <f t="shared" si="46"/>
        <v>43897</v>
      </c>
      <c r="M43" s="164">
        <f t="shared" si="46"/>
        <v>43900</v>
      </c>
      <c r="N43" s="164">
        <f t="shared" si="46"/>
        <v>43905</v>
      </c>
      <c r="O43" s="164"/>
      <c r="P43" s="164"/>
      <c r="Q43" s="164"/>
      <c r="R43" s="164"/>
      <c r="S43" s="164"/>
      <c r="T43" s="164">
        <f t="shared" si="46"/>
        <v>43969</v>
      </c>
      <c r="U43" s="164">
        <f t="shared" si="46"/>
        <v>44033</v>
      </c>
      <c r="V43" s="164">
        <f t="shared" si="46"/>
        <v>44097</v>
      </c>
      <c r="W43" s="164">
        <f t="shared" si="46"/>
        <v>44161</v>
      </c>
      <c r="X43" s="164">
        <f t="shared" si="46"/>
        <v>44225</v>
      </c>
      <c r="Y43" s="164">
        <f t="shared" si="46"/>
        <v>44289</v>
      </c>
      <c r="Z43" s="164">
        <f t="shared" si="46"/>
        <v>44353</v>
      </c>
      <c r="AA43" s="164">
        <f t="shared" si="46"/>
        <v>44417</v>
      </c>
      <c r="AB43" s="164">
        <f t="shared" si="46"/>
        <v>44481</v>
      </c>
      <c r="AC43" s="164">
        <f t="shared" si="46"/>
        <v>44545</v>
      </c>
      <c r="AD43" s="164">
        <f t="shared" si="46"/>
        <v>44609</v>
      </c>
      <c r="AE43" s="164">
        <f t="shared" si="46"/>
        <v>44673</v>
      </c>
      <c r="AF43" s="164">
        <f t="shared" si="46"/>
        <v>44737</v>
      </c>
      <c r="AG43" s="164"/>
      <c r="AH43" s="57"/>
      <c r="AI43" s="57"/>
    </row>
    <row r="44" spans="1:36" s="81" customFormat="1" hidden="1" x14ac:dyDescent="0.25">
      <c r="A44" s="60" t="s">
        <v>206</v>
      </c>
      <c r="B44" s="37"/>
      <c r="C44" s="59"/>
      <c r="D44" s="59"/>
      <c r="E44" s="59"/>
      <c r="F44" s="59"/>
      <c r="G44" s="164">
        <f t="shared" ref="G44:AF44" si="47">G25-(7*5)</f>
        <v>43857</v>
      </c>
      <c r="H44" s="164">
        <f t="shared" si="47"/>
        <v>43861</v>
      </c>
      <c r="I44" s="164">
        <f t="shared" si="47"/>
        <v>43865</v>
      </c>
      <c r="J44" s="164">
        <f t="shared" si="47"/>
        <v>43869</v>
      </c>
      <c r="K44" s="164">
        <f t="shared" si="47"/>
        <v>43873</v>
      </c>
      <c r="L44" s="164">
        <f t="shared" si="47"/>
        <v>43876</v>
      </c>
      <c r="M44" s="164">
        <f t="shared" si="47"/>
        <v>43879</v>
      </c>
      <c r="N44" s="164">
        <f t="shared" si="47"/>
        <v>43884</v>
      </c>
      <c r="O44" s="164"/>
      <c r="P44" s="164"/>
      <c r="Q44" s="164"/>
      <c r="R44" s="164"/>
      <c r="S44" s="164"/>
      <c r="T44" s="164">
        <f t="shared" si="47"/>
        <v>43948</v>
      </c>
      <c r="U44" s="164">
        <f t="shared" si="47"/>
        <v>44012</v>
      </c>
      <c r="V44" s="164">
        <f t="shared" si="47"/>
        <v>44076</v>
      </c>
      <c r="W44" s="164">
        <f t="shared" si="47"/>
        <v>44140</v>
      </c>
      <c r="X44" s="164">
        <f t="shared" si="47"/>
        <v>44204</v>
      </c>
      <c r="Y44" s="164">
        <f t="shared" si="47"/>
        <v>44268</v>
      </c>
      <c r="Z44" s="164">
        <f t="shared" si="47"/>
        <v>44332</v>
      </c>
      <c r="AA44" s="164">
        <f t="shared" si="47"/>
        <v>44396</v>
      </c>
      <c r="AB44" s="164">
        <f t="shared" si="47"/>
        <v>44460</v>
      </c>
      <c r="AC44" s="164">
        <f t="shared" si="47"/>
        <v>44524</v>
      </c>
      <c r="AD44" s="164">
        <f t="shared" si="47"/>
        <v>44588</v>
      </c>
      <c r="AE44" s="164">
        <f t="shared" si="47"/>
        <v>44652</v>
      </c>
      <c r="AF44" s="164">
        <f t="shared" si="47"/>
        <v>44716</v>
      </c>
      <c r="AG44" s="164"/>
      <c r="AH44" s="57"/>
      <c r="AI44" s="57"/>
    </row>
    <row r="45" spans="1:36" s="81" customFormat="1" hidden="1" x14ac:dyDescent="0.25">
      <c r="A45" s="60" t="s">
        <v>204</v>
      </c>
      <c r="B45" s="37"/>
      <c r="C45" s="59"/>
      <c r="D45" s="59"/>
      <c r="E45" s="59"/>
      <c r="F45" s="59"/>
      <c r="G45" s="164">
        <f t="shared" ref="G45:AF45" si="48">G25-(6*7)</f>
        <v>43850</v>
      </c>
      <c r="H45" s="164">
        <f t="shared" si="48"/>
        <v>43854</v>
      </c>
      <c r="I45" s="164">
        <f t="shared" si="48"/>
        <v>43858</v>
      </c>
      <c r="J45" s="164">
        <f t="shared" si="48"/>
        <v>43862</v>
      </c>
      <c r="K45" s="164">
        <f t="shared" si="48"/>
        <v>43866</v>
      </c>
      <c r="L45" s="164">
        <f t="shared" si="48"/>
        <v>43869</v>
      </c>
      <c r="M45" s="164">
        <f t="shared" si="48"/>
        <v>43872</v>
      </c>
      <c r="N45" s="164">
        <f t="shared" si="48"/>
        <v>43877</v>
      </c>
      <c r="O45" s="164"/>
      <c r="P45" s="164"/>
      <c r="Q45" s="164"/>
      <c r="R45" s="164"/>
      <c r="S45" s="164"/>
      <c r="T45" s="164">
        <f t="shared" si="48"/>
        <v>43941</v>
      </c>
      <c r="U45" s="164">
        <f t="shared" si="48"/>
        <v>44005</v>
      </c>
      <c r="V45" s="164">
        <f t="shared" si="48"/>
        <v>44069</v>
      </c>
      <c r="W45" s="164">
        <f t="shared" si="48"/>
        <v>44133</v>
      </c>
      <c r="X45" s="164">
        <f t="shared" si="48"/>
        <v>44197</v>
      </c>
      <c r="Y45" s="164">
        <f t="shared" si="48"/>
        <v>44261</v>
      </c>
      <c r="Z45" s="164">
        <f t="shared" si="48"/>
        <v>44325</v>
      </c>
      <c r="AA45" s="164">
        <f t="shared" si="48"/>
        <v>44389</v>
      </c>
      <c r="AB45" s="164">
        <f t="shared" si="48"/>
        <v>44453</v>
      </c>
      <c r="AC45" s="164">
        <f t="shared" si="48"/>
        <v>44517</v>
      </c>
      <c r="AD45" s="164">
        <f t="shared" si="48"/>
        <v>44581</v>
      </c>
      <c r="AE45" s="164">
        <f t="shared" si="48"/>
        <v>44645</v>
      </c>
      <c r="AF45" s="164">
        <f t="shared" si="48"/>
        <v>44709</v>
      </c>
      <c r="AG45" s="164"/>
      <c r="AH45" s="57"/>
      <c r="AI45" s="57"/>
    </row>
    <row r="47" spans="1:36" x14ac:dyDescent="0.25">
      <c r="A47" s="65" t="s">
        <v>140</v>
      </c>
      <c r="B47" s="27"/>
      <c r="C47" s="28"/>
      <c r="D47" s="28"/>
      <c r="E47" s="28"/>
      <c r="F47" s="28"/>
    </row>
    <row r="48" spans="1:36" s="81" customFormat="1" x14ac:dyDescent="0.25">
      <c r="A48" s="157" t="s">
        <v>201</v>
      </c>
      <c r="B48" s="37"/>
      <c r="C48" s="59"/>
      <c r="D48" s="59"/>
      <c r="E48" s="59"/>
      <c r="F48" s="59"/>
      <c r="G48" s="158">
        <f t="shared" ref="G48:AG48" si="49">(G25-$B$22)/7</f>
        <v>5.2857142857142856</v>
      </c>
      <c r="H48" s="155">
        <f t="shared" si="49"/>
        <v>5.8571428571428568</v>
      </c>
      <c r="I48" s="156">
        <f t="shared" si="49"/>
        <v>6.4285714285714288</v>
      </c>
      <c r="J48" s="158">
        <f t="shared" si="49"/>
        <v>7</v>
      </c>
      <c r="K48" s="155">
        <f t="shared" si="49"/>
        <v>7.5714285714285712</v>
      </c>
      <c r="L48" s="159">
        <f t="shared" si="49"/>
        <v>8</v>
      </c>
      <c r="M48" s="156">
        <f t="shared" si="49"/>
        <v>8.4285714285714288</v>
      </c>
      <c r="N48" s="158">
        <f t="shared" si="49"/>
        <v>9.1428571428571423</v>
      </c>
      <c r="O48" s="158">
        <f t="shared" ref="O48:S48" si="50">(O25-$B$22)/7</f>
        <v>10.66666666666632</v>
      </c>
      <c r="P48" s="155">
        <f t="shared" si="50"/>
        <v>12.190476190476536</v>
      </c>
      <c r="Q48" s="155">
        <f t="shared" ref="Q48:R48" si="51">(Q25-$B$22)/7</f>
        <v>13.714285714285714</v>
      </c>
      <c r="R48" s="155">
        <f t="shared" si="51"/>
        <v>15.238095238094891</v>
      </c>
      <c r="S48" s="155">
        <f t="shared" si="50"/>
        <v>16.761904761905107</v>
      </c>
      <c r="T48" s="155">
        <f t="shared" si="49"/>
        <v>18.285714285714285</v>
      </c>
      <c r="U48" s="158">
        <f t="shared" si="49"/>
        <v>27.428571428571427</v>
      </c>
      <c r="V48" s="156">
        <f t="shared" si="49"/>
        <v>36.571428571428569</v>
      </c>
      <c r="W48" s="158">
        <f t="shared" si="49"/>
        <v>45.714285714285715</v>
      </c>
      <c r="X48" s="158">
        <f t="shared" si="49"/>
        <v>54.857142857142854</v>
      </c>
      <c r="Y48" s="156">
        <f t="shared" si="49"/>
        <v>64</v>
      </c>
      <c r="Z48" s="158">
        <f t="shared" si="49"/>
        <v>73.142857142857139</v>
      </c>
      <c r="AA48" s="158">
        <f t="shared" si="49"/>
        <v>82.285714285714292</v>
      </c>
      <c r="AB48" s="158">
        <f t="shared" si="49"/>
        <v>91.428571428571431</v>
      </c>
      <c r="AC48" s="156">
        <f t="shared" si="49"/>
        <v>100.57142857142857</v>
      </c>
      <c r="AD48" s="155">
        <f t="shared" si="49"/>
        <v>109.71428571428571</v>
      </c>
      <c r="AE48" s="158">
        <f t="shared" si="49"/>
        <v>118.85714285714286</v>
      </c>
      <c r="AF48" s="158">
        <f t="shared" si="49"/>
        <v>128</v>
      </c>
      <c r="AG48" s="158">
        <f t="shared" si="49"/>
        <v>136</v>
      </c>
    </row>
    <row r="49" spans="1:33" s="81" customFormat="1" x14ac:dyDescent="0.25">
      <c r="A49" s="157" t="s">
        <v>200</v>
      </c>
      <c r="B49" s="37"/>
      <c r="C49" s="59"/>
      <c r="D49" s="59"/>
      <c r="E49" s="59"/>
      <c r="F49" s="59"/>
      <c r="G49" s="258">
        <f>G25-B22</f>
        <v>37</v>
      </c>
      <c r="H49" s="259">
        <f t="shared" ref="H49:AG49" si="52">H25-$B$22</f>
        <v>41</v>
      </c>
      <c r="I49" s="259">
        <f t="shared" si="52"/>
        <v>45</v>
      </c>
      <c r="J49" s="259">
        <f t="shared" si="52"/>
        <v>49</v>
      </c>
      <c r="K49" s="259">
        <f t="shared" si="52"/>
        <v>53</v>
      </c>
      <c r="L49" s="259">
        <f t="shared" si="52"/>
        <v>56</v>
      </c>
      <c r="M49" s="259">
        <f t="shared" si="52"/>
        <v>59</v>
      </c>
      <c r="N49" s="259">
        <f t="shared" si="52"/>
        <v>64</v>
      </c>
      <c r="O49" s="259">
        <f t="shared" ref="O49:S49" si="53">O25-$B$22</f>
        <v>74.666666666664241</v>
      </c>
      <c r="P49" s="259">
        <f t="shared" si="53"/>
        <v>85.333333333335759</v>
      </c>
      <c r="Q49" s="259">
        <f t="shared" ref="Q49:R49" si="54">Q25-$B$22</f>
        <v>96</v>
      </c>
      <c r="R49" s="259">
        <f t="shared" si="54"/>
        <v>106.66666666666424</v>
      </c>
      <c r="S49" s="259">
        <f t="shared" si="53"/>
        <v>117.33333333333576</v>
      </c>
      <c r="T49" s="259">
        <f t="shared" si="52"/>
        <v>128</v>
      </c>
      <c r="U49" s="259">
        <f t="shared" si="52"/>
        <v>192</v>
      </c>
      <c r="V49" s="259">
        <f t="shared" si="52"/>
        <v>256</v>
      </c>
      <c r="W49" s="259">
        <f t="shared" si="52"/>
        <v>320</v>
      </c>
      <c r="X49" s="259">
        <f t="shared" si="52"/>
        <v>384</v>
      </c>
      <c r="Y49" s="259">
        <f t="shared" si="52"/>
        <v>448</v>
      </c>
      <c r="Z49" s="259">
        <f t="shared" si="52"/>
        <v>512</v>
      </c>
      <c r="AA49" s="259">
        <f t="shared" si="52"/>
        <v>576</v>
      </c>
      <c r="AB49" s="259">
        <f t="shared" si="52"/>
        <v>640</v>
      </c>
      <c r="AC49" s="260">
        <f t="shared" si="52"/>
        <v>704</v>
      </c>
      <c r="AD49" s="259">
        <f t="shared" si="52"/>
        <v>768</v>
      </c>
      <c r="AE49" s="264">
        <f t="shared" si="52"/>
        <v>832</v>
      </c>
      <c r="AF49" s="257">
        <f t="shared" si="52"/>
        <v>896</v>
      </c>
      <c r="AG49" s="257">
        <f t="shared" si="52"/>
        <v>952</v>
      </c>
    </row>
    <row r="50" spans="1:33" x14ac:dyDescent="0.25">
      <c r="A50" s="53" t="s">
        <v>134</v>
      </c>
      <c r="B50" s="28"/>
      <c r="C50" s="28"/>
      <c r="D50" s="28"/>
      <c r="E50" s="28"/>
      <c r="F50" s="28"/>
      <c r="G50" s="160">
        <v>33</v>
      </c>
      <c r="H50" s="161">
        <v>63</v>
      </c>
      <c r="I50" s="162">
        <v>116</v>
      </c>
      <c r="J50" s="162">
        <v>248</v>
      </c>
      <c r="K50" s="162">
        <v>596</v>
      </c>
      <c r="L50" s="162">
        <v>1072</v>
      </c>
      <c r="M50" s="162">
        <v>2317</v>
      </c>
      <c r="N50" s="162">
        <v>4163</v>
      </c>
      <c r="O50" s="162">
        <v>6052</v>
      </c>
      <c r="P50" s="162">
        <v>6612</v>
      </c>
      <c r="Q50" s="198">
        <v>7200</v>
      </c>
      <c r="R50" s="198">
        <v>7600</v>
      </c>
      <c r="S50" s="198">
        <v>7800</v>
      </c>
      <c r="T50" s="198">
        <v>8000</v>
      </c>
      <c r="U50" s="198">
        <f>T50*2</f>
        <v>16000</v>
      </c>
      <c r="V50" s="198">
        <f t="shared" ref="V50:AE50" si="55">U50*2</f>
        <v>32000</v>
      </c>
      <c r="W50" s="198">
        <f t="shared" si="55"/>
        <v>64000</v>
      </c>
      <c r="X50" s="198">
        <f t="shared" si="55"/>
        <v>128000</v>
      </c>
      <c r="Y50" s="198">
        <f t="shared" si="55"/>
        <v>256000</v>
      </c>
      <c r="Z50" s="198">
        <f t="shared" si="55"/>
        <v>512000</v>
      </c>
      <c r="AA50" s="198">
        <f t="shared" si="55"/>
        <v>1024000</v>
      </c>
      <c r="AB50" s="198">
        <f t="shared" si="55"/>
        <v>2048000</v>
      </c>
      <c r="AC50" s="198">
        <f t="shared" si="55"/>
        <v>4096000</v>
      </c>
      <c r="AD50" s="198">
        <f t="shared" si="55"/>
        <v>8192000</v>
      </c>
      <c r="AE50" s="255">
        <f t="shared" si="55"/>
        <v>16384000</v>
      </c>
      <c r="AF50" s="202">
        <f>AF26</f>
        <v>25634000</v>
      </c>
      <c r="AG50" s="203">
        <f>AF50</f>
        <v>25634000</v>
      </c>
    </row>
    <row r="51" spans="1:33" x14ac:dyDescent="0.25">
      <c r="A51" s="53" t="s">
        <v>261</v>
      </c>
      <c r="B51" s="28"/>
      <c r="C51" s="28"/>
      <c r="D51" s="28"/>
      <c r="E51" s="28"/>
      <c r="F51" s="28"/>
      <c r="G51" s="208">
        <f>(G25-B22)/(LOG(G50/1)/LOG(2))</f>
        <v>7.3348749373107394</v>
      </c>
      <c r="H51" s="190">
        <f t="shared" ref="H51:AG51" si="56">(H25-$G$25)/(LOG(H50/$G$50)/LOG(2))</f>
        <v>4.287770252524326</v>
      </c>
      <c r="I51" s="190">
        <f t="shared" si="56"/>
        <v>4.4111479339015975</v>
      </c>
      <c r="J51" s="190">
        <f t="shared" si="56"/>
        <v>4.1239916709798061</v>
      </c>
      <c r="K51" s="190">
        <f t="shared" si="56"/>
        <v>3.8325424233151351</v>
      </c>
      <c r="L51" s="190">
        <f t="shared" si="56"/>
        <v>3.7835829796492675</v>
      </c>
      <c r="M51" s="190">
        <f t="shared" si="56"/>
        <v>3.5867723822019695</v>
      </c>
      <c r="N51" s="190">
        <f t="shared" si="56"/>
        <v>3.8687414968098568</v>
      </c>
      <c r="O51" s="190">
        <f>(O25-$G$25)/(LOG(O50/$G$50)/LOG(2))</f>
        <v>5.0096632283834204</v>
      </c>
      <c r="P51" s="190">
        <f>(P25-$G$25)/(LOG(P50/$G$50)/LOG(2))</f>
        <v>6.320993841878181</v>
      </c>
      <c r="Q51" s="199">
        <f>(Q25-$G$25)/(LOG(Q50/$G$50)/LOG(2))</f>
        <v>7.5939066305118565</v>
      </c>
      <c r="R51" s="199">
        <f>(R25-$G$25)/(LOG(R50/$G$50)/LOG(2))</f>
        <v>8.8776867673234143</v>
      </c>
      <c r="S51" s="199">
        <f>(S25-$G$25)/(LOG(S50/$G$50)/LOG(2))</f>
        <v>10.188296258005275</v>
      </c>
      <c r="T51" s="199">
        <f t="shared" si="56"/>
        <v>11.487882568717266</v>
      </c>
      <c r="U51" s="199">
        <f t="shared" si="56"/>
        <v>17.373973913035858</v>
      </c>
      <c r="V51" s="199">
        <f t="shared" si="56"/>
        <v>22.073519572475938</v>
      </c>
      <c r="W51" s="199">
        <f t="shared" si="56"/>
        <v>25.91245214359871</v>
      </c>
      <c r="X51" s="199">
        <f t="shared" si="56"/>
        <v>29.107343622551596</v>
      </c>
      <c r="Y51" s="199">
        <f t="shared" si="56"/>
        <v>31.807723065557795</v>
      </c>
      <c r="Z51" s="199">
        <f t="shared" si="56"/>
        <v>34.120155699956271</v>
      </c>
      <c r="AA51" s="199">
        <f t="shared" si="56"/>
        <v>36.122639648772427</v>
      </c>
      <c r="AB51" s="199">
        <f t="shared" si="56"/>
        <v>37.873577227827475</v>
      </c>
      <c r="AC51" s="199">
        <f t="shared" si="56"/>
        <v>39.417565193174624</v>
      </c>
      <c r="AD51" s="199">
        <f t="shared" si="56"/>
        <v>40.789246440002103</v>
      </c>
      <c r="AE51" s="256">
        <f t="shared" si="56"/>
        <v>42.015940322281416</v>
      </c>
      <c r="AF51" s="204">
        <f t="shared" si="56"/>
        <v>43.900083044102558</v>
      </c>
      <c r="AG51" s="205">
        <f t="shared" si="56"/>
        <v>46.762020937548129</v>
      </c>
    </row>
    <row r="52" spans="1:33" x14ac:dyDescent="0.25">
      <c r="A52" s="53" t="s">
        <v>291</v>
      </c>
      <c r="B52" s="28"/>
      <c r="C52" s="28"/>
      <c r="D52" s="28"/>
      <c r="E52" s="28"/>
      <c r="F52" s="28"/>
      <c r="G52" s="261">
        <v>17</v>
      </c>
      <c r="H52" s="262">
        <v>39</v>
      </c>
      <c r="I52" s="262">
        <v>91</v>
      </c>
      <c r="J52" s="262">
        <v>218</v>
      </c>
      <c r="K52" s="262">
        <v>547</v>
      </c>
      <c r="L52" s="262">
        <v>1019</v>
      </c>
      <c r="M52" s="262">
        <v>2191</v>
      </c>
      <c r="N52" s="262">
        <v>3902</v>
      </c>
      <c r="O52" s="262">
        <v>3189</v>
      </c>
      <c r="P52" s="262">
        <v>2311</v>
      </c>
      <c r="Q52" s="263"/>
      <c r="R52" s="263"/>
      <c r="S52" s="263"/>
      <c r="T52" s="263"/>
      <c r="U52" s="263"/>
      <c r="V52" s="263"/>
      <c r="W52" s="263"/>
      <c r="X52" s="263"/>
      <c r="Y52" s="263"/>
      <c r="Z52" s="263"/>
      <c r="AA52" s="263"/>
      <c r="AB52" s="263"/>
      <c r="AC52" s="263"/>
      <c r="AD52" s="263"/>
      <c r="AE52" s="255"/>
      <c r="AF52" s="202"/>
      <c r="AG52" s="203"/>
    </row>
    <row r="53" spans="1:33" x14ac:dyDescent="0.25">
      <c r="A53" s="53" t="s">
        <v>160</v>
      </c>
      <c r="B53" s="28"/>
      <c r="C53" s="28"/>
      <c r="D53" s="28"/>
      <c r="E53" s="28"/>
      <c r="F53" s="28"/>
      <c r="G53" s="119">
        <f>G50-G52-G54</f>
        <v>15</v>
      </c>
      <c r="H53" s="120">
        <f>H50-H52-H54</f>
        <v>22</v>
      </c>
      <c r="I53" s="120">
        <f t="shared" ref="I53:J53" si="57">I50-I52-I54</f>
        <v>22</v>
      </c>
      <c r="J53" s="120">
        <f t="shared" si="57"/>
        <v>25</v>
      </c>
      <c r="K53" s="163">
        <f>K50-K52-K54</f>
        <v>43</v>
      </c>
      <c r="L53" s="163">
        <f t="shared" ref="L53:N53" si="58">L50-L52-L54</f>
        <v>46</v>
      </c>
      <c r="M53" s="163">
        <f t="shared" si="58"/>
        <v>118</v>
      </c>
      <c r="N53" s="163">
        <f t="shared" si="58"/>
        <v>245</v>
      </c>
      <c r="O53" s="163">
        <f t="shared" ref="O53:P53" si="59">O50-O52-O54</f>
        <v>2813</v>
      </c>
      <c r="P53" s="163">
        <f t="shared" si="59"/>
        <v>4230</v>
      </c>
      <c r="Q53" s="249">
        <v>5715</v>
      </c>
      <c r="R53" s="249"/>
      <c r="S53" s="249"/>
      <c r="T53" s="249"/>
      <c r="U53" s="200"/>
      <c r="V53" s="200"/>
      <c r="W53" s="200"/>
      <c r="X53" s="200"/>
      <c r="Y53" s="200"/>
      <c r="Z53" s="200"/>
      <c r="AA53" s="200"/>
      <c r="AB53" s="200"/>
      <c r="AC53" s="200"/>
      <c r="AD53" s="200"/>
      <c r="AE53" s="255"/>
      <c r="AF53" s="202"/>
      <c r="AG53" s="203"/>
    </row>
    <row r="54" spans="1:33" x14ac:dyDescent="0.25">
      <c r="A54" s="61" t="s">
        <v>135</v>
      </c>
      <c r="B54" s="50"/>
      <c r="C54" s="51"/>
      <c r="D54" s="51"/>
      <c r="E54" s="51"/>
      <c r="F54" s="51"/>
      <c r="G54" s="79">
        <v>1</v>
      </c>
      <c r="H54" s="80">
        <v>2</v>
      </c>
      <c r="I54" s="64">
        <v>3</v>
      </c>
      <c r="J54" s="64">
        <v>5</v>
      </c>
      <c r="K54" s="64">
        <v>6</v>
      </c>
      <c r="L54" s="64">
        <v>7</v>
      </c>
      <c r="M54" s="64">
        <v>8</v>
      </c>
      <c r="N54" s="64">
        <v>16</v>
      </c>
      <c r="O54" s="64">
        <v>50</v>
      </c>
      <c r="P54" s="64">
        <v>71</v>
      </c>
      <c r="Q54" s="250">
        <v>91</v>
      </c>
      <c r="R54" s="250"/>
      <c r="S54" s="250"/>
      <c r="T54" s="250"/>
      <c r="U54" s="201"/>
      <c r="V54" s="201"/>
      <c r="W54" s="201"/>
      <c r="X54" s="201"/>
      <c r="Y54" s="201"/>
      <c r="Z54" s="201"/>
      <c r="AA54" s="201"/>
      <c r="AB54" s="201"/>
      <c r="AC54" s="201"/>
      <c r="AD54" s="201"/>
      <c r="AE54" s="239"/>
      <c r="AF54" s="234"/>
      <c r="AG54" s="235"/>
    </row>
    <row r="55" spans="1:33" x14ac:dyDescent="0.25">
      <c r="B55" s="3"/>
      <c r="G55" s="47"/>
      <c r="H55" s="47"/>
      <c r="I55" s="47"/>
      <c r="J55" s="47"/>
      <c r="K55" s="47"/>
      <c r="L55" s="47"/>
      <c r="M55" s="47"/>
      <c r="N55" s="47"/>
      <c r="O55" s="47"/>
      <c r="P55" s="47"/>
      <c r="Q55" s="47"/>
      <c r="R55" s="47"/>
      <c r="S55" s="47"/>
      <c r="T55" s="47"/>
      <c r="U55" s="47"/>
      <c r="V55" s="47"/>
      <c r="W55" s="47"/>
      <c r="X55" s="47"/>
      <c r="Y55" s="47"/>
      <c r="Z55" s="47"/>
      <c r="AA55" s="47"/>
      <c r="AB55" s="47"/>
      <c r="AC55" s="47"/>
    </row>
    <row r="56" spans="1:33" x14ac:dyDescent="0.25">
      <c r="A56" s="86" t="s">
        <v>141</v>
      </c>
      <c r="AC56" s="28"/>
    </row>
    <row r="57" spans="1:33" x14ac:dyDescent="0.25">
      <c r="A57" s="16" t="s">
        <v>1</v>
      </c>
      <c r="B57" s="69" t="s">
        <v>147</v>
      </c>
      <c r="C57" s="17" t="s">
        <v>4</v>
      </c>
      <c r="D57" s="69" t="s">
        <v>143</v>
      </c>
      <c r="E57" s="70" t="s">
        <v>3</v>
      </c>
      <c r="F57" s="21" t="s">
        <v>4</v>
      </c>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17"/>
      <c r="AG57" s="59"/>
    </row>
    <row r="58" spans="1:33" x14ac:dyDescent="0.25">
      <c r="A58" s="53" t="s">
        <v>13</v>
      </c>
      <c r="B58" s="25">
        <f>'ABS Population by Age Range'!D107</f>
        <v>4.0260989985204748E-2</v>
      </c>
      <c r="C58" s="24">
        <f>$B$13*B58</f>
        <v>1032050.2172807385</v>
      </c>
      <c r="D58" s="34">
        <f>'AU Infection Rate by Age'!C4</f>
        <v>2.8890015205271159E-2</v>
      </c>
      <c r="E58" s="17"/>
      <c r="F58" s="28"/>
      <c r="G58" s="30">
        <f t="shared" ref="G58:AF58" si="60">G$26*$D$58</f>
        <v>0.9028129751647237</v>
      </c>
      <c r="H58" s="31">
        <f t="shared" si="60"/>
        <v>1.8056259503294474</v>
      </c>
      <c r="I58" s="31">
        <f t="shared" si="60"/>
        <v>3.6112519006588948</v>
      </c>
      <c r="J58" s="31">
        <f t="shared" si="60"/>
        <v>7.2225038013177896</v>
      </c>
      <c r="K58" s="31">
        <f t="shared" si="60"/>
        <v>14.445007602635579</v>
      </c>
      <c r="L58" s="31">
        <f t="shared" si="60"/>
        <v>28.890015205271158</v>
      </c>
      <c r="M58" s="31">
        <f t="shared" si="60"/>
        <v>57.780030410542317</v>
      </c>
      <c r="N58" s="31">
        <f t="shared" si="60"/>
        <v>115.56006082108463</v>
      </c>
      <c r="O58" s="31">
        <f t="shared" si="60"/>
        <v>173.34009123162696</v>
      </c>
      <c r="P58" s="31">
        <f t="shared" si="60"/>
        <v>190.67410035478966</v>
      </c>
      <c r="Q58" s="31">
        <f t="shared" si="60"/>
        <v>208.00810947795236</v>
      </c>
      <c r="R58" s="31">
        <f t="shared" si="60"/>
        <v>219.5641155600608</v>
      </c>
      <c r="S58" s="31">
        <f t="shared" si="60"/>
        <v>225.34211860111503</v>
      </c>
      <c r="T58" s="31">
        <f t="shared" si="60"/>
        <v>231.12012164216927</v>
      </c>
      <c r="U58" s="31">
        <f t="shared" si="60"/>
        <v>462.24024328433853</v>
      </c>
      <c r="V58" s="31">
        <f t="shared" si="60"/>
        <v>924.48048656867707</v>
      </c>
      <c r="W58" s="31">
        <f t="shared" si="60"/>
        <v>1848.9609731373541</v>
      </c>
      <c r="X58" s="31">
        <f t="shared" si="60"/>
        <v>3697.9219462747083</v>
      </c>
      <c r="Y58" s="31">
        <f t="shared" si="60"/>
        <v>7395.8438925494165</v>
      </c>
      <c r="Z58" s="31">
        <f t="shared" si="60"/>
        <v>14791.687785098833</v>
      </c>
      <c r="AA58" s="31">
        <f t="shared" si="60"/>
        <v>29583.375570197666</v>
      </c>
      <c r="AB58" s="31">
        <f t="shared" si="60"/>
        <v>59166.751140395332</v>
      </c>
      <c r="AC58" s="31">
        <f t="shared" si="60"/>
        <v>118333.50228079066</v>
      </c>
      <c r="AD58" s="72">
        <f t="shared" si="60"/>
        <v>236667.00456158133</v>
      </c>
      <c r="AE58" s="31">
        <f t="shared" si="60"/>
        <v>473334.00912316266</v>
      </c>
      <c r="AF58" s="72">
        <f t="shared" si="60"/>
        <v>740566.64977192087</v>
      </c>
      <c r="AG58" s="57"/>
    </row>
    <row r="59" spans="1:33" x14ac:dyDescent="0.25">
      <c r="A59" s="53"/>
      <c r="B59" s="18"/>
      <c r="C59" s="22"/>
      <c r="D59" s="20"/>
      <c r="E59" s="39">
        <v>0.14799999999999999</v>
      </c>
      <c r="F59" s="22"/>
      <c r="G59" s="41">
        <f t="shared" ref="G59:AF59" si="61">G$26*$D$58*$E$59</f>
        <v>0.13361632032437909</v>
      </c>
      <c r="H59" s="42">
        <f t="shared" si="61"/>
        <v>0.26723264064875818</v>
      </c>
      <c r="I59" s="42">
        <f t="shared" si="61"/>
        <v>0.53446528129751636</v>
      </c>
      <c r="J59" s="42">
        <f t="shared" si="61"/>
        <v>1.0689305625950327</v>
      </c>
      <c r="K59" s="42">
        <f t="shared" si="61"/>
        <v>2.1378611251900654</v>
      </c>
      <c r="L59" s="42">
        <f t="shared" si="61"/>
        <v>4.2757222503801309</v>
      </c>
      <c r="M59" s="42">
        <f t="shared" si="61"/>
        <v>8.5514445007602617</v>
      </c>
      <c r="N59" s="42">
        <f t="shared" si="61"/>
        <v>17.102889001520523</v>
      </c>
      <c r="O59" s="42">
        <f t="shared" si="61"/>
        <v>25.654333502280789</v>
      </c>
      <c r="P59" s="42">
        <f t="shared" si="61"/>
        <v>28.219766852508869</v>
      </c>
      <c r="Q59" s="42">
        <f t="shared" si="61"/>
        <v>30.785200202736949</v>
      </c>
      <c r="R59" s="42">
        <f t="shared" si="61"/>
        <v>32.495489102888996</v>
      </c>
      <c r="S59" s="42">
        <f t="shared" si="61"/>
        <v>33.350633552965022</v>
      </c>
      <c r="T59" s="42">
        <f t="shared" si="61"/>
        <v>34.205778003041047</v>
      </c>
      <c r="U59" s="42">
        <f t="shared" si="61"/>
        <v>68.411556006082094</v>
      </c>
      <c r="V59" s="42">
        <f t="shared" si="61"/>
        <v>136.82311201216419</v>
      </c>
      <c r="W59" s="42">
        <f t="shared" si="61"/>
        <v>273.64622402432838</v>
      </c>
      <c r="X59" s="42">
        <f t="shared" si="61"/>
        <v>547.29244804865675</v>
      </c>
      <c r="Y59" s="42">
        <f t="shared" si="61"/>
        <v>1094.5848960973135</v>
      </c>
      <c r="Z59" s="42">
        <f t="shared" si="61"/>
        <v>2189.169792194627</v>
      </c>
      <c r="AA59" s="42">
        <f t="shared" si="61"/>
        <v>4378.339584389254</v>
      </c>
      <c r="AB59" s="42">
        <f t="shared" si="61"/>
        <v>8756.679168778508</v>
      </c>
      <c r="AC59" s="42">
        <f t="shared" si="61"/>
        <v>17513.358337557016</v>
      </c>
      <c r="AD59" s="83">
        <f t="shared" si="61"/>
        <v>35026.716675114032</v>
      </c>
      <c r="AE59" s="42">
        <f t="shared" si="61"/>
        <v>70053.433350228064</v>
      </c>
      <c r="AF59" s="83">
        <f t="shared" si="61"/>
        <v>109603.86416624428</v>
      </c>
      <c r="AG59" s="57"/>
    </row>
    <row r="60" spans="1:33" x14ac:dyDescent="0.25">
      <c r="A60" s="53" t="s">
        <v>14</v>
      </c>
      <c r="B60" s="18">
        <f>'ABS Population by Age Range'!D97</f>
        <v>7.065336711718416E-2</v>
      </c>
      <c r="C60" s="22">
        <f t="shared" ref="C60:C74" si="62">$B$13*B60</f>
        <v>1811128.4126818988</v>
      </c>
      <c r="D60" s="35">
        <f>'AU Infection Rate by Age'!C5</f>
        <v>0.10609900321000169</v>
      </c>
      <c r="E60" s="29"/>
      <c r="F60" s="28"/>
      <c r="G60" s="32">
        <f t="shared" ref="G60:AF60" si="63">G$26*$D$60</f>
        <v>3.315593850312553</v>
      </c>
      <c r="H60" s="33">
        <f t="shared" si="63"/>
        <v>6.6311877006251061</v>
      </c>
      <c r="I60" s="33">
        <f t="shared" si="63"/>
        <v>13.262375401250212</v>
      </c>
      <c r="J60" s="33">
        <f t="shared" si="63"/>
        <v>26.524750802500424</v>
      </c>
      <c r="K60" s="33">
        <f t="shared" si="63"/>
        <v>53.049501605000849</v>
      </c>
      <c r="L60" s="33">
        <f t="shared" si="63"/>
        <v>106.0990032100017</v>
      </c>
      <c r="M60" s="33">
        <f t="shared" si="63"/>
        <v>212.1980064200034</v>
      </c>
      <c r="N60" s="33">
        <f t="shared" si="63"/>
        <v>424.39601284000679</v>
      </c>
      <c r="O60" s="33">
        <f t="shared" si="63"/>
        <v>636.59401926001021</v>
      </c>
      <c r="P60" s="33">
        <f t="shared" si="63"/>
        <v>700.25342118601122</v>
      </c>
      <c r="Q60" s="33">
        <f t="shared" si="63"/>
        <v>763.91282311201223</v>
      </c>
      <c r="R60" s="33">
        <f t="shared" si="63"/>
        <v>806.35242439601291</v>
      </c>
      <c r="S60" s="33">
        <f t="shared" si="63"/>
        <v>827.57222503801324</v>
      </c>
      <c r="T60" s="33">
        <f t="shared" si="63"/>
        <v>848.79202568001358</v>
      </c>
      <c r="U60" s="33">
        <f t="shared" si="63"/>
        <v>1697.5840513600272</v>
      </c>
      <c r="V60" s="33">
        <f t="shared" si="63"/>
        <v>3395.1681027200543</v>
      </c>
      <c r="W60" s="33">
        <f t="shared" si="63"/>
        <v>6790.3362054401086</v>
      </c>
      <c r="X60" s="33">
        <f t="shared" si="63"/>
        <v>13580.672410880217</v>
      </c>
      <c r="Y60" s="33">
        <f t="shared" si="63"/>
        <v>27161.344821760435</v>
      </c>
      <c r="Z60" s="33">
        <f t="shared" si="63"/>
        <v>54322.689643520869</v>
      </c>
      <c r="AA60" s="33">
        <f t="shared" si="63"/>
        <v>108645.37928704174</v>
      </c>
      <c r="AB60" s="33">
        <f t="shared" si="63"/>
        <v>217290.75857408348</v>
      </c>
      <c r="AC60" s="33">
        <f t="shared" si="63"/>
        <v>434581.51714816695</v>
      </c>
      <c r="AD60" s="84">
        <f t="shared" si="63"/>
        <v>869163.03429633391</v>
      </c>
      <c r="AE60" s="33">
        <f t="shared" si="63"/>
        <v>1738326.0685926678</v>
      </c>
      <c r="AF60" s="84">
        <f t="shared" si="63"/>
        <v>2719741.8482851833</v>
      </c>
      <c r="AG60" s="57"/>
    </row>
    <row r="61" spans="1:33" x14ac:dyDescent="0.25">
      <c r="A61" s="53"/>
      <c r="B61" s="18"/>
      <c r="C61" s="22"/>
      <c r="D61" s="20"/>
      <c r="E61" s="39">
        <v>0.08</v>
      </c>
      <c r="F61" s="22"/>
      <c r="G61" s="41">
        <f t="shared" ref="G61:AF61" si="64">G$26*$D$60*$E$61</f>
        <v>0.26524750802500424</v>
      </c>
      <c r="H61" s="42">
        <f t="shared" si="64"/>
        <v>0.53049501605000848</v>
      </c>
      <c r="I61" s="42">
        <f t="shared" si="64"/>
        <v>1.060990032100017</v>
      </c>
      <c r="J61" s="42">
        <f t="shared" si="64"/>
        <v>2.1219800642000339</v>
      </c>
      <c r="K61" s="42">
        <f t="shared" si="64"/>
        <v>4.2439601284000679</v>
      </c>
      <c r="L61" s="42">
        <f t="shared" si="64"/>
        <v>8.4879202568001357</v>
      </c>
      <c r="M61" s="42">
        <f t="shared" si="64"/>
        <v>16.975840513600271</v>
      </c>
      <c r="N61" s="42">
        <f t="shared" si="64"/>
        <v>33.951681027200543</v>
      </c>
      <c r="O61" s="42">
        <f t="shared" si="64"/>
        <v>50.927521540800818</v>
      </c>
      <c r="P61" s="42">
        <f t="shared" si="64"/>
        <v>56.020273694880899</v>
      </c>
      <c r="Q61" s="42">
        <f t="shared" si="64"/>
        <v>61.11302584896098</v>
      </c>
      <c r="R61" s="42">
        <f t="shared" si="64"/>
        <v>64.508193951681037</v>
      </c>
      <c r="S61" s="42">
        <f t="shared" si="64"/>
        <v>66.205778003041061</v>
      </c>
      <c r="T61" s="42">
        <f t="shared" si="64"/>
        <v>67.903362054401086</v>
      </c>
      <c r="U61" s="42">
        <f t="shared" si="64"/>
        <v>135.80672410880217</v>
      </c>
      <c r="V61" s="42">
        <f t="shared" si="64"/>
        <v>271.61344821760434</v>
      </c>
      <c r="W61" s="42">
        <f t="shared" si="64"/>
        <v>543.22689643520869</v>
      </c>
      <c r="X61" s="42">
        <f t="shared" si="64"/>
        <v>1086.4537928704174</v>
      </c>
      <c r="Y61" s="42">
        <f t="shared" si="64"/>
        <v>2172.9075857408347</v>
      </c>
      <c r="Z61" s="42">
        <f t="shared" si="64"/>
        <v>4345.8151714816695</v>
      </c>
      <c r="AA61" s="42">
        <f t="shared" si="64"/>
        <v>8691.630342963339</v>
      </c>
      <c r="AB61" s="42">
        <f t="shared" si="64"/>
        <v>17383.260685926678</v>
      </c>
      <c r="AC61" s="42">
        <f t="shared" si="64"/>
        <v>34766.521371853356</v>
      </c>
      <c r="AD61" s="83">
        <f t="shared" si="64"/>
        <v>69533.042743706712</v>
      </c>
      <c r="AE61" s="42">
        <f t="shared" si="64"/>
        <v>139066.08548741342</v>
      </c>
      <c r="AF61" s="83">
        <f t="shared" si="64"/>
        <v>217579.34786281467</v>
      </c>
      <c r="AG61" s="57"/>
    </row>
    <row r="62" spans="1:33" x14ac:dyDescent="0.25">
      <c r="A62" s="53" t="s">
        <v>15</v>
      </c>
      <c r="B62" s="18">
        <f>'ABS Population by Age Range'!D85</f>
        <v>0.10301766910746854</v>
      </c>
      <c r="C62" s="22">
        <f t="shared" si="62"/>
        <v>2640754.9299008488</v>
      </c>
      <c r="D62" s="35">
        <f>'AU Infection Rate by Age'!C6</f>
        <v>0.16827166751140396</v>
      </c>
      <c r="E62" s="29"/>
      <c r="F62" s="22"/>
      <c r="G62" s="32">
        <f t="shared" ref="G62:AF62" si="65">G$26*$D$62</f>
        <v>5.2584896097313738</v>
      </c>
      <c r="H62" s="33">
        <f t="shared" si="65"/>
        <v>10.516979219462748</v>
      </c>
      <c r="I62" s="33">
        <f t="shared" si="65"/>
        <v>21.033958438925495</v>
      </c>
      <c r="J62" s="33">
        <f t="shared" si="65"/>
        <v>42.06791687785099</v>
      </c>
      <c r="K62" s="33">
        <f t="shared" si="65"/>
        <v>84.135833755701981</v>
      </c>
      <c r="L62" s="33">
        <f t="shared" si="65"/>
        <v>168.27166751140396</v>
      </c>
      <c r="M62" s="33">
        <f t="shared" si="65"/>
        <v>336.54333502280792</v>
      </c>
      <c r="N62" s="33">
        <f t="shared" si="65"/>
        <v>673.08667004561585</v>
      </c>
      <c r="O62" s="33">
        <f t="shared" si="65"/>
        <v>1009.6300050684238</v>
      </c>
      <c r="P62" s="33">
        <f t="shared" si="65"/>
        <v>1110.593005575266</v>
      </c>
      <c r="Q62" s="33">
        <f t="shared" si="65"/>
        <v>1211.5560060821085</v>
      </c>
      <c r="R62" s="33">
        <f t="shared" si="65"/>
        <v>1278.8646730866701</v>
      </c>
      <c r="S62" s="33">
        <f t="shared" si="65"/>
        <v>1312.5190065889508</v>
      </c>
      <c r="T62" s="33">
        <f t="shared" si="65"/>
        <v>1346.1733400912317</v>
      </c>
      <c r="U62" s="33">
        <f t="shared" si="65"/>
        <v>2692.3466801824634</v>
      </c>
      <c r="V62" s="33">
        <f t="shared" si="65"/>
        <v>5384.6933603649268</v>
      </c>
      <c r="W62" s="33">
        <f t="shared" si="65"/>
        <v>10769.386720729854</v>
      </c>
      <c r="X62" s="33">
        <f t="shared" si="65"/>
        <v>21538.773441459707</v>
      </c>
      <c r="Y62" s="33">
        <f t="shared" si="65"/>
        <v>43077.546882919414</v>
      </c>
      <c r="Z62" s="33">
        <f t="shared" si="65"/>
        <v>86155.093765838828</v>
      </c>
      <c r="AA62" s="33">
        <f t="shared" si="65"/>
        <v>172310.18753167766</v>
      </c>
      <c r="AB62" s="33">
        <f t="shared" si="65"/>
        <v>344620.37506335531</v>
      </c>
      <c r="AC62" s="33">
        <f t="shared" si="65"/>
        <v>689240.75012671063</v>
      </c>
      <c r="AD62" s="84">
        <f t="shared" si="65"/>
        <v>1378481.5002534213</v>
      </c>
      <c r="AE62" s="33">
        <f t="shared" si="65"/>
        <v>2756963.0005068425</v>
      </c>
      <c r="AF62" s="84">
        <f t="shared" si="65"/>
        <v>4313475.9249873292</v>
      </c>
      <c r="AG62" s="57"/>
    </row>
    <row r="63" spans="1:33" x14ac:dyDescent="0.25">
      <c r="A63" s="53"/>
      <c r="B63" s="18"/>
      <c r="C63" s="22"/>
      <c r="D63" s="20"/>
      <c r="E63" s="39">
        <v>3.5999999999999997E-2</v>
      </c>
      <c r="F63" s="22"/>
      <c r="G63" s="41">
        <f t="shared" ref="G63:AF63" si="66">G$26*$D$62*$E$63</f>
        <v>0.18930562595032943</v>
      </c>
      <c r="H63" s="42">
        <f t="shared" si="66"/>
        <v>0.37861125190065886</v>
      </c>
      <c r="I63" s="42">
        <f t="shared" si="66"/>
        <v>0.75722250380131773</v>
      </c>
      <c r="J63" s="42">
        <f t="shared" si="66"/>
        <v>1.5144450076026355</v>
      </c>
      <c r="K63" s="42">
        <f t="shared" si="66"/>
        <v>3.0288900152052709</v>
      </c>
      <c r="L63" s="42">
        <f t="shared" si="66"/>
        <v>6.0577800304105418</v>
      </c>
      <c r="M63" s="42">
        <f t="shared" si="66"/>
        <v>12.115560060821084</v>
      </c>
      <c r="N63" s="42">
        <f t="shared" si="66"/>
        <v>24.231120121642167</v>
      </c>
      <c r="O63" s="42">
        <f t="shared" si="66"/>
        <v>36.346680182463253</v>
      </c>
      <c r="P63" s="42">
        <f t="shared" si="66"/>
        <v>39.981348200709576</v>
      </c>
      <c r="Q63" s="42">
        <f t="shared" si="66"/>
        <v>43.616016218955906</v>
      </c>
      <c r="R63" s="42">
        <f t="shared" si="66"/>
        <v>46.039128231120124</v>
      </c>
      <c r="S63" s="42">
        <f t="shared" si="66"/>
        <v>47.250684237202222</v>
      </c>
      <c r="T63" s="42">
        <f t="shared" si="66"/>
        <v>48.462240243284334</v>
      </c>
      <c r="U63" s="42">
        <f t="shared" si="66"/>
        <v>96.924480486568669</v>
      </c>
      <c r="V63" s="42">
        <f t="shared" si="66"/>
        <v>193.84896097313734</v>
      </c>
      <c r="W63" s="42">
        <f t="shared" si="66"/>
        <v>387.69792194627468</v>
      </c>
      <c r="X63" s="42">
        <f t="shared" si="66"/>
        <v>775.39584389254935</v>
      </c>
      <c r="Y63" s="42">
        <f t="shared" si="66"/>
        <v>1550.7916877850987</v>
      </c>
      <c r="Z63" s="42">
        <f t="shared" si="66"/>
        <v>3101.5833755701974</v>
      </c>
      <c r="AA63" s="42">
        <f t="shared" si="66"/>
        <v>6203.1667511403948</v>
      </c>
      <c r="AB63" s="42">
        <f t="shared" si="66"/>
        <v>12406.33350228079</v>
      </c>
      <c r="AC63" s="42">
        <f t="shared" si="66"/>
        <v>24812.667004561579</v>
      </c>
      <c r="AD63" s="83">
        <f t="shared" si="66"/>
        <v>49625.334009123158</v>
      </c>
      <c r="AE63" s="42">
        <f t="shared" si="66"/>
        <v>99250.668018246317</v>
      </c>
      <c r="AF63" s="83">
        <f t="shared" si="66"/>
        <v>155285.13329954384</v>
      </c>
      <c r="AG63" s="57"/>
    </row>
    <row r="64" spans="1:33" x14ac:dyDescent="0.25">
      <c r="A64" s="53" t="s">
        <v>16</v>
      </c>
      <c r="B64" s="18">
        <f>'ABS Population by Age Range'!D73</f>
        <v>0.12142789925761971</v>
      </c>
      <c r="C64" s="22">
        <f t="shared" si="62"/>
        <v>3112682.7695698235</v>
      </c>
      <c r="D64" s="35">
        <f>'AU Infection Rate by Age'!C7</f>
        <v>0.15475587092414259</v>
      </c>
      <c r="E64" s="29"/>
      <c r="F64" s="22"/>
      <c r="G64" s="32">
        <f t="shared" ref="G64:AF64" si="67">G$26*$D$64</f>
        <v>4.8361209663794558</v>
      </c>
      <c r="H64" s="33">
        <f t="shared" si="67"/>
        <v>9.6722419327589115</v>
      </c>
      <c r="I64" s="33">
        <f t="shared" si="67"/>
        <v>19.344483865517823</v>
      </c>
      <c r="J64" s="33">
        <f t="shared" si="67"/>
        <v>38.688967731035646</v>
      </c>
      <c r="K64" s="33">
        <f t="shared" si="67"/>
        <v>77.377935462071292</v>
      </c>
      <c r="L64" s="33">
        <f t="shared" si="67"/>
        <v>154.75587092414258</v>
      </c>
      <c r="M64" s="33">
        <f t="shared" si="67"/>
        <v>309.51174184828517</v>
      </c>
      <c r="N64" s="33">
        <f t="shared" si="67"/>
        <v>619.02348369657034</v>
      </c>
      <c r="O64" s="33">
        <f t="shared" si="67"/>
        <v>928.53522554485551</v>
      </c>
      <c r="P64" s="33">
        <f t="shared" si="67"/>
        <v>1021.3887480993411</v>
      </c>
      <c r="Q64" s="33">
        <f t="shared" si="67"/>
        <v>1114.2422706538266</v>
      </c>
      <c r="R64" s="33">
        <f t="shared" si="67"/>
        <v>1176.1446190234838</v>
      </c>
      <c r="S64" s="33">
        <f t="shared" si="67"/>
        <v>1207.0957932083122</v>
      </c>
      <c r="T64" s="33">
        <f t="shared" si="67"/>
        <v>1238.0469673931407</v>
      </c>
      <c r="U64" s="33">
        <f t="shared" si="67"/>
        <v>2476.0939347862814</v>
      </c>
      <c r="V64" s="33">
        <f t="shared" si="67"/>
        <v>4952.1878695725627</v>
      </c>
      <c r="W64" s="33">
        <f t="shared" si="67"/>
        <v>9904.3757391451254</v>
      </c>
      <c r="X64" s="33">
        <f t="shared" si="67"/>
        <v>19808.751478290251</v>
      </c>
      <c r="Y64" s="33">
        <f t="shared" si="67"/>
        <v>39617.502956580502</v>
      </c>
      <c r="Z64" s="33">
        <f t="shared" si="67"/>
        <v>79235.005913161003</v>
      </c>
      <c r="AA64" s="33">
        <f t="shared" si="67"/>
        <v>158470.01182632201</v>
      </c>
      <c r="AB64" s="33">
        <f t="shared" si="67"/>
        <v>316940.02365264401</v>
      </c>
      <c r="AC64" s="33">
        <f t="shared" si="67"/>
        <v>633880.04730528803</v>
      </c>
      <c r="AD64" s="84">
        <f t="shared" si="67"/>
        <v>1267760.0946105761</v>
      </c>
      <c r="AE64" s="33">
        <f t="shared" si="67"/>
        <v>2535520.1892211521</v>
      </c>
      <c r="AF64" s="84">
        <f t="shared" si="67"/>
        <v>3967011.9952694708</v>
      </c>
      <c r="AG64" s="57"/>
    </row>
    <row r="65" spans="1:33" x14ac:dyDescent="0.25">
      <c r="A65" s="53"/>
      <c r="B65" s="18"/>
      <c r="C65" s="22"/>
      <c r="D65" s="20"/>
      <c r="E65" s="39">
        <v>1.2999999999999999E-2</v>
      </c>
      <c r="F65" s="22"/>
      <c r="G65" s="41">
        <f t="shared" ref="G65:AF65" si="68">G$26*$D$64*$E$65</f>
        <v>6.2869572562932921E-2</v>
      </c>
      <c r="H65" s="42">
        <f t="shared" si="68"/>
        <v>0.12573914512586584</v>
      </c>
      <c r="I65" s="42">
        <f t="shared" si="68"/>
        <v>0.25147829025173168</v>
      </c>
      <c r="J65" s="42">
        <f t="shared" si="68"/>
        <v>0.50295658050346337</v>
      </c>
      <c r="K65" s="42">
        <f t="shared" si="68"/>
        <v>1.0059131610069267</v>
      </c>
      <c r="L65" s="42">
        <f t="shared" si="68"/>
        <v>2.0118263220138535</v>
      </c>
      <c r="M65" s="42">
        <f t="shared" si="68"/>
        <v>4.0236526440277069</v>
      </c>
      <c r="N65" s="42">
        <f t="shared" si="68"/>
        <v>8.0473052880554139</v>
      </c>
      <c r="O65" s="42">
        <f t="shared" si="68"/>
        <v>12.070957932083122</v>
      </c>
      <c r="P65" s="42">
        <f t="shared" si="68"/>
        <v>13.278053725291434</v>
      </c>
      <c r="Q65" s="42">
        <f t="shared" si="68"/>
        <v>14.485149518499746</v>
      </c>
      <c r="R65" s="42">
        <f t="shared" si="68"/>
        <v>15.289880047305289</v>
      </c>
      <c r="S65" s="42">
        <f t="shared" si="68"/>
        <v>15.692245311708058</v>
      </c>
      <c r="T65" s="42">
        <f t="shared" si="68"/>
        <v>16.094610576110828</v>
      </c>
      <c r="U65" s="42">
        <f t="shared" si="68"/>
        <v>32.189221152221656</v>
      </c>
      <c r="V65" s="42">
        <f t="shared" si="68"/>
        <v>64.378442304443311</v>
      </c>
      <c r="W65" s="42">
        <f t="shared" si="68"/>
        <v>128.75688460888662</v>
      </c>
      <c r="X65" s="42">
        <f t="shared" si="68"/>
        <v>257.51376921777324</v>
      </c>
      <c r="Y65" s="42">
        <f t="shared" si="68"/>
        <v>515.02753843554649</v>
      </c>
      <c r="Z65" s="42">
        <f t="shared" si="68"/>
        <v>1030.055076871093</v>
      </c>
      <c r="AA65" s="42">
        <f t="shared" si="68"/>
        <v>2060.110153742186</v>
      </c>
      <c r="AB65" s="42">
        <f t="shared" si="68"/>
        <v>4120.2203074843719</v>
      </c>
      <c r="AC65" s="42">
        <f t="shared" si="68"/>
        <v>8240.4406149687438</v>
      </c>
      <c r="AD65" s="83">
        <f t="shared" si="68"/>
        <v>16480.881229937488</v>
      </c>
      <c r="AE65" s="42">
        <f t="shared" si="68"/>
        <v>32961.762459874975</v>
      </c>
      <c r="AF65" s="83">
        <f t="shared" si="68"/>
        <v>51571.155938503121</v>
      </c>
      <c r="AG65" s="57"/>
    </row>
    <row r="66" spans="1:33" x14ac:dyDescent="0.25">
      <c r="A66" s="53" t="s">
        <v>17</v>
      </c>
      <c r="B66" s="18">
        <f>'ABS Population by Age Range'!D61</f>
        <v>0.12908272398046944</v>
      </c>
      <c r="C66" s="22">
        <f t="shared" si="62"/>
        <v>3308906.5465153535</v>
      </c>
      <c r="D66" s="35">
        <f>'AU Infection Rate by Age'!C8</f>
        <v>0.12890690995100523</v>
      </c>
      <c r="E66" s="29"/>
      <c r="F66" s="22"/>
      <c r="G66" s="32">
        <f t="shared" ref="G66:AF66" si="69">G$26*$D$66</f>
        <v>4.028340935968914</v>
      </c>
      <c r="H66" s="33">
        <f t="shared" si="69"/>
        <v>8.0566818719378279</v>
      </c>
      <c r="I66" s="33">
        <f t="shared" si="69"/>
        <v>16.113363743875656</v>
      </c>
      <c r="J66" s="33">
        <f t="shared" si="69"/>
        <v>32.226727487751312</v>
      </c>
      <c r="K66" s="33">
        <f t="shared" si="69"/>
        <v>64.453454975502623</v>
      </c>
      <c r="L66" s="33">
        <f t="shared" si="69"/>
        <v>128.90690995100525</v>
      </c>
      <c r="M66" s="33">
        <f t="shared" si="69"/>
        <v>257.81381990201049</v>
      </c>
      <c r="N66" s="33">
        <f t="shared" si="69"/>
        <v>515.62763980402099</v>
      </c>
      <c r="O66" s="33">
        <f t="shared" si="69"/>
        <v>773.44145970603142</v>
      </c>
      <c r="P66" s="33">
        <f t="shared" si="69"/>
        <v>850.78560567663453</v>
      </c>
      <c r="Q66" s="33">
        <f t="shared" si="69"/>
        <v>928.12975164723764</v>
      </c>
      <c r="R66" s="33">
        <f t="shared" si="69"/>
        <v>979.69251562763975</v>
      </c>
      <c r="S66" s="33">
        <f t="shared" si="69"/>
        <v>1005.4738976178409</v>
      </c>
      <c r="T66" s="33">
        <f t="shared" si="69"/>
        <v>1031.255279608042</v>
      </c>
      <c r="U66" s="33">
        <f t="shared" si="69"/>
        <v>2062.5105592160839</v>
      </c>
      <c r="V66" s="33">
        <f t="shared" si="69"/>
        <v>4125.0211184321679</v>
      </c>
      <c r="W66" s="33">
        <f t="shared" si="69"/>
        <v>8250.0422368643358</v>
      </c>
      <c r="X66" s="33">
        <f t="shared" si="69"/>
        <v>16500.084473728672</v>
      </c>
      <c r="Y66" s="33">
        <f t="shared" si="69"/>
        <v>33000.168947457343</v>
      </c>
      <c r="Z66" s="33">
        <f t="shared" si="69"/>
        <v>66000.337894914686</v>
      </c>
      <c r="AA66" s="33">
        <f t="shared" si="69"/>
        <v>132000.67578982937</v>
      </c>
      <c r="AB66" s="33">
        <f t="shared" si="69"/>
        <v>264001.35157965875</v>
      </c>
      <c r="AC66" s="33">
        <f t="shared" si="69"/>
        <v>528002.70315931749</v>
      </c>
      <c r="AD66" s="84">
        <f t="shared" si="69"/>
        <v>1056005.406318635</v>
      </c>
      <c r="AE66" s="33">
        <f t="shared" si="69"/>
        <v>2112010.81263727</v>
      </c>
      <c r="AF66" s="84">
        <f t="shared" si="69"/>
        <v>3304399.7296840684</v>
      </c>
      <c r="AG66" s="57"/>
    </row>
    <row r="67" spans="1:33" x14ac:dyDescent="0.25">
      <c r="A67" s="53"/>
      <c r="B67" s="18"/>
      <c r="C67" s="22"/>
      <c r="D67" s="20"/>
      <c r="E67" s="39">
        <v>4.0000000000000001E-3</v>
      </c>
      <c r="F67" s="22"/>
      <c r="G67" s="41">
        <f t="shared" ref="G67:AF67" si="70">G$26*$D$66*$E$67</f>
        <v>1.6113363743875658E-2</v>
      </c>
      <c r="H67" s="42">
        <f t="shared" si="70"/>
        <v>3.2226727487751315E-2</v>
      </c>
      <c r="I67" s="42">
        <f t="shared" si="70"/>
        <v>6.445345497550263E-2</v>
      </c>
      <c r="J67" s="42">
        <f t="shared" si="70"/>
        <v>0.12890690995100526</v>
      </c>
      <c r="K67" s="42">
        <f t="shared" si="70"/>
        <v>0.25781381990201052</v>
      </c>
      <c r="L67" s="42">
        <f t="shared" si="70"/>
        <v>0.51562763980402104</v>
      </c>
      <c r="M67" s="42">
        <f t="shared" si="70"/>
        <v>1.0312552796080421</v>
      </c>
      <c r="N67" s="42">
        <f t="shared" si="70"/>
        <v>2.0625105592160842</v>
      </c>
      <c r="O67" s="42">
        <f t="shared" si="70"/>
        <v>3.0937658388241256</v>
      </c>
      <c r="P67" s="42">
        <f t="shared" si="70"/>
        <v>3.4031424227065381</v>
      </c>
      <c r="Q67" s="42">
        <f t="shared" si="70"/>
        <v>3.7125190065889506</v>
      </c>
      <c r="R67" s="42">
        <f t="shared" si="70"/>
        <v>3.9187700625105593</v>
      </c>
      <c r="S67" s="42">
        <f t="shared" si="70"/>
        <v>4.0218955904713631</v>
      </c>
      <c r="T67" s="42">
        <f t="shared" si="70"/>
        <v>4.1250211184321683</v>
      </c>
      <c r="U67" s="42">
        <f t="shared" si="70"/>
        <v>8.2500422368643367</v>
      </c>
      <c r="V67" s="42">
        <f t="shared" si="70"/>
        <v>16.500084473728673</v>
      </c>
      <c r="W67" s="42">
        <f t="shared" si="70"/>
        <v>33.000168947457347</v>
      </c>
      <c r="X67" s="42">
        <f t="shared" si="70"/>
        <v>66.000337894914693</v>
      </c>
      <c r="Y67" s="42">
        <f t="shared" si="70"/>
        <v>132.00067578982939</v>
      </c>
      <c r="Z67" s="42">
        <f t="shared" si="70"/>
        <v>264.00135157965877</v>
      </c>
      <c r="AA67" s="42">
        <f t="shared" si="70"/>
        <v>528.00270315931755</v>
      </c>
      <c r="AB67" s="42">
        <f t="shared" si="70"/>
        <v>1056.0054063186351</v>
      </c>
      <c r="AC67" s="42">
        <f t="shared" si="70"/>
        <v>2112.0108126372702</v>
      </c>
      <c r="AD67" s="83">
        <f t="shared" si="70"/>
        <v>4224.0216252745404</v>
      </c>
      <c r="AE67" s="42">
        <f t="shared" si="70"/>
        <v>8448.0432505490808</v>
      </c>
      <c r="AF67" s="83">
        <f t="shared" si="70"/>
        <v>13217.598918736274</v>
      </c>
      <c r="AG67" s="57"/>
    </row>
    <row r="68" spans="1:33" x14ac:dyDescent="0.25">
      <c r="A68" s="53" t="s">
        <v>18</v>
      </c>
      <c r="B68" s="18">
        <f>'ABS Population by Age Range'!D49</f>
        <v>0.14481341657950456</v>
      </c>
      <c r="C68" s="22">
        <f t="shared" si="62"/>
        <v>3712147.1205990198</v>
      </c>
      <c r="D68" s="35">
        <f>'AU Infection Rate by Age'!C9</f>
        <v>0.15813482007095794</v>
      </c>
      <c r="E68" s="29"/>
      <c r="F68" s="22"/>
      <c r="G68" s="32">
        <f t="shared" ref="G68:AF68" si="71">G$26*$D$68</f>
        <v>4.9417131272174357</v>
      </c>
      <c r="H68" s="33">
        <f t="shared" si="71"/>
        <v>9.8834262544348714</v>
      </c>
      <c r="I68" s="33">
        <f t="shared" si="71"/>
        <v>19.766852508869743</v>
      </c>
      <c r="J68" s="33">
        <f t="shared" si="71"/>
        <v>39.533705017739486</v>
      </c>
      <c r="K68" s="33">
        <f t="shared" si="71"/>
        <v>79.067410035478972</v>
      </c>
      <c r="L68" s="33">
        <f t="shared" si="71"/>
        <v>158.13482007095794</v>
      </c>
      <c r="M68" s="33">
        <f t="shared" si="71"/>
        <v>316.26964014191589</v>
      </c>
      <c r="N68" s="33">
        <f t="shared" si="71"/>
        <v>632.53928028383177</v>
      </c>
      <c r="O68" s="33">
        <f t="shared" si="71"/>
        <v>948.80892042574771</v>
      </c>
      <c r="P68" s="33">
        <f t="shared" si="71"/>
        <v>1043.6898124683223</v>
      </c>
      <c r="Q68" s="33">
        <f t="shared" si="71"/>
        <v>1138.5707045108973</v>
      </c>
      <c r="R68" s="33">
        <f t="shared" si="71"/>
        <v>1201.8246325392804</v>
      </c>
      <c r="S68" s="33">
        <f t="shared" si="71"/>
        <v>1233.451596553472</v>
      </c>
      <c r="T68" s="33">
        <f t="shared" si="71"/>
        <v>1265.0785605676635</v>
      </c>
      <c r="U68" s="33">
        <f t="shared" si="71"/>
        <v>2530.1571211353271</v>
      </c>
      <c r="V68" s="33">
        <f t="shared" si="71"/>
        <v>5060.3142422706542</v>
      </c>
      <c r="W68" s="33">
        <f t="shared" si="71"/>
        <v>10120.628484541308</v>
      </c>
      <c r="X68" s="33">
        <f t="shared" si="71"/>
        <v>20241.256969082617</v>
      </c>
      <c r="Y68" s="33">
        <f t="shared" si="71"/>
        <v>40482.513938165233</v>
      </c>
      <c r="Z68" s="33">
        <f t="shared" si="71"/>
        <v>80965.027876330467</v>
      </c>
      <c r="AA68" s="33">
        <f t="shared" si="71"/>
        <v>161930.05575266093</v>
      </c>
      <c r="AB68" s="33">
        <f t="shared" si="71"/>
        <v>323860.11150532187</v>
      </c>
      <c r="AC68" s="33">
        <f t="shared" si="71"/>
        <v>647720.22301064373</v>
      </c>
      <c r="AD68" s="84">
        <f t="shared" si="71"/>
        <v>1295440.4460212875</v>
      </c>
      <c r="AE68" s="33">
        <f t="shared" si="71"/>
        <v>2590880.8920425749</v>
      </c>
      <c r="AF68" s="84">
        <f t="shared" si="71"/>
        <v>4053627.9776989361</v>
      </c>
      <c r="AG68" s="57"/>
    </row>
    <row r="69" spans="1:33" x14ac:dyDescent="0.25">
      <c r="A69" s="53"/>
      <c r="B69" s="18"/>
      <c r="C69" s="22"/>
      <c r="D69" s="20"/>
      <c r="E69" s="39">
        <v>2E-3</v>
      </c>
      <c r="F69" s="22"/>
      <c r="G69" s="41">
        <f t="shared" ref="G69:AF69" si="72">G$26*$D$68*$E$69</f>
        <v>9.8834262544348715E-3</v>
      </c>
      <c r="H69" s="42">
        <f t="shared" si="72"/>
        <v>1.9766852508869743E-2</v>
      </c>
      <c r="I69" s="42">
        <f t="shared" si="72"/>
        <v>3.9533705017739486E-2</v>
      </c>
      <c r="J69" s="42">
        <f t="shared" si="72"/>
        <v>7.9067410035478972E-2</v>
      </c>
      <c r="K69" s="42">
        <f t="shared" si="72"/>
        <v>0.15813482007095794</v>
      </c>
      <c r="L69" s="42">
        <f t="shared" si="72"/>
        <v>0.31626964014191589</v>
      </c>
      <c r="M69" s="42">
        <f t="shared" si="72"/>
        <v>0.63253928028383177</v>
      </c>
      <c r="N69" s="42">
        <f t="shared" si="72"/>
        <v>1.2650785605676635</v>
      </c>
      <c r="O69" s="42">
        <f t="shared" si="72"/>
        <v>1.8976178408514954</v>
      </c>
      <c r="P69" s="42">
        <f t="shared" si="72"/>
        <v>2.0873796249366445</v>
      </c>
      <c r="Q69" s="42">
        <f t="shared" si="72"/>
        <v>2.2771414090217945</v>
      </c>
      <c r="R69" s="42">
        <f t="shared" si="72"/>
        <v>2.403649265078561</v>
      </c>
      <c r="S69" s="42">
        <f t="shared" si="72"/>
        <v>2.4669031931069441</v>
      </c>
      <c r="T69" s="42">
        <f t="shared" si="72"/>
        <v>2.5301571211353271</v>
      </c>
      <c r="U69" s="42">
        <f t="shared" si="72"/>
        <v>5.0603142422706542</v>
      </c>
      <c r="V69" s="42">
        <f t="shared" si="72"/>
        <v>10.120628484541308</v>
      </c>
      <c r="W69" s="42">
        <f t="shared" si="72"/>
        <v>20.241256969082617</v>
      </c>
      <c r="X69" s="42">
        <f t="shared" si="72"/>
        <v>40.482513938165233</v>
      </c>
      <c r="Y69" s="42">
        <f t="shared" si="72"/>
        <v>80.965027876330467</v>
      </c>
      <c r="Z69" s="42">
        <f t="shared" si="72"/>
        <v>161.93005575266093</v>
      </c>
      <c r="AA69" s="42">
        <f t="shared" si="72"/>
        <v>323.86011150532187</v>
      </c>
      <c r="AB69" s="42">
        <f t="shared" si="72"/>
        <v>647.72022301064374</v>
      </c>
      <c r="AC69" s="42">
        <f t="shared" si="72"/>
        <v>1295.4404460212875</v>
      </c>
      <c r="AD69" s="83">
        <f t="shared" si="72"/>
        <v>2590.8808920425749</v>
      </c>
      <c r="AE69" s="42">
        <f t="shared" si="72"/>
        <v>5181.7617840851499</v>
      </c>
      <c r="AF69" s="83">
        <f t="shared" si="72"/>
        <v>8107.2559553978726</v>
      </c>
      <c r="AG69" s="57"/>
    </row>
    <row r="70" spans="1:33" x14ac:dyDescent="0.25">
      <c r="A70" s="53" t="s">
        <v>19</v>
      </c>
      <c r="B70" s="18">
        <f>'ABS Population by Age Range'!D37</f>
        <v>0.14458334093878666</v>
      </c>
      <c r="C70" s="22">
        <f t="shared" si="62"/>
        <v>3706249.3616248574</v>
      </c>
      <c r="D70" s="35">
        <f>'AU Infection Rate by Age'!C10</f>
        <v>0.21608379793884103</v>
      </c>
      <c r="E70" s="29"/>
      <c r="F70" s="22"/>
      <c r="G70" s="32">
        <f t="shared" ref="G70:AF70" si="73">G$26*$D$70</f>
        <v>6.7526186855887822</v>
      </c>
      <c r="H70" s="33">
        <f t="shared" si="73"/>
        <v>13.505237371177564</v>
      </c>
      <c r="I70" s="33">
        <f t="shared" si="73"/>
        <v>27.010474742355129</v>
      </c>
      <c r="J70" s="33">
        <f t="shared" si="73"/>
        <v>54.020949484710258</v>
      </c>
      <c r="K70" s="33">
        <f t="shared" si="73"/>
        <v>108.04189896942052</v>
      </c>
      <c r="L70" s="33">
        <f t="shared" si="73"/>
        <v>216.08379793884103</v>
      </c>
      <c r="M70" s="33">
        <f t="shared" si="73"/>
        <v>432.16759587768206</v>
      </c>
      <c r="N70" s="33">
        <f t="shared" si="73"/>
        <v>864.33519175536412</v>
      </c>
      <c r="O70" s="33">
        <f t="shared" si="73"/>
        <v>1296.5027876330462</v>
      </c>
      <c r="P70" s="33">
        <f t="shared" si="73"/>
        <v>1426.1530663963508</v>
      </c>
      <c r="Q70" s="33">
        <f t="shared" si="73"/>
        <v>1555.8033451596555</v>
      </c>
      <c r="R70" s="33">
        <f t="shared" si="73"/>
        <v>1642.2368643351917</v>
      </c>
      <c r="S70" s="33">
        <f t="shared" si="73"/>
        <v>1685.4536239229601</v>
      </c>
      <c r="T70" s="33">
        <f t="shared" si="73"/>
        <v>1728.6703835107282</v>
      </c>
      <c r="U70" s="33">
        <f t="shared" si="73"/>
        <v>3457.3407670214565</v>
      </c>
      <c r="V70" s="33">
        <f t="shared" si="73"/>
        <v>6914.681534042913</v>
      </c>
      <c r="W70" s="33">
        <f t="shared" si="73"/>
        <v>13829.363068085826</v>
      </c>
      <c r="X70" s="33">
        <f t="shared" si="73"/>
        <v>27658.726136171652</v>
      </c>
      <c r="Y70" s="33">
        <f t="shared" si="73"/>
        <v>55317.452272343304</v>
      </c>
      <c r="Z70" s="33">
        <f t="shared" si="73"/>
        <v>110634.90454468661</v>
      </c>
      <c r="AA70" s="33">
        <f t="shared" si="73"/>
        <v>221269.80908937322</v>
      </c>
      <c r="AB70" s="33">
        <f t="shared" si="73"/>
        <v>442539.61817874643</v>
      </c>
      <c r="AC70" s="33">
        <f t="shared" si="73"/>
        <v>885079.23635749286</v>
      </c>
      <c r="AD70" s="84">
        <f t="shared" si="73"/>
        <v>1770158.4727149857</v>
      </c>
      <c r="AE70" s="33">
        <f t="shared" si="73"/>
        <v>3540316.9454299714</v>
      </c>
      <c r="AF70" s="84">
        <f t="shared" si="73"/>
        <v>5539092.0763642509</v>
      </c>
      <c r="AG70" s="57"/>
    </row>
    <row r="71" spans="1:33" x14ac:dyDescent="0.25">
      <c r="A71" s="53"/>
      <c r="B71" s="18"/>
      <c r="C71" s="22"/>
      <c r="D71" s="20"/>
      <c r="E71" s="39">
        <v>2E-3</v>
      </c>
      <c r="F71" s="22"/>
      <c r="G71" s="41">
        <f t="shared" ref="G71:AF71" si="74">G$26*$D$70*$E$71</f>
        <v>1.3505237371177564E-2</v>
      </c>
      <c r="H71" s="42">
        <f t="shared" si="74"/>
        <v>2.7010474742355128E-2</v>
      </c>
      <c r="I71" s="42">
        <f t="shared" si="74"/>
        <v>5.4020949484710257E-2</v>
      </c>
      <c r="J71" s="42">
        <f t="shared" si="74"/>
        <v>0.10804189896942051</v>
      </c>
      <c r="K71" s="42">
        <f t="shared" si="74"/>
        <v>0.21608379793884103</v>
      </c>
      <c r="L71" s="42">
        <f t="shared" si="74"/>
        <v>0.43216759587768205</v>
      </c>
      <c r="M71" s="42">
        <f t="shared" si="74"/>
        <v>0.86433519175536411</v>
      </c>
      <c r="N71" s="42">
        <f t="shared" si="74"/>
        <v>1.7286703835107282</v>
      </c>
      <c r="O71" s="42">
        <f t="shared" si="74"/>
        <v>2.5930055752660923</v>
      </c>
      <c r="P71" s="42">
        <f t="shared" si="74"/>
        <v>2.8523061327927017</v>
      </c>
      <c r="Q71" s="42">
        <f t="shared" si="74"/>
        <v>3.1116066903193111</v>
      </c>
      <c r="R71" s="42">
        <f t="shared" si="74"/>
        <v>3.2844737286703833</v>
      </c>
      <c r="S71" s="42">
        <f t="shared" si="74"/>
        <v>3.3709072478459201</v>
      </c>
      <c r="T71" s="42">
        <f t="shared" si="74"/>
        <v>3.4573407670214564</v>
      </c>
      <c r="U71" s="42">
        <f t="shared" si="74"/>
        <v>6.9146815340429129</v>
      </c>
      <c r="V71" s="42">
        <f t="shared" si="74"/>
        <v>13.829363068085826</v>
      </c>
      <c r="W71" s="42">
        <f t="shared" si="74"/>
        <v>27.658726136171651</v>
      </c>
      <c r="X71" s="42">
        <f t="shared" si="74"/>
        <v>55.317452272343303</v>
      </c>
      <c r="Y71" s="42">
        <f t="shared" si="74"/>
        <v>110.63490454468661</v>
      </c>
      <c r="Z71" s="42">
        <f t="shared" si="74"/>
        <v>221.26980908937321</v>
      </c>
      <c r="AA71" s="42">
        <f t="shared" si="74"/>
        <v>442.53961817874642</v>
      </c>
      <c r="AB71" s="42">
        <f t="shared" si="74"/>
        <v>885.07923635749285</v>
      </c>
      <c r="AC71" s="42">
        <f t="shared" si="74"/>
        <v>1770.1584727149857</v>
      </c>
      <c r="AD71" s="83">
        <f t="shared" si="74"/>
        <v>3540.3169454299714</v>
      </c>
      <c r="AE71" s="42">
        <f t="shared" si="74"/>
        <v>7080.6338908599428</v>
      </c>
      <c r="AF71" s="83">
        <f t="shared" si="74"/>
        <v>11078.184152728501</v>
      </c>
      <c r="AG71" s="57"/>
    </row>
    <row r="72" spans="1:33" x14ac:dyDescent="0.25">
      <c r="A72" s="54" t="s">
        <v>20</v>
      </c>
      <c r="B72" s="18">
        <f>'ABS Population by Age Range'!D25</f>
        <v>0.12056476079328157</v>
      </c>
      <c r="C72" s="22">
        <f t="shared" si="62"/>
        <v>3090557.0781749799</v>
      </c>
      <c r="D72" s="35">
        <f>'AU Infection Rate by Age'!C11</f>
        <v>2.8890015205271159E-2</v>
      </c>
      <c r="E72" s="29"/>
      <c r="F72" s="22"/>
      <c r="G72" s="32">
        <f t="shared" ref="G72:AF72" si="75">G$26*$D$72</f>
        <v>0.9028129751647237</v>
      </c>
      <c r="H72" s="33">
        <f t="shared" si="75"/>
        <v>1.8056259503294474</v>
      </c>
      <c r="I72" s="33">
        <f t="shared" si="75"/>
        <v>3.6112519006588948</v>
      </c>
      <c r="J72" s="33">
        <f t="shared" si="75"/>
        <v>7.2225038013177896</v>
      </c>
      <c r="K72" s="33">
        <f t="shared" si="75"/>
        <v>14.445007602635579</v>
      </c>
      <c r="L72" s="33">
        <f t="shared" si="75"/>
        <v>28.890015205271158</v>
      </c>
      <c r="M72" s="33">
        <f t="shared" si="75"/>
        <v>57.780030410542317</v>
      </c>
      <c r="N72" s="33">
        <f t="shared" si="75"/>
        <v>115.56006082108463</v>
      </c>
      <c r="O72" s="33">
        <f t="shared" si="75"/>
        <v>173.34009123162696</v>
      </c>
      <c r="P72" s="33">
        <f t="shared" si="75"/>
        <v>190.67410035478966</v>
      </c>
      <c r="Q72" s="33">
        <f t="shared" si="75"/>
        <v>208.00810947795236</v>
      </c>
      <c r="R72" s="33">
        <f t="shared" si="75"/>
        <v>219.5641155600608</v>
      </c>
      <c r="S72" s="33">
        <f t="shared" si="75"/>
        <v>225.34211860111503</v>
      </c>
      <c r="T72" s="33">
        <f t="shared" si="75"/>
        <v>231.12012164216927</v>
      </c>
      <c r="U72" s="33">
        <f t="shared" si="75"/>
        <v>462.24024328433853</v>
      </c>
      <c r="V72" s="33">
        <f t="shared" si="75"/>
        <v>924.48048656867707</v>
      </c>
      <c r="W72" s="33">
        <f t="shared" si="75"/>
        <v>1848.9609731373541</v>
      </c>
      <c r="X72" s="33">
        <f t="shared" si="75"/>
        <v>3697.9219462747083</v>
      </c>
      <c r="Y72" s="33">
        <f t="shared" si="75"/>
        <v>7395.8438925494165</v>
      </c>
      <c r="Z72" s="33">
        <f t="shared" si="75"/>
        <v>14791.687785098833</v>
      </c>
      <c r="AA72" s="33">
        <f t="shared" si="75"/>
        <v>29583.375570197666</v>
      </c>
      <c r="AB72" s="33">
        <f t="shared" si="75"/>
        <v>59166.751140395332</v>
      </c>
      <c r="AC72" s="33">
        <f t="shared" si="75"/>
        <v>118333.50228079066</v>
      </c>
      <c r="AD72" s="84">
        <f t="shared" si="75"/>
        <v>236667.00456158133</v>
      </c>
      <c r="AE72" s="33">
        <f t="shared" si="75"/>
        <v>473334.00912316266</v>
      </c>
      <c r="AF72" s="84">
        <f t="shared" si="75"/>
        <v>740566.64977192087</v>
      </c>
      <c r="AG72" s="57"/>
    </row>
    <row r="73" spans="1:33" x14ac:dyDescent="0.25">
      <c r="A73" s="54"/>
      <c r="B73" s="18"/>
      <c r="C73" s="22"/>
      <c r="D73" s="20"/>
      <c r="E73" s="39">
        <v>2E-3</v>
      </c>
      <c r="F73" s="22"/>
      <c r="G73" s="41">
        <f t="shared" ref="G73:AF73" si="76">G$26*$D$72*$E$73</f>
        <v>1.8056259503294475E-3</v>
      </c>
      <c r="H73" s="42">
        <f t="shared" si="76"/>
        <v>3.6112519006588949E-3</v>
      </c>
      <c r="I73" s="42">
        <f t="shared" si="76"/>
        <v>7.2225038013177898E-3</v>
      </c>
      <c r="J73" s="42">
        <f t="shared" si="76"/>
        <v>1.444500760263558E-2</v>
      </c>
      <c r="K73" s="42">
        <f t="shared" si="76"/>
        <v>2.8890015205271159E-2</v>
      </c>
      <c r="L73" s="42">
        <f t="shared" si="76"/>
        <v>5.7780030410542318E-2</v>
      </c>
      <c r="M73" s="42">
        <f t="shared" si="76"/>
        <v>0.11556006082108464</v>
      </c>
      <c r="N73" s="42">
        <f t="shared" si="76"/>
        <v>0.23112012164216927</v>
      </c>
      <c r="O73" s="42">
        <f t="shared" si="76"/>
        <v>0.34668018246325394</v>
      </c>
      <c r="P73" s="42">
        <f t="shared" si="76"/>
        <v>0.38134820070957931</v>
      </c>
      <c r="Q73" s="42">
        <f t="shared" si="76"/>
        <v>0.41601621895590474</v>
      </c>
      <c r="R73" s="42">
        <f t="shared" si="76"/>
        <v>0.43912823112012161</v>
      </c>
      <c r="S73" s="42">
        <f t="shared" si="76"/>
        <v>0.45068423720223005</v>
      </c>
      <c r="T73" s="42">
        <f t="shared" si="76"/>
        <v>0.46224024328433855</v>
      </c>
      <c r="U73" s="42">
        <f t="shared" si="76"/>
        <v>0.9244804865686771</v>
      </c>
      <c r="V73" s="42">
        <f t="shared" si="76"/>
        <v>1.8489609731373542</v>
      </c>
      <c r="W73" s="42">
        <f t="shared" si="76"/>
        <v>3.6979219462747084</v>
      </c>
      <c r="X73" s="42">
        <f t="shared" si="76"/>
        <v>7.3958438925494168</v>
      </c>
      <c r="Y73" s="42">
        <f t="shared" si="76"/>
        <v>14.791687785098834</v>
      </c>
      <c r="Z73" s="42">
        <f t="shared" si="76"/>
        <v>29.583375570197667</v>
      </c>
      <c r="AA73" s="42">
        <f t="shared" si="76"/>
        <v>59.166751140395334</v>
      </c>
      <c r="AB73" s="42">
        <f t="shared" si="76"/>
        <v>118.33350228079067</v>
      </c>
      <c r="AC73" s="42">
        <f t="shared" si="76"/>
        <v>236.66700456158134</v>
      </c>
      <c r="AD73" s="83">
        <f t="shared" si="76"/>
        <v>473.33400912316267</v>
      </c>
      <c r="AE73" s="42">
        <f t="shared" si="76"/>
        <v>946.66801824632535</v>
      </c>
      <c r="AF73" s="83">
        <f t="shared" si="76"/>
        <v>1481.1332995438418</v>
      </c>
      <c r="AG73" s="57"/>
    </row>
    <row r="74" spans="1:33" x14ac:dyDescent="0.25">
      <c r="A74" s="54" t="s">
        <v>21</v>
      </c>
      <c r="B74" s="18">
        <f>'ABS Population by Age Range'!D13</f>
        <v>0.1255958322404806</v>
      </c>
      <c r="C74" s="22">
        <f t="shared" si="62"/>
        <v>3219523.5636524796</v>
      </c>
      <c r="D74" s="35">
        <f>'AU Infection Rate by Age'!C12</f>
        <v>9.967899983105254E-3</v>
      </c>
      <c r="E74" s="29"/>
      <c r="F74" s="22"/>
      <c r="G74" s="32">
        <f t="shared" ref="G74:AF74" si="77">G$26*$D$74</f>
        <v>0.31149687447203916</v>
      </c>
      <c r="H74" s="33">
        <f t="shared" si="77"/>
        <v>0.62299374894407833</v>
      </c>
      <c r="I74" s="33">
        <f t="shared" si="77"/>
        <v>1.2459874978881567</v>
      </c>
      <c r="J74" s="33">
        <f t="shared" si="77"/>
        <v>2.4919749957763133</v>
      </c>
      <c r="K74" s="33">
        <f t="shared" si="77"/>
        <v>4.9839499915526266</v>
      </c>
      <c r="L74" s="33">
        <f t="shared" si="77"/>
        <v>9.9678999831052533</v>
      </c>
      <c r="M74" s="33">
        <f t="shared" si="77"/>
        <v>19.935799966210507</v>
      </c>
      <c r="N74" s="33">
        <f t="shared" si="77"/>
        <v>39.871599932421013</v>
      </c>
      <c r="O74" s="33">
        <f t="shared" si="77"/>
        <v>59.807399898631523</v>
      </c>
      <c r="P74" s="33">
        <f t="shared" si="77"/>
        <v>65.788139888494683</v>
      </c>
      <c r="Q74" s="33">
        <f t="shared" si="77"/>
        <v>71.768879878357822</v>
      </c>
      <c r="R74" s="33">
        <f t="shared" si="77"/>
        <v>75.756039871599924</v>
      </c>
      <c r="S74" s="33">
        <f t="shared" si="77"/>
        <v>77.749619868220975</v>
      </c>
      <c r="T74" s="33">
        <f t="shared" si="77"/>
        <v>79.743199864842026</v>
      </c>
      <c r="U74" s="33">
        <f t="shared" si="77"/>
        <v>159.48639972968405</v>
      </c>
      <c r="V74" s="33">
        <f t="shared" si="77"/>
        <v>318.9727994593681</v>
      </c>
      <c r="W74" s="33">
        <f t="shared" si="77"/>
        <v>637.94559891873621</v>
      </c>
      <c r="X74" s="33">
        <f t="shared" si="77"/>
        <v>1275.8911978374724</v>
      </c>
      <c r="Y74" s="33">
        <f t="shared" si="77"/>
        <v>2551.7823956749448</v>
      </c>
      <c r="Z74" s="33">
        <f t="shared" si="77"/>
        <v>5103.5647913498897</v>
      </c>
      <c r="AA74" s="33">
        <f t="shared" si="77"/>
        <v>10207.129582699779</v>
      </c>
      <c r="AB74" s="33">
        <f t="shared" si="77"/>
        <v>20414.259165399559</v>
      </c>
      <c r="AC74" s="33">
        <f t="shared" si="77"/>
        <v>40828.518330799117</v>
      </c>
      <c r="AD74" s="84">
        <f t="shared" si="77"/>
        <v>81657.036661598235</v>
      </c>
      <c r="AE74" s="33">
        <f t="shared" si="77"/>
        <v>163314.07332319647</v>
      </c>
      <c r="AF74" s="84">
        <f t="shared" si="77"/>
        <v>255517.14816692009</v>
      </c>
      <c r="AG74" s="57"/>
    </row>
    <row r="75" spans="1:33" x14ac:dyDescent="0.25">
      <c r="A75" s="54"/>
      <c r="B75" s="19"/>
      <c r="C75" s="23"/>
      <c r="D75" s="38"/>
      <c r="E75" s="40">
        <v>0</v>
      </c>
      <c r="F75" s="22"/>
      <c r="G75" s="41">
        <f t="shared" ref="G75:AF75" si="78">G$26*$D$74*$E$75</f>
        <v>0</v>
      </c>
      <c r="H75" s="42">
        <f t="shared" si="78"/>
        <v>0</v>
      </c>
      <c r="I75" s="42">
        <f t="shared" si="78"/>
        <v>0</v>
      </c>
      <c r="J75" s="42">
        <f t="shared" si="78"/>
        <v>0</v>
      </c>
      <c r="K75" s="42">
        <f t="shared" si="78"/>
        <v>0</v>
      </c>
      <c r="L75" s="42">
        <f t="shared" si="78"/>
        <v>0</v>
      </c>
      <c r="M75" s="42">
        <f t="shared" si="78"/>
        <v>0</v>
      </c>
      <c r="N75" s="42">
        <f t="shared" si="78"/>
        <v>0</v>
      </c>
      <c r="O75" s="42">
        <f t="shared" si="78"/>
        <v>0</v>
      </c>
      <c r="P75" s="42">
        <f t="shared" si="78"/>
        <v>0</v>
      </c>
      <c r="Q75" s="42">
        <f t="shared" si="78"/>
        <v>0</v>
      </c>
      <c r="R75" s="42">
        <f t="shared" si="78"/>
        <v>0</v>
      </c>
      <c r="S75" s="42">
        <f t="shared" si="78"/>
        <v>0</v>
      </c>
      <c r="T75" s="42">
        <f t="shared" si="78"/>
        <v>0</v>
      </c>
      <c r="U75" s="42">
        <f t="shared" si="78"/>
        <v>0</v>
      </c>
      <c r="V75" s="42">
        <f t="shared" si="78"/>
        <v>0</v>
      </c>
      <c r="W75" s="42">
        <f t="shared" si="78"/>
        <v>0</v>
      </c>
      <c r="X75" s="42">
        <f t="shared" si="78"/>
        <v>0</v>
      </c>
      <c r="Y75" s="42">
        <f t="shared" si="78"/>
        <v>0</v>
      </c>
      <c r="Z75" s="42">
        <f t="shared" si="78"/>
        <v>0</v>
      </c>
      <c r="AA75" s="42">
        <f t="shared" si="78"/>
        <v>0</v>
      </c>
      <c r="AB75" s="42">
        <f t="shared" si="78"/>
        <v>0</v>
      </c>
      <c r="AC75" s="42">
        <f t="shared" si="78"/>
        <v>0</v>
      </c>
      <c r="AD75" s="83">
        <f t="shared" si="78"/>
        <v>0</v>
      </c>
      <c r="AE75" s="44">
        <f t="shared" si="78"/>
        <v>0</v>
      </c>
      <c r="AF75" s="85">
        <f t="shared" si="78"/>
        <v>0</v>
      </c>
      <c r="AG75" s="57"/>
    </row>
    <row r="76" spans="1:33" x14ac:dyDescent="0.25">
      <c r="A76" s="53" t="s">
        <v>131</v>
      </c>
      <c r="B76" s="26"/>
      <c r="C76" s="22"/>
      <c r="D76" s="22"/>
      <c r="E76" s="27"/>
      <c r="F76" s="22"/>
      <c r="G76" s="30">
        <f t="shared" ref="G76:AB76" si="79">SUM(G58,G60,G62,G64,G66,G68,G70,G72,G74)</f>
        <v>31.250000000000004</v>
      </c>
      <c r="H76" s="31">
        <f t="shared" si="79"/>
        <v>62.500000000000007</v>
      </c>
      <c r="I76" s="31">
        <f t="shared" si="79"/>
        <v>125.00000000000001</v>
      </c>
      <c r="J76" s="31">
        <f t="shared" si="79"/>
        <v>250.00000000000003</v>
      </c>
      <c r="K76" s="31">
        <f t="shared" si="79"/>
        <v>500.00000000000006</v>
      </c>
      <c r="L76" s="31">
        <f>SUM(L58,L60,L62,L64,L66,L68,L70,L72,L74)</f>
        <v>1000.0000000000001</v>
      </c>
      <c r="M76" s="31">
        <f t="shared" si="79"/>
        <v>2000.0000000000002</v>
      </c>
      <c r="N76" s="31">
        <f t="shared" si="79"/>
        <v>4000.0000000000005</v>
      </c>
      <c r="O76" s="31">
        <f t="shared" ref="O76:S76" si="80">SUM(O58,O60,O62,O64,O66,O68,O70,O72,O74)</f>
        <v>6000.0000000000009</v>
      </c>
      <c r="P76" s="31">
        <f t="shared" si="80"/>
        <v>6599.9999999999991</v>
      </c>
      <c r="Q76" s="31">
        <f t="shared" ref="Q76:R76" si="81">SUM(Q58,Q60,Q62,Q64,Q66,Q68,Q70,Q72,Q74)</f>
        <v>7200.0000000000009</v>
      </c>
      <c r="R76" s="31">
        <f t="shared" si="81"/>
        <v>7600</v>
      </c>
      <c r="S76" s="31">
        <f t="shared" si="80"/>
        <v>7799.9999999999991</v>
      </c>
      <c r="T76" s="31">
        <f t="shared" si="79"/>
        <v>8000.0000000000009</v>
      </c>
      <c r="U76" s="31">
        <f t="shared" si="79"/>
        <v>16000.000000000002</v>
      </c>
      <c r="V76" s="31">
        <f t="shared" si="79"/>
        <v>32000.000000000004</v>
      </c>
      <c r="W76" s="31">
        <f t="shared" si="79"/>
        <v>64000.000000000007</v>
      </c>
      <c r="X76" s="31">
        <f t="shared" si="79"/>
        <v>128000.00000000001</v>
      </c>
      <c r="Y76" s="31">
        <f t="shared" si="79"/>
        <v>256000.00000000003</v>
      </c>
      <c r="Z76" s="31">
        <f t="shared" si="79"/>
        <v>512000.00000000006</v>
      </c>
      <c r="AA76" s="31">
        <f t="shared" si="79"/>
        <v>1024000.0000000001</v>
      </c>
      <c r="AB76" s="31">
        <f t="shared" si="79"/>
        <v>2048000.0000000002</v>
      </c>
      <c r="AC76" s="31">
        <f t="shared" ref="AC76:AF77" si="82">SUM(AC58,AC60,AC62,AC64,AC66,AC68,AC70,AC72,AC74)</f>
        <v>4096000.0000000005</v>
      </c>
      <c r="AD76" s="72">
        <f t="shared" si="82"/>
        <v>8192000.0000000009</v>
      </c>
      <c r="AE76" s="31">
        <f t="shared" si="82"/>
        <v>16384000.000000002</v>
      </c>
      <c r="AF76" s="72">
        <f t="shared" si="82"/>
        <v>25634000.000000004</v>
      </c>
      <c r="AG76" s="57"/>
    </row>
    <row r="77" spans="1:33" x14ac:dyDescent="0.25">
      <c r="A77" s="55" t="s">
        <v>130</v>
      </c>
      <c r="B77" s="56"/>
      <c r="C77" s="23"/>
      <c r="D77" s="23"/>
      <c r="E77" s="50"/>
      <c r="F77" s="23"/>
      <c r="G77" s="43">
        <f>SUM(G59,G61,G63,G65,G67,G69,G71,G73,G75)</f>
        <v>0.69234668018246315</v>
      </c>
      <c r="H77" s="44">
        <f>SUM(H59,H61,H63,H65,H67,H69,H71,H73,H75)</f>
        <v>1.3846933603649263</v>
      </c>
      <c r="I77" s="44">
        <f t="shared" ref="I77:AB77" si="83">SUM(I59,I61,I63,I65,I67,I69,I71,I73,I75)</f>
        <v>2.7693867207298526</v>
      </c>
      <c r="J77" s="44">
        <f t="shared" si="83"/>
        <v>5.5387734414597052</v>
      </c>
      <c r="K77" s="44">
        <f t="shared" si="83"/>
        <v>11.07754688291941</v>
      </c>
      <c r="L77" s="44">
        <f t="shared" si="83"/>
        <v>22.155093765838821</v>
      </c>
      <c r="M77" s="44">
        <f t="shared" si="83"/>
        <v>44.310187531677641</v>
      </c>
      <c r="N77" s="44">
        <f t="shared" si="83"/>
        <v>88.620375063355283</v>
      </c>
      <c r="O77" s="44">
        <f t="shared" ref="O77:S77" si="84">SUM(O59,O61,O63,O65,O67,O69,O71,O73,O75)</f>
        <v>132.93056259503294</v>
      </c>
      <c r="P77" s="44">
        <f t="shared" si="84"/>
        <v>146.22361885453623</v>
      </c>
      <c r="Q77" s="44">
        <f t="shared" ref="Q77:R77" si="85">SUM(Q59,Q61,Q63,Q65,Q67,Q69,Q71,Q73,Q75)</f>
        <v>159.51667511403957</v>
      </c>
      <c r="R77" s="44">
        <f t="shared" si="85"/>
        <v>168.3787126203751</v>
      </c>
      <c r="S77" s="44">
        <f t="shared" si="84"/>
        <v>172.80973137354283</v>
      </c>
      <c r="T77" s="44">
        <f t="shared" si="83"/>
        <v>177.24075012671057</v>
      </c>
      <c r="U77" s="44">
        <f t="shared" si="83"/>
        <v>354.48150025342113</v>
      </c>
      <c r="V77" s="44">
        <f t="shared" si="83"/>
        <v>708.96300050684226</v>
      </c>
      <c r="W77" s="44">
        <f t="shared" si="83"/>
        <v>1417.9260010136845</v>
      </c>
      <c r="X77" s="44">
        <f t="shared" si="83"/>
        <v>2835.8520020273691</v>
      </c>
      <c r="Y77" s="44">
        <f t="shared" si="83"/>
        <v>5671.7040040547381</v>
      </c>
      <c r="Z77" s="44">
        <f t="shared" si="83"/>
        <v>11343.408008109476</v>
      </c>
      <c r="AA77" s="44">
        <f t="shared" si="83"/>
        <v>22686.816016218952</v>
      </c>
      <c r="AB77" s="44">
        <f t="shared" si="83"/>
        <v>45373.632032437905</v>
      </c>
      <c r="AC77" s="44">
        <f t="shared" si="82"/>
        <v>90747.26406487581</v>
      </c>
      <c r="AD77" s="85">
        <f t="shared" si="82"/>
        <v>181494.52812975162</v>
      </c>
      <c r="AE77" s="44">
        <f t="shared" si="82"/>
        <v>362989.05625950324</v>
      </c>
      <c r="AF77" s="85">
        <f t="shared" si="82"/>
        <v>567923.6735935125</v>
      </c>
      <c r="AG77" s="57"/>
    </row>
    <row r="78" spans="1:33" x14ac:dyDescent="0.25">
      <c r="A78" s="54"/>
      <c r="B78" s="26"/>
      <c r="C78" s="22"/>
      <c r="D78" s="22"/>
      <c r="E78" s="27"/>
      <c r="F78" s="22"/>
      <c r="G78" s="57"/>
      <c r="H78" s="57"/>
      <c r="I78" s="57"/>
      <c r="J78" s="57"/>
      <c r="K78" s="57"/>
      <c r="L78" s="57"/>
      <c r="M78" s="57"/>
      <c r="N78" s="57"/>
      <c r="O78" s="57"/>
      <c r="P78" s="57"/>
      <c r="Q78" s="57"/>
      <c r="R78" s="57"/>
      <c r="S78" s="57"/>
      <c r="T78" s="57"/>
      <c r="U78" s="57"/>
      <c r="V78" s="57"/>
      <c r="W78" s="57"/>
      <c r="X78" s="57"/>
      <c r="Y78" s="57"/>
      <c r="Z78" s="57"/>
      <c r="AA78" s="57"/>
      <c r="AB78" s="57"/>
      <c r="AC78" s="57"/>
    </row>
    <row r="79" spans="1:33" x14ac:dyDescent="0.25">
      <c r="A79" s="66" t="s">
        <v>142</v>
      </c>
      <c r="B79" s="26"/>
      <c r="C79" s="22"/>
      <c r="D79" s="22"/>
      <c r="E79" s="27"/>
      <c r="F79" s="22"/>
      <c r="G79" s="57"/>
      <c r="H79" s="57"/>
      <c r="I79" s="57"/>
      <c r="J79" s="57"/>
      <c r="K79" s="57"/>
      <c r="L79" s="57"/>
      <c r="M79" s="57"/>
      <c r="N79" s="57"/>
      <c r="O79" s="57"/>
      <c r="P79" s="57"/>
      <c r="Q79" s="57"/>
      <c r="R79" s="57"/>
      <c r="S79" s="57"/>
      <c r="T79" s="57"/>
      <c r="U79" s="57"/>
      <c r="V79" s="57"/>
      <c r="W79" s="57"/>
      <c r="X79" s="57"/>
      <c r="Y79" s="57"/>
      <c r="Z79" s="57"/>
      <c r="AA79" s="57"/>
      <c r="AB79" s="57"/>
      <c r="AC79" s="57"/>
    </row>
    <row r="80" spans="1:33" x14ac:dyDescent="0.25">
      <c r="A80" s="16"/>
      <c r="B80" s="21" t="s">
        <v>6</v>
      </c>
      <c r="C80" s="21" t="s">
        <v>4</v>
      </c>
      <c r="D80" s="21"/>
      <c r="E80" s="71" t="s">
        <v>3</v>
      </c>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17"/>
      <c r="AG80" s="59"/>
    </row>
    <row r="81" spans="1:33" x14ac:dyDescent="0.25">
      <c r="A81" s="53" t="s">
        <v>2</v>
      </c>
      <c r="B81" s="36">
        <v>0.05</v>
      </c>
      <c r="C81" s="22">
        <f>$B$13 * B81</f>
        <v>1281700</v>
      </c>
      <c r="D81" s="28"/>
      <c r="E81" s="28"/>
      <c r="F81" s="28"/>
      <c r="G81" s="30">
        <f t="shared" ref="G81:AF81" si="86">G$26*$B$81</f>
        <v>1.5625</v>
      </c>
      <c r="H81" s="31">
        <f t="shared" si="86"/>
        <v>3.125</v>
      </c>
      <c r="I81" s="31">
        <f t="shared" si="86"/>
        <v>6.25</v>
      </c>
      <c r="J81" s="31">
        <f t="shared" si="86"/>
        <v>12.5</v>
      </c>
      <c r="K81" s="31">
        <f t="shared" si="86"/>
        <v>25</v>
      </c>
      <c r="L81" s="31">
        <f t="shared" si="86"/>
        <v>50</v>
      </c>
      <c r="M81" s="31">
        <f t="shared" si="86"/>
        <v>100</v>
      </c>
      <c r="N81" s="31">
        <f t="shared" si="86"/>
        <v>200</v>
      </c>
      <c r="O81" s="31">
        <f t="shared" si="86"/>
        <v>300</v>
      </c>
      <c r="P81" s="31">
        <f t="shared" si="86"/>
        <v>330</v>
      </c>
      <c r="Q81" s="31">
        <f t="shared" si="86"/>
        <v>360</v>
      </c>
      <c r="R81" s="31">
        <f t="shared" si="86"/>
        <v>380</v>
      </c>
      <c r="S81" s="31">
        <f t="shared" si="86"/>
        <v>390</v>
      </c>
      <c r="T81" s="31">
        <f t="shared" si="86"/>
        <v>400</v>
      </c>
      <c r="U81" s="31">
        <f t="shared" si="86"/>
        <v>800</v>
      </c>
      <c r="V81" s="31">
        <f t="shared" si="86"/>
        <v>1600</v>
      </c>
      <c r="W81" s="31">
        <f t="shared" si="86"/>
        <v>3200</v>
      </c>
      <c r="X81" s="31">
        <f t="shared" si="86"/>
        <v>6400</v>
      </c>
      <c r="Y81" s="31">
        <f t="shared" si="86"/>
        <v>12800</v>
      </c>
      <c r="Z81" s="31">
        <f t="shared" si="86"/>
        <v>25600</v>
      </c>
      <c r="AA81" s="31">
        <f t="shared" si="86"/>
        <v>51200</v>
      </c>
      <c r="AB81" s="31">
        <f t="shared" si="86"/>
        <v>102400</v>
      </c>
      <c r="AC81" s="31">
        <f t="shared" si="86"/>
        <v>204800</v>
      </c>
      <c r="AD81" s="72">
        <f t="shared" si="86"/>
        <v>409600</v>
      </c>
      <c r="AE81" s="31">
        <f t="shared" si="86"/>
        <v>819200</v>
      </c>
      <c r="AF81" s="72">
        <f t="shared" si="86"/>
        <v>1281700</v>
      </c>
      <c r="AG81" s="57"/>
    </row>
    <row r="82" spans="1:33" x14ac:dyDescent="0.25">
      <c r="A82" s="53"/>
      <c r="B82" s="28"/>
      <c r="C82" s="28"/>
      <c r="D82" s="37"/>
      <c r="E82" s="58">
        <v>0.105</v>
      </c>
      <c r="F82" s="28"/>
      <c r="G82" s="41">
        <f>G81*$E$82</f>
        <v>0.1640625</v>
      </c>
      <c r="H82" s="42">
        <f t="shared" ref="H82:AB82" si="87">H81*$E$82</f>
        <v>0.328125</v>
      </c>
      <c r="I82" s="42">
        <f t="shared" si="87"/>
        <v>0.65625</v>
      </c>
      <c r="J82" s="42">
        <f t="shared" si="87"/>
        <v>1.3125</v>
      </c>
      <c r="K82" s="42">
        <f t="shared" si="87"/>
        <v>2.625</v>
      </c>
      <c r="L82" s="42">
        <f t="shared" si="87"/>
        <v>5.25</v>
      </c>
      <c r="M82" s="42">
        <f t="shared" si="87"/>
        <v>10.5</v>
      </c>
      <c r="N82" s="42">
        <f t="shared" si="87"/>
        <v>21</v>
      </c>
      <c r="O82" s="42">
        <f t="shared" ref="O82:S82" si="88">O81*$E$82</f>
        <v>31.5</v>
      </c>
      <c r="P82" s="42">
        <f t="shared" si="88"/>
        <v>34.65</v>
      </c>
      <c r="Q82" s="42">
        <f t="shared" ref="Q82:R82" si="89">Q81*$E$82</f>
        <v>37.799999999999997</v>
      </c>
      <c r="R82" s="42">
        <f t="shared" si="89"/>
        <v>39.9</v>
      </c>
      <c r="S82" s="42">
        <f t="shared" si="88"/>
        <v>40.949999999999996</v>
      </c>
      <c r="T82" s="42">
        <f t="shared" si="87"/>
        <v>42</v>
      </c>
      <c r="U82" s="42">
        <f t="shared" si="87"/>
        <v>84</v>
      </c>
      <c r="V82" s="42">
        <f t="shared" si="87"/>
        <v>168</v>
      </c>
      <c r="W82" s="42">
        <f t="shared" si="87"/>
        <v>336</v>
      </c>
      <c r="X82" s="42">
        <f t="shared" si="87"/>
        <v>672</v>
      </c>
      <c r="Y82" s="42">
        <f t="shared" si="87"/>
        <v>1344</v>
      </c>
      <c r="Z82" s="42">
        <f t="shared" si="87"/>
        <v>2688</v>
      </c>
      <c r="AA82" s="42">
        <f t="shared" si="87"/>
        <v>5376</v>
      </c>
      <c r="AB82" s="42">
        <f t="shared" si="87"/>
        <v>10752</v>
      </c>
      <c r="AC82" s="42">
        <f>AC81*$E$82</f>
        <v>21504</v>
      </c>
      <c r="AD82" s="83">
        <f>AD81*$E$82</f>
        <v>43008</v>
      </c>
      <c r="AE82" s="42">
        <f>AE81*$E$82</f>
        <v>86016</v>
      </c>
      <c r="AF82" s="83">
        <f>AF81*$E$82</f>
        <v>134578.5</v>
      </c>
      <c r="AG82" s="57"/>
    </row>
    <row r="83" spans="1:33" x14ac:dyDescent="0.25">
      <c r="A83" s="53" t="s">
        <v>5</v>
      </c>
      <c r="B83" s="36">
        <v>4.5999999999999999E-2</v>
      </c>
      <c r="C83" s="22">
        <f>$B$13 * B83</f>
        <v>1179164</v>
      </c>
      <c r="D83" s="59"/>
      <c r="E83" s="28"/>
      <c r="F83" s="28"/>
      <c r="G83" s="32">
        <f t="shared" ref="G83:AF83" si="90">G$26*$B$83</f>
        <v>1.4375</v>
      </c>
      <c r="H83" s="33">
        <f t="shared" si="90"/>
        <v>2.875</v>
      </c>
      <c r="I83" s="33">
        <f t="shared" si="90"/>
        <v>5.75</v>
      </c>
      <c r="J83" s="33">
        <f t="shared" si="90"/>
        <v>11.5</v>
      </c>
      <c r="K83" s="33">
        <f t="shared" si="90"/>
        <v>23</v>
      </c>
      <c r="L83" s="33">
        <f t="shared" si="90"/>
        <v>46</v>
      </c>
      <c r="M83" s="33">
        <f t="shared" si="90"/>
        <v>92</v>
      </c>
      <c r="N83" s="33">
        <f t="shared" si="90"/>
        <v>184</v>
      </c>
      <c r="O83" s="33">
        <f t="shared" si="90"/>
        <v>276</v>
      </c>
      <c r="P83" s="33">
        <f t="shared" si="90"/>
        <v>303.60000000000002</v>
      </c>
      <c r="Q83" s="33">
        <f t="shared" si="90"/>
        <v>331.2</v>
      </c>
      <c r="R83" s="33">
        <f t="shared" si="90"/>
        <v>349.59999999999997</v>
      </c>
      <c r="S83" s="33">
        <f t="shared" si="90"/>
        <v>358.8</v>
      </c>
      <c r="T83" s="33">
        <f t="shared" si="90"/>
        <v>368</v>
      </c>
      <c r="U83" s="33">
        <f t="shared" si="90"/>
        <v>736</v>
      </c>
      <c r="V83" s="33">
        <f t="shared" si="90"/>
        <v>1472</v>
      </c>
      <c r="W83" s="33">
        <f t="shared" si="90"/>
        <v>2944</v>
      </c>
      <c r="X83" s="33">
        <f t="shared" si="90"/>
        <v>5888</v>
      </c>
      <c r="Y83" s="33">
        <f t="shared" si="90"/>
        <v>11776</v>
      </c>
      <c r="Z83" s="33">
        <f t="shared" si="90"/>
        <v>23552</v>
      </c>
      <c r="AA83" s="33">
        <f t="shared" si="90"/>
        <v>47104</v>
      </c>
      <c r="AB83" s="33">
        <f t="shared" si="90"/>
        <v>94208</v>
      </c>
      <c r="AC83" s="33">
        <f t="shared" si="90"/>
        <v>188416</v>
      </c>
      <c r="AD83" s="84">
        <f t="shared" si="90"/>
        <v>376832</v>
      </c>
      <c r="AE83" s="33">
        <f t="shared" si="90"/>
        <v>753664</v>
      </c>
      <c r="AF83" s="84">
        <f t="shared" si="90"/>
        <v>1179164</v>
      </c>
      <c r="AG83" s="57"/>
    </row>
    <row r="84" spans="1:33" x14ac:dyDescent="0.25">
      <c r="A84" s="53"/>
      <c r="B84" s="28"/>
      <c r="C84" s="28"/>
      <c r="D84" s="37"/>
      <c r="E84" s="58">
        <v>7.2999999999999995E-2</v>
      </c>
      <c r="F84" s="28"/>
      <c r="G84" s="41">
        <f t="shared" ref="G84:AB84" si="91">G83*$E$84</f>
        <v>0.10493749999999999</v>
      </c>
      <c r="H84" s="42">
        <f t="shared" si="91"/>
        <v>0.20987499999999998</v>
      </c>
      <c r="I84" s="42">
        <f t="shared" si="91"/>
        <v>0.41974999999999996</v>
      </c>
      <c r="J84" s="42">
        <f t="shared" si="91"/>
        <v>0.83949999999999991</v>
      </c>
      <c r="K84" s="42">
        <f t="shared" si="91"/>
        <v>1.6789999999999998</v>
      </c>
      <c r="L84" s="42">
        <f t="shared" si="91"/>
        <v>3.3579999999999997</v>
      </c>
      <c r="M84" s="42">
        <f t="shared" si="91"/>
        <v>6.7159999999999993</v>
      </c>
      <c r="N84" s="42">
        <f t="shared" si="91"/>
        <v>13.431999999999999</v>
      </c>
      <c r="O84" s="42">
        <f t="shared" ref="O84:S84" si="92">O83*$E$84</f>
        <v>20.148</v>
      </c>
      <c r="P84" s="42">
        <f t="shared" si="92"/>
        <v>22.162800000000001</v>
      </c>
      <c r="Q84" s="42">
        <f t="shared" ref="Q84:R84" si="93">Q83*$E$84</f>
        <v>24.177599999999998</v>
      </c>
      <c r="R84" s="42">
        <f t="shared" si="93"/>
        <v>25.520799999999994</v>
      </c>
      <c r="S84" s="42">
        <f t="shared" si="92"/>
        <v>26.192399999999999</v>
      </c>
      <c r="T84" s="42">
        <f t="shared" si="91"/>
        <v>26.863999999999997</v>
      </c>
      <c r="U84" s="42">
        <f t="shared" si="91"/>
        <v>53.727999999999994</v>
      </c>
      <c r="V84" s="42">
        <f t="shared" si="91"/>
        <v>107.45599999999999</v>
      </c>
      <c r="W84" s="42">
        <f t="shared" si="91"/>
        <v>214.91199999999998</v>
      </c>
      <c r="X84" s="42">
        <f t="shared" si="91"/>
        <v>429.82399999999996</v>
      </c>
      <c r="Y84" s="42">
        <f t="shared" si="91"/>
        <v>859.64799999999991</v>
      </c>
      <c r="Z84" s="42">
        <f t="shared" si="91"/>
        <v>1719.2959999999998</v>
      </c>
      <c r="AA84" s="42">
        <f t="shared" si="91"/>
        <v>3438.5919999999996</v>
      </c>
      <c r="AB84" s="42">
        <f t="shared" si="91"/>
        <v>6877.1839999999993</v>
      </c>
      <c r="AC84" s="42">
        <f>AC83*$E$84</f>
        <v>13754.367999999999</v>
      </c>
      <c r="AD84" s="83">
        <f>AD83*$E$84</f>
        <v>27508.735999999997</v>
      </c>
      <c r="AE84" s="42">
        <f>AE83*$E$84</f>
        <v>55017.471999999994</v>
      </c>
      <c r="AF84" s="83">
        <f>AF83*$E$84</f>
        <v>86078.971999999994</v>
      </c>
      <c r="AG84" s="57"/>
    </row>
    <row r="85" spans="1:33" x14ac:dyDescent="0.25">
      <c r="A85" s="53" t="s">
        <v>7</v>
      </c>
      <c r="B85" s="36">
        <v>0.31</v>
      </c>
      <c r="C85" s="22">
        <f>$B$13 * B85</f>
        <v>7946540</v>
      </c>
      <c r="D85" s="59"/>
      <c r="E85" s="28"/>
      <c r="F85" s="28"/>
      <c r="G85" s="32">
        <f t="shared" ref="G85:AF85" si="94">G$26*$B$85</f>
        <v>9.6875</v>
      </c>
      <c r="H85" s="33">
        <f t="shared" si="94"/>
        <v>19.375</v>
      </c>
      <c r="I85" s="33">
        <f t="shared" si="94"/>
        <v>38.75</v>
      </c>
      <c r="J85" s="33">
        <f t="shared" si="94"/>
        <v>77.5</v>
      </c>
      <c r="K85" s="33">
        <f t="shared" si="94"/>
        <v>155</v>
      </c>
      <c r="L85" s="33">
        <f t="shared" si="94"/>
        <v>310</v>
      </c>
      <c r="M85" s="33">
        <f t="shared" si="94"/>
        <v>620</v>
      </c>
      <c r="N85" s="33">
        <f t="shared" si="94"/>
        <v>1240</v>
      </c>
      <c r="O85" s="33">
        <f t="shared" si="94"/>
        <v>1860</v>
      </c>
      <c r="P85" s="33">
        <f t="shared" si="94"/>
        <v>2046</v>
      </c>
      <c r="Q85" s="33">
        <f t="shared" si="94"/>
        <v>2232</v>
      </c>
      <c r="R85" s="33">
        <f t="shared" si="94"/>
        <v>2356</v>
      </c>
      <c r="S85" s="33">
        <f t="shared" si="94"/>
        <v>2418</v>
      </c>
      <c r="T85" s="33">
        <f t="shared" si="94"/>
        <v>2480</v>
      </c>
      <c r="U85" s="33">
        <f t="shared" si="94"/>
        <v>4960</v>
      </c>
      <c r="V85" s="33">
        <f t="shared" si="94"/>
        <v>9920</v>
      </c>
      <c r="W85" s="33">
        <f t="shared" si="94"/>
        <v>19840</v>
      </c>
      <c r="X85" s="33">
        <f t="shared" si="94"/>
        <v>39680</v>
      </c>
      <c r="Y85" s="33">
        <f t="shared" si="94"/>
        <v>79360</v>
      </c>
      <c r="Z85" s="33">
        <f t="shared" si="94"/>
        <v>158720</v>
      </c>
      <c r="AA85" s="33">
        <f t="shared" si="94"/>
        <v>317440</v>
      </c>
      <c r="AB85" s="33">
        <f t="shared" si="94"/>
        <v>634880</v>
      </c>
      <c r="AC85" s="33">
        <f t="shared" si="94"/>
        <v>1269760</v>
      </c>
      <c r="AD85" s="84">
        <f t="shared" si="94"/>
        <v>2539520</v>
      </c>
      <c r="AE85" s="33">
        <f t="shared" si="94"/>
        <v>5079040</v>
      </c>
      <c r="AF85" s="84">
        <f t="shared" si="94"/>
        <v>7946540</v>
      </c>
      <c r="AG85" s="57"/>
    </row>
    <row r="86" spans="1:33" x14ac:dyDescent="0.25">
      <c r="A86" s="53"/>
      <c r="B86" s="28"/>
      <c r="C86" s="28"/>
      <c r="D86" s="37"/>
      <c r="E86" s="58">
        <v>6.3E-2</v>
      </c>
      <c r="F86" s="28"/>
      <c r="G86" s="41">
        <f t="shared" ref="G86:AB86" si="95">G85*$E$86</f>
        <v>0.61031250000000004</v>
      </c>
      <c r="H86" s="42">
        <f t="shared" si="95"/>
        <v>1.2206250000000001</v>
      </c>
      <c r="I86" s="42">
        <f t="shared" si="95"/>
        <v>2.4412500000000001</v>
      </c>
      <c r="J86" s="42">
        <f t="shared" si="95"/>
        <v>4.8825000000000003</v>
      </c>
      <c r="K86" s="42">
        <f t="shared" si="95"/>
        <v>9.7650000000000006</v>
      </c>
      <c r="L86" s="42">
        <f t="shared" si="95"/>
        <v>19.53</v>
      </c>
      <c r="M86" s="42">
        <f t="shared" si="95"/>
        <v>39.06</v>
      </c>
      <c r="N86" s="42">
        <f t="shared" si="95"/>
        <v>78.12</v>
      </c>
      <c r="O86" s="42">
        <f t="shared" ref="O86:S86" si="96">O85*$E$86</f>
        <v>117.18</v>
      </c>
      <c r="P86" s="42">
        <f t="shared" si="96"/>
        <v>128.898</v>
      </c>
      <c r="Q86" s="42">
        <f t="shared" ref="Q86:R86" si="97">Q85*$E$86</f>
        <v>140.61600000000001</v>
      </c>
      <c r="R86" s="42">
        <f t="shared" si="97"/>
        <v>148.428</v>
      </c>
      <c r="S86" s="42">
        <f t="shared" si="96"/>
        <v>152.334</v>
      </c>
      <c r="T86" s="42">
        <f t="shared" si="95"/>
        <v>156.24</v>
      </c>
      <c r="U86" s="42">
        <f t="shared" si="95"/>
        <v>312.48</v>
      </c>
      <c r="V86" s="42">
        <f t="shared" si="95"/>
        <v>624.96</v>
      </c>
      <c r="W86" s="42">
        <f t="shared" si="95"/>
        <v>1249.92</v>
      </c>
      <c r="X86" s="42">
        <f t="shared" si="95"/>
        <v>2499.84</v>
      </c>
      <c r="Y86" s="42">
        <f t="shared" si="95"/>
        <v>4999.68</v>
      </c>
      <c r="Z86" s="42">
        <f t="shared" si="95"/>
        <v>9999.36</v>
      </c>
      <c r="AA86" s="42">
        <f t="shared" si="95"/>
        <v>19998.72</v>
      </c>
      <c r="AB86" s="42">
        <f t="shared" si="95"/>
        <v>39997.440000000002</v>
      </c>
      <c r="AC86" s="42">
        <f>AC85*$E$86</f>
        <v>79994.880000000005</v>
      </c>
      <c r="AD86" s="83">
        <f>AD85*$E$86</f>
        <v>159989.76000000001</v>
      </c>
      <c r="AE86" s="42">
        <f>AE85*$E$86</f>
        <v>319979.52000000002</v>
      </c>
      <c r="AF86" s="83">
        <f>AF85*$E$86</f>
        <v>500632.02</v>
      </c>
      <c r="AG86" s="57"/>
    </row>
    <row r="87" spans="1:33" x14ac:dyDescent="0.25">
      <c r="A87" s="53" t="s">
        <v>8</v>
      </c>
      <c r="B87" s="36">
        <v>0.33700000000000002</v>
      </c>
      <c r="C87" s="22">
        <f>$B$13 * B87</f>
        <v>8638658</v>
      </c>
      <c r="D87" s="59"/>
      <c r="E87" s="28"/>
      <c r="F87" s="28"/>
      <c r="G87" s="32">
        <f t="shared" ref="G87:AF87" si="98">G$26*$B$87</f>
        <v>10.53125</v>
      </c>
      <c r="H87" s="33">
        <f t="shared" si="98"/>
        <v>21.0625</v>
      </c>
      <c r="I87" s="33">
        <f t="shared" si="98"/>
        <v>42.125</v>
      </c>
      <c r="J87" s="33">
        <f t="shared" si="98"/>
        <v>84.25</v>
      </c>
      <c r="K87" s="33">
        <f t="shared" si="98"/>
        <v>168.5</v>
      </c>
      <c r="L87" s="33">
        <f t="shared" si="98"/>
        <v>337</v>
      </c>
      <c r="M87" s="33">
        <f t="shared" si="98"/>
        <v>674</v>
      </c>
      <c r="N87" s="33">
        <f t="shared" si="98"/>
        <v>1348</v>
      </c>
      <c r="O87" s="33">
        <f t="shared" si="98"/>
        <v>2022.0000000000002</v>
      </c>
      <c r="P87" s="33">
        <f t="shared" si="98"/>
        <v>2224.2000000000003</v>
      </c>
      <c r="Q87" s="33">
        <f t="shared" si="98"/>
        <v>2426.4</v>
      </c>
      <c r="R87" s="33">
        <f t="shared" si="98"/>
        <v>2561.2000000000003</v>
      </c>
      <c r="S87" s="33">
        <f t="shared" si="98"/>
        <v>2628.6000000000004</v>
      </c>
      <c r="T87" s="33">
        <f t="shared" si="98"/>
        <v>2696</v>
      </c>
      <c r="U87" s="33">
        <f t="shared" si="98"/>
        <v>5392</v>
      </c>
      <c r="V87" s="33">
        <f t="shared" si="98"/>
        <v>10784</v>
      </c>
      <c r="W87" s="33">
        <f t="shared" si="98"/>
        <v>21568</v>
      </c>
      <c r="X87" s="33">
        <f t="shared" si="98"/>
        <v>43136</v>
      </c>
      <c r="Y87" s="33">
        <f t="shared" si="98"/>
        <v>86272</v>
      </c>
      <c r="Z87" s="33">
        <f t="shared" si="98"/>
        <v>172544</v>
      </c>
      <c r="AA87" s="33">
        <f t="shared" si="98"/>
        <v>345088</v>
      </c>
      <c r="AB87" s="33">
        <f t="shared" si="98"/>
        <v>690176</v>
      </c>
      <c r="AC87" s="33">
        <f t="shared" si="98"/>
        <v>1380352</v>
      </c>
      <c r="AD87" s="84">
        <f t="shared" si="98"/>
        <v>2760704</v>
      </c>
      <c r="AE87" s="33">
        <f t="shared" si="98"/>
        <v>5521408</v>
      </c>
      <c r="AF87" s="84">
        <f t="shared" si="98"/>
        <v>8638658</v>
      </c>
      <c r="AG87" s="57"/>
    </row>
    <row r="88" spans="1:33" x14ac:dyDescent="0.25">
      <c r="A88" s="53"/>
      <c r="B88" s="28"/>
      <c r="C88" s="28"/>
      <c r="D88" s="37"/>
      <c r="E88" s="58">
        <v>0.06</v>
      </c>
      <c r="F88" s="28"/>
      <c r="G88" s="41">
        <f t="shared" ref="G88:AB88" si="99">G87*$E$88</f>
        <v>0.63187499999999996</v>
      </c>
      <c r="H88" s="42">
        <f t="shared" si="99"/>
        <v>1.2637499999999999</v>
      </c>
      <c r="I88" s="42">
        <f t="shared" si="99"/>
        <v>2.5274999999999999</v>
      </c>
      <c r="J88" s="42">
        <f t="shared" si="99"/>
        <v>5.0549999999999997</v>
      </c>
      <c r="K88" s="42">
        <f t="shared" si="99"/>
        <v>10.11</v>
      </c>
      <c r="L88" s="42">
        <f t="shared" si="99"/>
        <v>20.22</v>
      </c>
      <c r="M88" s="42">
        <f t="shared" si="99"/>
        <v>40.44</v>
      </c>
      <c r="N88" s="42">
        <f t="shared" si="99"/>
        <v>80.88</v>
      </c>
      <c r="O88" s="42">
        <f t="shared" ref="O88:S88" si="100">O87*$E$88</f>
        <v>121.32000000000001</v>
      </c>
      <c r="P88" s="42">
        <f t="shared" si="100"/>
        <v>133.452</v>
      </c>
      <c r="Q88" s="42">
        <f t="shared" ref="Q88:R88" si="101">Q87*$E$88</f>
        <v>145.584</v>
      </c>
      <c r="R88" s="42">
        <f t="shared" si="101"/>
        <v>153.672</v>
      </c>
      <c r="S88" s="42">
        <f t="shared" si="100"/>
        <v>157.71600000000001</v>
      </c>
      <c r="T88" s="42">
        <f t="shared" si="99"/>
        <v>161.76</v>
      </c>
      <c r="U88" s="42">
        <f t="shared" si="99"/>
        <v>323.52</v>
      </c>
      <c r="V88" s="42">
        <f t="shared" si="99"/>
        <v>647.04</v>
      </c>
      <c r="W88" s="42">
        <f t="shared" si="99"/>
        <v>1294.08</v>
      </c>
      <c r="X88" s="42">
        <f t="shared" si="99"/>
        <v>2588.16</v>
      </c>
      <c r="Y88" s="42">
        <f t="shared" si="99"/>
        <v>5176.32</v>
      </c>
      <c r="Z88" s="42">
        <f t="shared" si="99"/>
        <v>10352.64</v>
      </c>
      <c r="AA88" s="42">
        <f t="shared" si="99"/>
        <v>20705.28</v>
      </c>
      <c r="AB88" s="42">
        <f t="shared" si="99"/>
        <v>41410.559999999998</v>
      </c>
      <c r="AC88" s="42">
        <f>AC87*$E$88</f>
        <v>82821.119999999995</v>
      </c>
      <c r="AD88" s="83">
        <f>AD87*$E$88</f>
        <v>165642.23999999999</v>
      </c>
      <c r="AE88" s="42">
        <f>AE87*$E$88</f>
        <v>331284.47999999998</v>
      </c>
      <c r="AF88" s="83">
        <f>AF87*$E$88</f>
        <v>518319.48</v>
      </c>
      <c r="AG88" s="57"/>
    </row>
    <row r="89" spans="1:33" x14ac:dyDescent="0.25">
      <c r="A89" s="53" t="s">
        <v>9</v>
      </c>
      <c r="B89" s="36">
        <v>1.4999999999999999E-2</v>
      </c>
      <c r="C89" s="22">
        <f>$B$13 * B89</f>
        <v>384510</v>
      </c>
      <c r="D89" s="59"/>
      <c r="E89" s="28"/>
      <c r="F89" s="28"/>
      <c r="G89" s="32">
        <f t="shared" ref="G89:AF89" si="102">G$26*$B$89</f>
        <v>0.46875</v>
      </c>
      <c r="H89" s="33">
        <f t="shared" si="102"/>
        <v>0.9375</v>
      </c>
      <c r="I89" s="33">
        <f t="shared" si="102"/>
        <v>1.875</v>
      </c>
      <c r="J89" s="33">
        <f t="shared" si="102"/>
        <v>3.75</v>
      </c>
      <c r="K89" s="33">
        <f t="shared" si="102"/>
        <v>7.5</v>
      </c>
      <c r="L89" s="33">
        <f t="shared" si="102"/>
        <v>15</v>
      </c>
      <c r="M89" s="33">
        <f t="shared" si="102"/>
        <v>30</v>
      </c>
      <c r="N89" s="33">
        <f t="shared" si="102"/>
        <v>60</v>
      </c>
      <c r="O89" s="33">
        <f t="shared" si="102"/>
        <v>90</v>
      </c>
      <c r="P89" s="33">
        <f t="shared" si="102"/>
        <v>99</v>
      </c>
      <c r="Q89" s="33">
        <f t="shared" si="102"/>
        <v>108</v>
      </c>
      <c r="R89" s="33">
        <f t="shared" si="102"/>
        <v>114</v>
      </c>
      <c r="S89" s="33">
        <f t="shared" si="102"/>
        <v>117</v>
      </c>
      <c r="T89" s="33">
        <f t="shared" si="102"/>
        <v>120</v>
      </c>
      <c r="U89" s="33">
        <f t="shared" si="102"/>
        <v>240</v>
      </c>
      <c r="V89" s="33">
        <f t="shared" si="102"/>
        <v>480</v>
      </c>
      <c r="W89" s="33">
        <f t="shared" si="102"/>
        <v>960</v>
      </c>
      <c r="X89" s="33">
        <f t="shared" si="102"/>
        <v>1920</v>
      </c>
      <c r="Y89" s="33">
        <f t="shared" si="102"/>
        <v>3840</v>
      </c>
      <c r="Z89" s="33">
        <f t="shared" si="102"/>
        <v>7680</v>
      </c>
      <c r="AA89" s="33">
        <f t="shared" si="102"/>
        <v>15360</v>
      </c>
      <c r="AB89" s="33">
        <f t="shared" si="102"/>
        <v>30720</v>
      </c>
      <c r="AC89" s="33">
        <f t="shared" si="102"/>
        <v>61440</v>
      </c>
      <c r="AD89" s="84">
        <f t="shared" si="102"/>
        <v>122880</v>
      </c>
      <c r="AE89" s="33">
        <f t="shared" si="102"/>
        <v>245760</v>
      </c>
      <c r="AF89" s="84">
        <f t="shared" si="102"/>
        <v>384510</v>
      </c>
      <c r="AG89" s="57"/>
    </row>
    <row r="90" spans="1:33" x14ac:dyDescent="0.25">
      <c r="A90" s="53"/>
      <c r="B90" s="28"/>
      <c r="C90" s="28"/>
      <c r="D90" s="37"/>
      <c r="E90" s="58">
        <v>5.6000000000000001E-2</v>
      </c>
      <c r="F90" s="28"/>
      <c r="G90" s="41">
        <f t="shared" ref="G90:AB90" si="103">G89*$E$90</f>
        <v>2.6249999999999999E-2</v>
      </c>
      <c r="H90" s="42">
        <f t="shared" si="103"/>
        <v>5.2499999999999998E-2</v>
      </c>
      <c r="I90" s="42">
        <f t="shared" si="103"/>
        <v>0.105</v>
      </c>
      <c r="J90" s="42">
        <f t="shared" si="103"/>
        <v>0.21</v>
      </c>
      <c r="K90" s="42">
        <f t="shared" si="103"/>
        <v>0.42</v>
      </c>
      <c r="L90" s="42">
        <f t="shared" si="103"/>
        <v>0.84</v>
      </c>
      <c r="M90" s="42">
        <f t="shared" si="103"/>
        <v>1.68</v>
      </c>
      <c r="N90" s="42">
        <f t="shared" si="103"/>
        <v>3.36</v>
      </c>
      <c r="O90" s="42">
        <f t="shared" ref="O90:S90" si="104">O89*$E$90</f>
        <v>5.04</v>
      </c>
      <c r="P90" s="42">
        <f t="shared" si="104"/>
        <v>5.5440000000000005</v>
      </c>
      <c r="Q90" s="42">
        <f t="shared" ref="Q90:R90" si="105">Q89*$E$90</f>
        <v>6.048</v>
      </c>
      <c r="R90" s="42">
        <f t="shared" si="105"/>
        <v>6.3840000000000003</v>
      </c>
      <c r="S90" s="42">
        <f t="shared" si="104"/>
        <v>6.5520000000000005</v>
      </c>
      <c r="T90" s="42">
        <f t="shared" si="103"/>
        <v>6.72</v>
      </c>
      <c r="U90" s="42">
        <f t="shared" si="103"/>
        <v>13.44</v>
      </c>
      <c r="V90" s="42">
        <f t="shared" si="103"/>
        <v>26.88</v>
      </c>
      <c r="W90" s="42">
        <f t="shared" si="103"/>
        <v>53.76</v>
      </c>
      <c r="X90" s="42">
        <f t="shared" si="103"/>
        <v>107.52</v>
      </c>
      <c r="Y90" s="42">
        <f t="shared" si="103"/>
        <v>215.04</v>
      </c>
      <c r="Z90" s="42">
        <f t="shared" si="103"/>
        <v>430.08</v>
      </c>
      <c r="AA90" s="42">
        <f t="shared" si="103"/>
        <v>860.16</v>
      </c>
      <c r="AB90" s="42">
        <f t="shared" si="103"/>
        <v>1720.32</v>
      </c>
      <c r="AC90" s="42">
        <f>AC89*$E$90</f>
        <v>3440.64</v>
      </c>
      <c r="AD90" s="83">
        <f>AD89*$E$90</f>
        <v>6881.28</v>
      </c>
      <c r="AE90" s="42">
        <f>AE89*$E$90</f>
        <v>13762.56</v>
      </c>
      <c r="AF90" s="83">
        <f>AF89*$E$90</f>
        <v>21532.560000000001</v>
      </c>
      <c r="AG90" s="57"/>
    </row>
    <row r="91" spans="1:33" x14ac:dyDescent="0.25">
      <c r="A91" s="53" t="s">
        <v>10</v>
      </c>
      <c r="B91" s="36">
        <v>0.161</v>
      </c>
      <c r="C91" s="22">
        <f>$B$13 * B91</f>
        <v>4127074</v>
      </c>
      <c r="D91" s="59"/>
      <c r="E91" s="28"/>
      <c r="F91" s="28"/>
      <c r="G91" s="32">
        <f t="shared" ref="G91:AF91" si="106">G$26*$B$91</f>
        <v>5.03125</v>
      </c>
      <c r="H91" s="33">
        <f t="shared" si="106"/>
        <v>10.0625</v>
      </c>
      <c r="I91" s="33">
        <f t="shared" si="106"/>
        <v>20.125</v>
      </c>
      <c r="J91" s="33">
        <f t="shared" si="106"/>
        <v>40.25</v>
      </c>
      <c r="K91" s="33">
        <f t="shared" si="106"/>
        <v>80.5</v>
      </c>
      <c r="L91" s="33">
        <f t="shared" si="106"/>
        <v>161</v>
      </c>
      <c r="M91" s="33">
        <f t="shared" si="106"/>
        <v>322</v>
      </c>
      <c r="N91" s="33">
        <f t="shared" si="106"/>
        <v>644</v>
      </c>
      <c r="O91" s="33">
        <f t="shared" si="106"/>
        <v>966</v>
      </c>
      <c r="P91" s="33">
        <f t="shared" si="106"/>
        <v>1062.6000000000001</v>
      </c>
      <c r="Q91" s="33">
        <f t="shared" si="106"/>
        <v>1159.2</v>
      </c>
      <c r="R91" s="33">
        <f t="shared" si="106"/>
        <v>1223.6000000000001</v>
      </c>
      <c r="S91" s="33">
        <f t="shared" si="106"/>
        <v>1255.8</v>
      </c>
      <c r="T91" s="33">
        <f t="shared" si="106"/>
        <v>1288</v>
      </c>
      <c r="U91" s="33">
        <f t="shared" si="106"/>
        <v>2576</v>
      </c>
      <c r="V91" s="33">
        <f t="shared" si="106"/>
        <v>5152</v>
      </c>
      <c r="W91" s="33">
        <f t="shared" si="106"/>
        <v>10304</v>
      </c>
      <c r="X91" s="33">
        <f t="shared" si="106"/>
        <v>20608</v>
      </c>
      <c r="Y91" s="33">
        <f t="shared" si="106"/>
        <v>41216</v>
      </c>
      <c r="Z91" s="33">
        <f t="shared" si="106"/>
        <v>82432</v>
      </c>
      <c r="AA91" s="33">
        <f t="shared" si="106"/>
        <v>164864</v>
      </c>
      <c r="AB91" s="33">
        <f t="shared" si="106"/>
        <v>329728</v>
      </c>
      <c r="AC91" s="33">
        <f t="shared" si="106"/>
        <v>659456</v>
      </c>
      <c r="AD91" s="84">
        <f t="shared" si="106"/>
        <v>1318912</v>
      </c>
      <c r="AE91" s="33">
        <f t="shared" si="106"/>
        <v>2637824</v>
      </c>
      <c r="AF91" s="84">
        <f t="shared" si="106"/>
        <v>4127074</v>
      </c>
      <c r="AG91" s="57"/>
    </row>
    <row r="92" spans="1:33" x14ac:dyDescent="0.25">
      <c r="A92" s="49"/>
      <c r="B92" s="51"/>
      <c r="C92" s="51"/>
      <c r="D92" s="67"/>
      <c r="E92" s="68" t="s">
        <v>11</v>
      </c>
      <c r="F92" s="51"/>
      <c r="G92" s="41" t="s">
        <v>11</v>
      </c>
      <c r="H92" s="42" t="s">
        <v>11</v>
      </c>
      <c r="I92" s="42" t="s">
        <v>11</v>
      </c>
      <c r="J92" s="42" t="s">
        <v>11</v>
      </c>
      <c r="K92" s="42" t="s">
        <v>11</v>
      </c>
      <c r="L92" s="42" t="s">
        <v>11</v>
      </c>
      <c r="M92" s="42" t="s">
        <v>11</v>
      </c>
      <c r="N92" s="42" t="s">
        <v>11</v>
      </c>
      <c r="O92" s="42" t="s">
        <v>11</v>
      </c>
      <c r="P92" s="42" t="s">
        <v>11</v>
      </c>
      <c r="Q92" s="42" t="s">
        <v>11</v>
      </c>
      <c r="R92" s="42" t="s">
        <v>11</v>
      </c>
      <c r="S92" s="42" t="s">
        <v>11</v>
      </c>
      <c r="T92" s="42" t="s">
        <v>11</v>
      </c>
      <c r="U92" s="42" t="s">
        <v>11</v>
      </c>
      <c r="V92" s="42" t="s">
        <v>11</v>
      </c>
      <c r="W92" s="42" t="s">
        <v>11</v>
      </c>
      <c r="X92" s="42" t="s">
        <v>11</v>
      </c>
      <c r="Y92" s="42" t="s">
        <v>11</v>
      </c>
      <c r="Z92" s="42" t="s">
        <v>11</v>
      </c>
      <c r="AA92" s="42" t="s">
        <v>11</v>
      </c>
      <c r="AB92" s="42" t="s">
        <v>11</v>
      </c>
      <c r="AC92" s="42" t="s">
        <v>11</v>
      </c>
      <c r="AD92" s="83" t="s">
        <v>11</v>
      </c>
      <c r="AE92" s="44" t="s">
        <v>11</v>
      </c>
      <c r="AF92" s="85" t="s">
        <v>11</v>
      </c>
      <c r="AG92" s="57"/>
    </row>
    <row r="93" spans="1:33" x14ac:dyDescent="0.25">
      <c r="A93" s="53"/>
      <c r="B93" s="28"/>
      <c r="C93" s="28"/>
      <c r="D93" s="59"/>
      <c r="E93" s="28"/>
      <c r="F93" s="28"/>
      <c r="G93" s="30">
        <f>SUM(G81,G83,G85,G87,G89,G91)</f>
        <v>28.71875</v>
      </c>
      <c r="H93" s="31">
        <f t="shared" ref="H93:AB93" si="107">SUM(H81,H83,H85,H87,H89,H91)</f>
        <v>57.4375</v>
      </c>
      <c r="I93" s="31">
        <f t="shared" si="107"/>
        <v>114.875</v>
      </c>
      <c r="J93" s="31">
        <f t="shared" si="107"/>
        <v>229.75</v>
      </c>
      <c r="K93" s="31">
        <f t="shared" si="107"/>
        <v>459.5</v>
      </c>
      <c r="L93" s="31">
        <f t="shared" si="107"/>
        <v>919</v>
      </c>
      <c r="M93" s="31">
        <f>SUM(M81,M83,M85,M87,M89,M91)</f>
        <v>1838</v>
      </c>
      <c r="N93" s="31">
        <f t="shared" si="107"/>
        <v>3676</v>
      </c>
      <c r="O93" s="31">
        <f t="shared" ref="O93:S93" si="108">SUM(O81,O83,O85,O87,O89,O91)</f>
        <v>5514</v>
      </c>
      <c r="P93" s="31">
        <f t="shared" si="108"/>
        <v>6065.4000000000005</v>
      </c>
      <c r="Q93" s="31">
        <f t="shared" ref="Q93:R93" si="109">SUM(Q81,Q83,Q85,Q87,Q89,Q91)</f>
        <v>6616.8</v>
      </c>
      <c r="R93" s="31">
        <f t="shared" si="109"/>
        <v>6984.4000000000005</v>
      </c>
      <c r="S93" s="31">
        <f t="shared" si="108"/>
        <v>7168.2000000000007</v>
      </c>
      <c r="T93" s="31">
        <f t="shared" si="107"/>
        <v>7352</v>
      </c>
      <c r="U93" s="31">
        <f t="shared" si="107"/>
        <v>14704</v>
      </c>
      <c r="V93" s="31">
        <f t="shared" si="107"/>
        <v>29408</v>
      </c>
      <c r="W93" s="31">
        <f t="shared" si="107"/>
        <v>58816</v>
      </c>
      <c r="X93" s="31">
        <f t="shared" si="107"/>
        <v>117632</v>
      </c>
      <c r="Y93" s="31">
        <f t="shared" si="107"/>
        <v>235264</v>
      </c>
      <c r="Z93" s="31">
        <f t="shared" si="107"/>
        <v>470528</v>
      </c>
      <c r="AA93" s="31">
        <f t="shared" si="107"/>
        <v>941056</v>
      </c>
      <c r="AB93" s="31">
        <f t="shared" si="107"/>
        <v>1882112</v>
      </c>
      <c r="AC93" s="31">
        <f t="shared" ref="AC93:AF94" si="110">SUM(AC81,AC83,AC85,AC87,AC89,AC91)</f>
        <v>3764224</v>
      </c>
      <c r="AD93" s="72">
        <f t="shared" si="110"/>
        <v>7528448</v>
      </c>
      <c r="AE93" s="33">
        <f t="shared" si="110"/>
        <v>15056896</v>
      </c>
      <c r="AF93" s="84">
        <f t="shared" si="110"/>
        <v>23557646</v>
      </c>
      <c r="AG93" s="57"/>
    </row>
    <row r="94" spans="1:33" x14ac:dyDescent="0.25">
      <c r="A94" s="49" t="s">
        <v>132</v>
      </c>
      <c r="B94" s="51"/>
      <c r="C94" s="51"/>
      <c r="D94" s="51"/>
      <c r="E94" s="51"/>
      <c r="F94" s="51"/>
      <c r="G94" s="43">
        <f>SUM(G82,G84,G86,G88,G90,G92)</f>
        <v>1.5374375000000002</v>
      </c>
      <c r="H94" s="44">
        <f t="shared" ref="H94:AB94" si="111">SUM(H82,H84,H86,H88,H90,H92)</f>
        <v>3.0748750000000005</v>
      </c>
      <c r="I94" s="44">
        <f t="shared" si="111"/>
        <v>6.1497500000000009</v>
      </c>
      <c r="J94" s="44">
        <f t="shared" si="111"/>
        <v>12.299500000000002</v>
      </c>
      <c r="K94" s="44">
        <f t="shared" si="111"/>
        <v>24.599000000000004</v>
      </c>
      <c r="L94" s="44">
        <f t="shared" si="111"/>
        <v>49.198000000000008</v>
      </c>
      <c r="M94" s="44">
        <f t="shared" si="111"/>
        <v>98.396000000000015</v>
      </c>
      <c r="N94" s="44">
        <f t="shared" si="111"/>
        <v>196.79200000000003</v>
      </c>
      <c r="O94" s="44">
        <f t="shared" ref="O94:S94" si="112">SUM(O82,O84,O86,O88,O90,O92)</f>
        <v>295.18800000000005</v>
      </c>
      <c r="P94" s="44">
        <f t="shared" si="112"/>
        <v>324.70679999999999</v>
      </c>
      <c r="Q94" s="44">
        <f t="shared" ref="Q94:R94" si="113">SUM(Q82,Q84,Q86,Q88,Q90,Q92)</f>
        <v>354.22559999999999</v>
      </c>
      <c r="R94" s="44">
        <f t="shared" si="113"/>
        <v>373.90480000000002</v>
      </c>
      <c r="S94" s="44">
        <f t="shared" si="112"/>
        <v>383.74440000000004</v>
      </c>
      <c r="T94" s="44">
        <f t="shared" si="111"/>
        <v>393.58400000000006</v>
      </c>
      <c r="U94" s="44">
        <f t="shared" si="111"/>
        <v>787.16800000000012</v>
      </c>
      <c r="V94" s="44">
        <f t="shared" si="111"/>
        <v>1574.3360000000002</v>
      </c>
      <c r="W94" s="44">
        <f t="shared" si="111"/>
        <v>3148.6720000000005</v>
      </c>
      <c r="X94" s="44">
        <f t="shared" si="111"/>
        <v>6297.344000000001</v>
      </c>
      <c r="Y94" s="44">
        <f t="shared" si="111"/>
        <v>12594.688000000002</v>
      </c>
      <c r="Z94" s="44">
        <f t="shared" si="111"/>
        <v>25189.376000000004</v>
      </c>
      <c r="AA94" s="44">
        <f t="shared" si="111"/>
        <v>50378.752000000008</v>
      </c>
      <c r="AB94" s="44">
        <f t="shared" si="111"/>
        <v>100757.50400000002</v>
      </c>
      <c r="AC94" s="44">
        <f t="shared" si="110"/>
        <v>201515.00800000003</v>
      </c>
      <c r="AD94" s="85">
        <f t="shared" si="110"/>
        <v>403030.01600000006</v>
      </c>
      <c r="AE94" s="44">
        <f t="shared" si="110"/>
        <v>806060.03200000012</v>
      </c>
      <c r="AF94" s="85">
        <f t="shared" si="110"/>
        <v>1261141.5320000001</v>
      </c>
      <c r="AG94" s="57"/>
    </row>
  </sheetData>
  <conditionalFormatting sqref="AE37:AG37 G37:AC37">
    <cfRule type="cellIs" dxfId="28" priority="36" operator="greaterThan">
      <formula>$C$16</formula>
    </cfRule>
  </conditionalFormatting>
  <conditionalFormatting sqref="AE39:AF39 G39:AC39">
    <cfRule type="cellIs" dxfId="27" priority="35" operator="greaterThan">
      <formula>$C$17</formula>
    </cfRule>
  </conditionalFormatting>
  <conditionalFormatting sqref="G58:AF58">
    <cfRule type="cellIs" dxfId="26" priority="34" operator="greaterThan">
      <formula>$C$58</formula>
    </cfRule>
  </conditionalFormatting>
  <conditionalFormatting sqref="G60:AF60">
    <cfRule type="cellIs" dxfId="25" priority="33" operator="greaterThan">
      <formula>$C$60</formula>
    </cfRule>
  </conditionalFormatting>
  <conditionalFormatting sqref="G62:AF62">
    <cfRule type="cellIs" dxfId="24" priority="32" operator="greaterThan">
      <formula>$C$62</formula>
    </cfRule>
  </conditionalFormatting>
  <conditionalFormatting sqref="G64:AF64">
    <cfRule type="cellIs" dxfId="23" priority="24" operator="greaterThan">
      <formula>$C$64</formula>
    </cfRule>
  </conditionalFormatting>
  <conditionalFormatting sqref="G66:AF66">
    <cfRule type="cellIs" dxfId="22" priority="23" operator="greaterThan">
      <formula>$C$66</formula>
    </cfRule>
  </conditionalFormatting>
  <conditionalFormatting sqref="G68:AF68">
    <cfRule type="cellIs" dxfId="21" priority="22" operator="greaterThan">
      <formula>$C$68</formula>
    </cfRule>
  </conditionalFormatting>
  <conditionalFormatting sqref="G70:AF70">
    <cfRule type="cellIs" dxfId="20" priority="21" operator="greaterThan">
      <formula>$C$70</formula>
    </cfRule>
  </conditionalFormatting>
  <conditionalFormatting sqref="G72:AF72">
    <cfRule type="cellIs" dxfId="19" priority="20" operator="greaterThan">
      <formula>$C$72</formula>
    </cfRule>
  </conditionalFormatting>
  <conditionalFormatting sqref="G74:AF74">
    <cfRule type="cellIs" dxfId="18" priority="19" operator="greaterThan">
      <formula>$C$74</formula>
    </cfRule>
  </conditionalFormatting>
  <conditionalFormatting sqref="AE28:AF28 G28:AC28">
    <cfRule type="cellIs" dxfId="17" priority="18" operator="equal">
      <formula>0</formula>
    </cfRule>
  </conditionalFormatting>
  <conditionalFormatting sqref="AE35 G35:AC35 G37:AC37 H39:AC39">
    <cfRule type="cellIs" dxfId="16" priority="17" operator="equal">
      <formula>0</formula>
    </cfRule>
  </conditionalFormatting>
  <conditionalFormatting sqref="AE37:AF37">
    <cfRule type="cellIs" dxfId="15" priority="16" operator="equal">
      <formula>0</formula>
    </cfRule>
  </conditionalFormatting>
  <conditionalFormatting sqref="AE39:AF39">
    <cfRule type="cellIs" dxfId="14" priority="15" operator="equal">
      <formula>0</formula>
    </cfRule>
  </conditionalFormatting>
  <conditionalFormatting sqref="D60">
    <cfRule type="cellIs" dxfId="13" priority="14" operator="greaterThan">
      <formula>$B$60</formula>
    </cfRule>
  </conditionalFormatting>
  <conditionalFormatting sqref="D62">
    <cfRule type="cellIs" dxfId="12" priority="13" operator="greaterThan">
      <formula>$B$62</formula>
    </cfRule>
  </conditionalFormatting>
  <conditionalFormatting sqref="D64">
    <cfRule type="cellIs" dxfId="11" priority="12" operator="greaterThan">
      <formula>$B$64</formula>
    </cfRule>
  </conditionalFormatting>
  <conditionalFormatting sqref="D66">
    <cfRule type="cellIs" dxfId="10" priority="11" operator="greaterThan">
      <formula>$B$66</formula>
    </cfRule>
  </conditionalFormatting>
  <conditionalFormatting sqref="D68">
    <cfRule type="cellIs" dxfId="9" priority="10" operator="greaterThan">
      <formula>$B$68</formula>
    </cfRule>
  </conditionalFormatting>
  <conditionalFormatting sqref="D70">
    <cfRule type="cellIs" dxfId="8" priority="9" operator="greaterThan">
      <formula>$B$70</formula>
    </cfRule>
  </conditionalFormatting>
  <conditionalFormatting sqref="D72">
    <cfRule type="cellIs" dxfId="7" priority="8" operator="greaterThan">
      <formula>$B$72</formula>
    </cfRule>
  </conditionalFormatting>
  <conditionalFormatting sqref="D74">
    <cfRule type="cellIs" dxfId="6" priority="7" operator="greaterThan">
      <formula>$B$74</formula>
    </cfRule>
  </conditionalFormatting>
  <conditionalFormatting sqref="AD37">
    <cfRule type="cellIs" dxfId="5" priority="6" operator="greaterThan">
      <formula>$C$16</formula>
    </cfRule>
  </conditionalFormatting>
  <conditionalFormatting sqref="AD39">
    <cfRule type="cellIs" dxfId="4" priority="5" operator="greaterThan">
      <formula>$C$17</formula>
    </cfRule>
  </conditionalFormatting>
  <conditionalFormatting sqref="AD28">
    <cfRule type="cellIs" dxfId="3" priority="4" operator="equal">
      <formula>0</formula>
    </cfRule>
  </conditionalFormatting>
  <conditionalFormatting sqref="AD35">
    <cfRule type="cellIs" dxfId="2" priority="3" operator="equal">
      <formula>0</formula>
    </cfRule>
  </conditionalFormatting>
  <conditionalFormatting sqref="AD37">
    <cfRule type="cellIs" dxfId="1" priority="2" operator="equal">
      <formula>0</formula>
    </cfRule>
  </conditionalFormatting>
  <conditionalFormatting sqref="AD39">
    <cfRule type="cellIs" dxfId="0" priority="1" operator="equal">
      <formula>0</formula>
    </cfRule>
  </conditionalFormatting>
  <hyperlinks>
    <hyperlink ref="D57" r:id="rId1" xr:uid="{98D6456F-EA03-4FCB-8D3D-1822F6B38CCF}"/>
    <hyperlink ref="E57" r:id="rId2" location="case-fatality-rate-of-covid-19-by-age" xr:uid="{0058192C-B05A-45D2-8597-C1F9B3D9241E}"/>
    <hyperlink ref="E80" r:id="rId3" location="case-fatality-rate-of-covid-19-by-preexisting-health-conditions" xr:uid="{110A2613-24A6-4768-B90C-571B307D13E2}"/>
    <hyperlink ref="B13" r:id="rId4" display="https://www.abs.gov.au/ausstats/abs@.nsf/0/1647509ef7e25faaca2568a900154b63?opendocument" xr:uid="{63727E5E-0850-4414-8DD8-E50A09A5AEE8}"/>
    <hyperlink ref="B57" r:id="rId5" xr:uid="{E432DB14-5D35-4B35-8F24-1C070D7F22B3}"/>
    <hyperlink ref="B14" r:id="rId6" display="https://cmmid.github.io/topics/covid19/severity/global_cfr_estimates.html" xr:uid="{49B36C88-7FC3-4DAA-BBA5-EABFD6685804}"/>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I6" sqref="I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221</v>
      </c>
      <c r="C3" s="179">
        <f>Projections!B13</f>
        <v>25634000</v>
      </c>
      <c r="J3" s="2"/>
    </row>
    <row r="4" spans="2:10" x14ac:dyDescent="0.25">
      <c r="B4" s="195" t="s">
        <v>239</v>
      </c>
      <c r="C4" s="179">
        <v>32</v>
      </c>
      <c r="J4" s="2"/>
    </row>
    <row r="5" spans="2:10" x14ac:dyDescent="0.25">
      <c r="B5" s="195" t="s">
        <v>240</v>
      </c>
      <c r="C5" s="177">
        <v>43892</v>
      </c>
      <c r="J5" s="2"/>
    </row>
    <row r="6" spans="2:10" x14ac:dyDescent="0.25">
      <c r="B6" s="195" t="s">
        <v>222</v>
      </c>
      <c r="C6" s="179">
        <v>6612</v>
      </c>
    </row>
    <row r="7" spans="2:10" x14ac:dyDescent="0.25">
      <c r="B7" s="195" t="s">
        <v>224</v>
      </c>
      <c r="C7" s="177">
        <f ca="1">NOW()</f>
        <v>43952.44735613426</v>
      </c>
    </row>
    <row r="8" spans="2:10" x14ac:dyDescent="0.25">
      <c r="B8" s="195" t="s">
        <v>241</v>
      </c>
      <c r="C8" s="178">
        <f ca="1">C7-C5</f>
        <v>60.44735613426019</v>
      </c>
    </row>
    <row r="9" spans="2:10" x14ac:dyDescent="0.25">
      <c r="B9" s="195" t="s">
        <v>223</v>
      </c>
      <c r="C9" s="180">
        <f ca="1">C8/(LOG(C6/C4)/LOG(2))</f>
        <v>7.8596242299768262</v>
      </c>
      <c r="D9" t="s">
        <v>197</v>
      </c>
      <c r="F9" t="s">
        <v>242</v>
      </c>
    </row>
    <row r="10" spans="2:10" x14ac:dyDescent="0.25">
      <c r="B10" s="195" t="s">
        <v>228</v>
      </c>
      <c r="C10" s="179">
        <f>Projections!C16</f>
        <v>66648.400000000009</v>
      </c>
    </row>
    <row r="11" spans="2:10" x14ac:dyDescent="0.25">
      <c r="B11" s="196" t="s">
        <v>229</v>
      </c>
      <c r="C11" s="184">
        <f>Projections!C17</f>
        <v>1896.9159999999999</v>
      </c>
    </row>
    <row r="12" spans="2:10" s="81" customFormat="1" x14ac:dyDescent="0.25">
      <c r="B12" s="74" t="s">
        <v>276</v>
      </c>
      <c r="C12" s="185">
        <f>C6/Projections!B14</f>
        <v>8162.9629629629626</v>
      </c>
    </row>
    <row r="13" spans="2:10" s="81" customFormat="1" x14ac:dyDescent="0.25">
      <c r="B13" s="60" t="s">
        <v>277</v>
      </c>
      <c r="C13" s="186">
        <f ca="1">(C4/Projections!B14)*(2^(((C7-21)-C5)/C9))</f>
        <v>1280.945814434805</v>
      </c>
    </row>
    <row r="14" spans="2:10" s="81" customFormat="1" x14ac:dyDescent="0.25">
      <c r="B14" s="61" t="s">
        <v>278</v>
      </c>
      <c r="C14" s="165">
        <f ca="1">C12-C13</f>
        <v>6882.0171485281571</v>
      </c>
      <c r="E14" s="182"/>
      <c r="F14" s="183" t="s">
        <v>246</v>
      </c>
      <c r="G14" s="181"/>
    </row>
    <row r="15" spans="2:10" x14ac:dyDescent="0.25">
      <c r="B15" s="16" t="s">
        <v>243</v>
      </c>
      <c r="C15" s="76">
        <f>C6*Projections!B18</f>
        <v>6083.04</v>
      </c>
      <c r="I15" s="176"/>
    </row>
    <row r="16" spans="2:10" x14ac:dyDescent="0.25">
      <c r="B16" s="53" t="s">
        <v>253</v>
      </c>
      <c r="C16" s="95">
        <f ca="1">(C4*Projections!B18)*(2^(((C7-21)-C5)/C9))</f>
        <v>954.56082091681685</v>
      </c>
      <c r="I16" s="176"/>
    </row>
    <row r="17" spans="2:9" x14ac:dyDescent="0.25">
      <c r="B17" s="53" t="s">
        <v>244</v>
      </c>
      <c r="C17" s="95">
        <f ca="1">C15-C16</f>
        <v>5128.4791790831832</v>
      </c>
      <c r="F17" t="s">
        <v>247</v>
      </c>
      <c r="I17" s="176"/>
    </row>
    <row r="18" spans="2:9" x14ac:dyDescent="0.25">
      <c r="B18" s="16" t="s">
        <v>249</v>
      </c>
      <c r="C18" s="76">
        <f>C6*Projections!B19</f>
        <v>330.6</v>
      </c>
    </row>
    <row r="19" spans="2:9" x14ac:dyDescent="0.25">
      <c r="B19" s="53" t="s">
        <v>254</v>
      </c>
      <c r="C19" s="95">
        <f ca="1">(C4*Projections!B19)*(2^(((C7-49)-C5)/C9))</f>
        <v>4.3909958441488079</v>
      </c>
    </row>
    <row r="20" spans="2:9" x14ac:dyDescent="0.25">
      <c r="B20" s="53" t="s">
        <v>248</v>
      </c>
      <c r="C20" s="95">
        <f ca="1">C18-C19</f>
        <v>326.20900415585123</v>
      </c>
      <c r="F20" t="s">
        <v>252</v>
      </c>
    </row>
    <row r="21" spans="2:9" x14ac:dyDescent="0.25">
      <c r="B21" s="16" t="s">
        <v>250</v>
      </c>
      <c r="C21" s="76">
        <f>C6*Projections!B20</f>
        <v>198.35999999999999</v>
      </c>
      <c r="I21" s="176"/>
    </row>
    <row r="22" spans="2:9" x14ac:dyDescent="0.25">
      <c r="B22" s="53" t="s">
        <v>255</v>
      </c>
      <c r="C22" s="95">
        <f ca="1">(C4*Projections!B20)*(2^(((C7-49)-C5)/C9))</f>
        <v>2.6345975064892846</v>
      </c>
      <c r="I22" s="176"/>
    </row>
    <row r="23" spans="2:9" x14ac:dyDescent="0.25">
      <c r="B23" s="53" t="s">
        <v>251</v>
      </c>
      <c r="C23" s="95">
        <f ca="1">C21-C22</f>
        <v>195.7254024935107</v>
      </c>
      <c r="I23" s="176"/>
    </row>
    <row r="24" spans="2:9" x14ac:dyDescent="0.25">
      <c r="B24" s="16" t="s">
        <v>256</v>
      </c>
      <c r="C24" s="76">
        <f>C6*Projections!B21</f>
        <v>85.956000000000003</v>
      </c>
    </row>
    <row r="25" spans="2:9" x14ac:dyDescent="0.25">
      <c r="B25" s="49" t="s">
        <v>257</v>
      </c>
      <c r="C25" s="73">
        <f ca="1">(C4*Projections!B21)*(2^(((C7-42)-C5)/C9))</f>
        <v>2.1166159430978939</v>
      </c>
      <c r="F25" t="s">
        <v>258</v>
      </c>
    </row>
    <row r="26" spans="2:9" x14ac:dyDescent="0.25">
      <c r="B26" s="53" t="s">
        <v>234</v>
      </c>
      <c r="C26" s="189">
        <f ca="1">C9*(LOG(C10/C21)/LOG(2))</f>
        <v>65.960366088080221</v>
      </c>
      <c r="D26" t="s">
        <v>197</v>
      </c>
      <c r="F26" s="81" t="s">
        <v>259</v>
      </c>
    </row>
    <row r="27" spans="2:9" x14ac:dyDescent="0.25">
      <c r="B27" s="49" t="s">
        <v>230</v>
      </c>
      <c r="C27" s="188">
        <f ca="1">C7+C26</f>
        <v>44018.407722222342</v>
      </c>
      <c r="F27" t="s">
        <v>260</v>
      </c>
    </row>
    <row r="28" spans="2:9" x14ac:dyDescent="0.25">
      <c r="B28" s="16" t="s">
        <v>235</v>
      </c>
      <c r="C28" s="187">
        <f ca="1">C9*(LOG(C11/C21)/LOG(2))</f>
        <v>25.602433225606564</v>
      </c>
      <c r="D28" t="s">
        <v>197</v>
      </c>
    </row>
    <row r="29" spans="2:9" x14ac:dyDescent="0.25">
      <c r="B29" s="49" t="s">
        <v>231</v>
      </c>
      <c r="C29" s="188">
        <f ca="1">C7+C28</f>
        <v>43978.049789359866</v>
      </c>
      <c r="F29" t="s">
        <v>260</v>
      </c>
    </row>
    <row r="30" spans="2:9" x14ac:dyDescent="0.25">
      <c r="B30" s="16" t="s">
        <v>236</v>
      </c>
      <c r="C30" s="187">
        <f ca="1">C9*(LOG((C3*0.6)/C12)/LOG(2))</f>
        <v>85.510451918628391</v>
      </c>
      <c r="D30" t="s">
        <v>197</v>
      </c>
    </row>
    <row r="31" spans="2:9" x14ac:dyDescent="0.25">
      <c r="B31" s="49" t="s">
        <v>233</v>
      </c>
      <c r="C31" s="188">
        <f ca="1">C7+C30</f>
        <v>44037.957808052888</v>
      </c>
    </row>
    <row r="34" spans="2:6" x14ac:dyDescent="0.25">
      <c r="B34" s="16" t="s">
        <v>237</v>
      </c>
      <c r="C34" s="177">
        <f ca="1">C7+30</f>
        <v>43982.44735613426</v>
      </c>
      <c r="F34" t="s">
        <v>279</v>
      </c>
    </row>
    <row r="35" spans="2:6" x14ac:dyDescent="0.25">
      <c r="B35" s="53" t="s">
        <v>238</v>
      </c>
      <c r="C35" s="95">
        <f ca="1">C6*(2^((C34-C7)/C9))</f>
        <v>93187.406797175281</v>
      </c>
      <c r="F35" t="s">
        <v>245</v>
      </c>
    </row>
    <row r="36" spans="2:6" x14ac:dyDescent="0.25">
      <c r="B36" s="53" t="s">
        <v>232</v>
      </c>
      <c r="C36" s="95">
        <f ca="1">C35/Projections!B14</f>
        <v>115046.18123108058</v>
      </c>
    </row>
    <row r="37" spans="2:6" x14ac:dyDescent="0.25">
      <c r="B37" s="53" t="s">
        <v>172</v>
      </c>
      <c r="C37" s="95">
        <f ca="1">C35*Projections!B18</f>
        <v>85732.414253401264</v>
      </c>
    </row>
    <row r="38" spans="2:6" x14ac:dyDescent="0.25">
      <c r="B38" s="53" t="s">
        <v>225</v>
      </c>
      <c r="C38" s="95">
        <f ca="1">C35*Projections!B19</f>
        <v>4659.3703398587641</v>
      </c>
    </row>
    <row r="39" spans="2:6" x14ac:dyDescent="0.25">
      <c r="B39" s="53" t="s">
        <v>226</v>
      </c>
      <c r="C39" s="95">
        <f ca="1">C35*Projections!B20</f>
        <v>2795.6222039152585</v>
      </c>
    </row>
    <row r="40" spans="2:6" x14ac:dyDescent="0.25">
      <c r="B40" s="49" t="s">
        <v>227</v>
      </c>
      <c r="C40" s="73">
        <f ca="1">C35*Projections!B21</f>
        <v>1211.4362883632787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E29" sqref="E29"/>
    </sheetView>
  </sheetViews>
  <sheetFormatPr defaultRowHeight="15" x14ac:dyDescent="0.25"/>
  <sheetData>
    <row r="3" spans="1:3" x14ac:dyDescent="0.25">
      <c r="A3" t="s">
        <v>136</v>
      </c>
      <c r="B3" t="s">
        <v>137</v>
      </c>
      <c r="C3" t="s">
        <v>138</v>
      </c>
    </row>
    <row r="4" spans="1:3" x14ac:dyDescent="0.25">
      <c r="A4" s="53" t="s">
        <v>13</v>
      </c>
      <c r="B4">
        <v>171</v>
      </c>
      <c r="C4" s="3">
        <f t="shared" ref="C4:C12" si="0">B4/$B$14</f>
        <v>2.8890015205271159E-2</v>
      </c>
    </row>
    <row r="5" spans="1:3" x14ac:dyDescent="0.25">
      <c r="A5" s="53" t="s">
        <v>14</v>
      </c>
      <c r="B5">
        <v>628</v>
      </c>
      <c r="C5" s="3">
        <f t="shared" si="0"/>
        <v>0.10609900321000169</v>
      </c>
    </row>
    <row r="6" spans="1:3" x14ac:dyDescent="0.25">
      <c r="A6" s="53" t="s">
        <v>15</v>
      </c>
      <c r="B6">
        <v>996</v>
      </c>
      <c r="C6" s="3">
        <f t="shared" si="0"/>
        <v>0.16827166751140396</v>
      </c>
    </row>
    <row r="7" spans="1:3" x14ac:dyDescent="0.25">
      <c r="A7" s="53" t="s">
        <v>16</v>
      </c>
      <c r="B7">
        <v>916</v>
      </c>
      <c r="C7" s="3">
        <f t="shared" si="0"/>
        <v>0.15475587092414259</v>
      </c>
    </row>
    <row r="8" spans="1:3" x14ac:dyDescent="0.25">
      <c r="A8" s="53" t="s">
        <v>17</v>
      </c>
      <c r="B8">
        <v>763</v>
      </c>
      <c r="C8" s="3">
        <f t="shared" si="0"/>
        <v>0.12890690995100523</v>
      </c>
    </row>
    <row r="9" spans="1:3" x14ac:dyDescent="0.25">
      <c r="A9" s="53" t="s">
        <v>18</v>
      </c>
      <c r="B9">
        <v>936</v>
      </c>
      <c r="C9" s="3">
        <f t="shared" si="0"/>
        <v>0.15813482007095794</v>
      </c>
    </row>
    <row r="10" spans="1:3" x14ac:dyDescent="0.25">
      <c r="A10" s="53" t="s">
        <v>19</v>
      </c>
      <c r="B10">
        <v>1279</v>
      </c>
      <c r="C10" s="3">
        <f t="shared" si="0"/>
        <v>0.21608379793884103</v>
      </c>
    </row>
    <row r="11" spans="1:3" ht="15.75" customHeight="1" x14ac:dyDescent="0.25">
      <c r="A11" s="54" t="s">
        <v>20</v>
      </c>
      <c r="B11">
        <v>171</v>
      </c>
      <c r="C11" s="3">
        <f t="shared" si="0"/>
        <v>2.8890015205271159E-2</v>
      </c>
    </row>
    <row r="12" spans="1:3" x14ac:dyDescent="0.25">
      <c r="A12" s="54" t="s">
        <v>21</v>
      </c>
      <c r="B12">
        <v>59</v>
      </c>
      <c r="C12" s="3">
        <f t="shared" si="0"/>
        <v>9.967899983105254E-3</v>
      </c>
    </row>
    <row r="14" spans="1:3" x14ac:dyDescent="0.25">
      <c r="A14" t="s">
        <v>139</v>
      </c>
      <c r="B14">
        <f>SUM(B4:B12)</f>
        <v>5919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2020-05-01T00:44:11Z</dcterms:modified>
</cp:coreProperties>
</file>