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35EAEE8-1AA2-4834-B5CF-083A3628ACC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5" i="1" l="1"/>
  <c r="V42" i="1"/>
  <c r="W42" i="1"/>
  <c r="X42" i="1"/>
  <c r="Y42" i="1"/>
  <c r="Z42" i="1"/>
  <c r="AA42" i="1"/>
  <c r="AB42" i="1"/>
  <c r="AC42" i="1"/>
  <c r="AD42" i="1"/>
  <c r="AE42" i="1"/>
  <c r="U42" i="1"/>
  <c r="S45" i="1" l="1"/>
  <c r="J21" i="1" l="1"/>
  <c r="K45" i="1"/>
  <c r="L45" i="1"/>
  <c r="M45" i="1"/>
  <c r="N45" i="1"/>
  <c r="O45" i="1"/>
  <c r="P45" i="1"/>
  <c r="Q45" i="1"/>
  <c r="R45" i="1"/>
  <c r="J45" i="1"/>
  <c r="E34" i="4" l="1"/>
  <c r="C45" i="4"/>
  <c r="F4" i="1"/>
  <c r="C21" i="5" l="1"/>
  <c r="D9" i="1"/>
  <c r="C9" i="1"/>
  <c r="C8" i="1"/>
  <c r="B14" i="3"/>
  <c r="AH22" i="1"/>
  <c r="AH24" i="1" s="1"/>
  <c r="AH23" i="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AF42" i="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S20" i="1" s="1"/>
  <c r="S21" i="1" s="1"/>
  <c r="L20" i="1"/>
  <c r="L21" i="1" s="1"/>
  <c r="T29" i="1"/>
  <c r="T20" i="1" s="1"/>
  <c r="T21" i="1" s="1"/>
  <c r="X85" i="1"/>
  <c r="M20" i="1"/>
  <c r="M21" i="1" s="1"/>
  <c r="X86" i="1"/>
  <c r="N29" i="1"/>
  <c r="N20" i="1" s="1"/>
  <c r="N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29" i="1" s="1"/>
  <c r="AH33"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<sst xmlns="http://schemas.openxmlformats.org/spreadsheetml/2006/main" count="278" uniqueCount="205">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</sst>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Projections!$J$18:$AJ$18</c15:sqref>
                  </c15:fullRef>
                </c:ext>
              </c:extLst>
              <c:f>Projections!$J$18:$U$18</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Projections!$J$42:$AJ$42</c15:sqref>
                  </c15:fullRef>
                </c:ext>
              </c:extLst>
              <c:f>Projections!$J$42:$U$42</c:f>
              <c:numCache>
                <c:formatCode>General</c:formatCode>
                <c:ptCount val="12"/>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Projections!$J$32:$AJ$32</c15:sqref>
                  </c15:fullRef>
                </c:ext>
              </c:extLst>
              <c:f>Projections!$J$32:$U$32</c:f>
              <c:numCache>
                <c:formatCode>#,##0_ ;[Red]\-#,##0\ </c:formatCode>
                <c:ptCount val="12"/>
                <c:pt idx="0">
                  <c:v>1.03125</c:v>
                </c:pt>
                <c:pt idx="1">
                  <c:v>2.0625</c:v>
                </c:pt>
                <c:pt idx="2">
                  <c:v>4.125</c:v>
                </c:pt>
                <c:pt idx="3">
                  <c:v>8.25</c:v>
                </c:pt>
                <c:pt idx="4">
                  <c:v>16.5</c:v>
                </c:pt>
                <c:pt idx="5">
                  <c:v>33</c:v>
                </c:pt>
                <c:pt idx="6">
                  <c:v>66</c:v>
                </c:pt>
                <c:pt idx="7">
                  <c:v>132</c:v>
                </c:pt>
                <c:pt idx="8">
                  <c:v>264</c:v>
                </c:pt>
                <c:pt idx="9">
                  <c:v>528</c:v>
                </c:pt>
                <c:pt idx="10">
                  <c:v>1056</c:v>
                </c:pt>
                <c:pt idx="11">
                  <c:v>2112</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Projections!$J$46:$AJ$46</c15:sqref>
                  </c15:fullRef>
                </c:ext>
              </c:extLst>
              <c:f>Projections!$J$46:$U$46</c:f>
              <c:numCache>
                <c:formatCode>General</c:formatCode>
                <c:ptCount val="12"/>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20156.887707669503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15195.839884257293</c:v>
                </c:pt>
                <c:pt idx="13">
                  <c:v>30582.214945995038</c:v>
                </c:pt>
                <c:pt idx="14">
                  <c:v>59765.705434412695</c:v>
                </c:pt>
                <c:pt idx="15">
                  <c:v>117573.18762082106</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8441.1382699362457</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5347.8976253873825</c:v>
                </c:pt>
                <c:pt idx="14">
                  <c:v>10469.633173694136</c:v>
                </c:pt>
                <c:pt idx="15">
                  <c:v>20880.077270716291</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Projections!$J$18:$AJ$18</c15:sqref>
                  </c15:fullRef>
                </c:ext>
              </c:extLst>
              <c:f>Projections!$J$18:$U$18</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Projections!$J$42:$AJ$42</c15:sqref>
                  </c15:fullRef>
                </c:ext>
              </c:extLst>
              <c:f>Projections!$J$42:$U$42</c:f>
              <c:numCache>
                <c:formatCode>General</c:formatCode>
                <c:ptCount val="12"/>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Projections!$J$32:$AJ$32</c15:sqref>
                  </c15:fullRef>
                </c:ext>
              </c:extLst>
              <c:f>Projections!$J$32:$U$32</c:f>
              <c:numCache>
                <c:formatCode>#,##0_ ;[Red]\-#,##0\ </c:formatCode>
                <c:ptCount val="12"/>
                <c:pt idx="0">
                  <c:v>1.03125</c:v>
                </c:pt>
                <c:pt idx="1">
                  <c:v>2.0625</c:v>
                </c:pt>
                <c:pt idx="2">
                  <c:v>4.125</c:v>
                </c:pt>
                <c:pt idx="3">
                  <c:v>8.25</c:v>
                </c:pt>
                <c:pt idx="4">
                  <c:v>16.5</c:v>
                </c:pt>
                <c:pt idx="5">
                  <c:v>33</c:v>
                </c:pt>
                <c:pt idx="6">
                  <c:v>66</c:v>
                </c:pt>
                <c:pt idx="7">
                  <c:v>132</c:v>
                </c:pt>
                <c:pt idx="8">
                  <c:v>264</c:v>
                </c:pt>
                <c:pt idx="9">
                  <c:v>528</c:v>
                </c:pt>
                <c:pt idx="10">
                  <c:v>1056</c:v>
                </c:pt>
                <c:pt idx="11">
                  <c:v>2112</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Projections!$J$46:$AJ$46</c15:sqref>
                  </c15:fullRef>
                </c:ext>
              </c:extLst>
              <c:f>Projections!$J$46:$U$46</c:f>
              <c:numCache>
                <c:formatCode>General</c:formatCode>
                <c:ptCount val="12"/>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43912.450693981482</c:v>
                </c:pt>
                <c:pt idx="1">
                  <c:v>43915.450693981482</c:v>
                </c:pt>
                <c:pt idx="2">
                  <c:v>43918.450693981482</c:v>
                </c:pt>
                <c:pt idx="3">
                  <c:v>43921.450693981482</c:v>
                </c:pt>
                <c:pt idx="4">
                  <c:v>43924.450693981482</c:v>
                </c:pt>
                <c:pt idx="5">
                  <c:v>43927.450693981482</c:v>
                </c:pt>
                <c:pt idx="6">
                  <c:v>43930.450693981482</c:v>
                </c:pt>
                <c:pt idx="7">
                  <c:v>43933.450693981482</c:v>
                </c:pt>
                <c:pt idx="8">
                  <c:v>43936.450693981482</c:v>
                </c:pt>
                <c:pt idx="9">
                  <c:v>43939.450693981482</c:v>
                </c:pt>
                <c:pt idx="10">
                  <c:v>43942.450693981482</c:v>
                </c:pt>
                <c:pt idx="11">
                  <c:v>43945.450693981482</c:v>
                </c:pt>
                <c:pt idx="12">
                  <c:v>43948.450693981482</c:v>
                </c:pt>
                <c:pt idx="13">
                  <c:v>43951.450693981482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20156.887707669503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15195.839884257293</c:v>
                </c:pt>
                <c:pt idx="13">
                  <c:v>30582.214945995038</c:v>
                </c:pt>
                <c:pt idx="14">
                  <c:v>59765.705434412695</c:v>
                </c:pt>
                <c:pt idx="15">
                  <c:v>117573.18762082106</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8441.1382699362457</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5347.8976253873825</c:v>
                </c:pt>
                <c:pt idx="14">
                  <c:v>10469.633173694136</c:v>
                </c:pt>
                <c:pt idx="15">
                  <c:v>20880.077270716291</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43912.450693981482</v>
      </c>
      <c r="C26" s="84">
        <f t="shared" ca="1" si="0"/>
        <v>43913.450693981482</v>
      </c>
      <c r="D26" s="84">
        <f t="shared" ca="1" si="0"/>
        <v>43914.450693981482</v>
      </c>
      <c r="E26" s="84">
        <f t="shared" ca="1" si="0"/>
        <v>43915.450693981482</v>
      </c>
      <c r="F26" s="84">
        <f t="shared" ca="1" si="0"/>
        <v>43916.450693981482</v>
      </c>
      <c r="G26" s="85">
        <f t="shared" ca="1" si="0"/>
        <v>43917.450693981482</v>
      </c>
      <c r="H26" s="84">
        <f t="shared" ref="H26:U26" ca="1" si="1">I26-1</f>
        <v>43918.450693981482</v>
      </c>
      <c r="I26" s="84">
        <f t="shared" ca="1" si="1"/>
        <v>43919.450693981482</v>
      </c>
      <c r="J26" s="84">
        <f t="shared" ca="1" si="1"/>
        <v>43920.450693981482</v>
      </c>
      <c r="K26" s="84">
        <f t="shared" ca="1" si="1"/>
        <v>43921.450693981482</v>
      </c>
      <c r="L26" s="84">
        <f t="shared" ca="1" si="1"/>
        <v>43922.450693981482</v>
      </c>
      <c r="M26" s="84">
        <f t="shared" ca="1" si="1"/>
        <v>43923.450693981482</v>
      </c>
      <c r="N26" s="85">
        <f t="shared" ca="1" si="1"/>
        <v>43924.450693981482</v>
      </c>
      <c r="O26" s="83">
        <f t="shared" ca="1" si="1"/>
        <v>43925.450693981482</v>
      </c>
      <c r="P26" s="84">
        <f t="shared" ca="1" si="1"/>
        <v>43926.450693981482</v>
      </c>
      <c r="Q26" s="84">
        <f t="shared" ca="1" si="1"/>
        <v>43927.450693981482</v>
      </c>
      <c r="R26" s="84">
        <f t="shared" ca="1" si="1"/>
        <v>43928.450693981482</v>
      </c>
      <c r="S26" s="84">
        <f t="shared" ca="1" si="1"/>
        <v>43929.450693981482</v>
      </c>
      <c r="T26" s="84">
        <f t="shared" ca="1" si="1"/>
        <v>43930.450693981482</v>
      </c>
      <c r="U26" s="85">
        <f t="shared" ca="1" si="1"/>
        <v>43931.450693981482</v>
      </c>
      <c r="V26" s="83">
        <f t="shared" ref="V26:AN26" ca="1" si="2">W26-1</f>
        <v>43932.450693981482</v>
      </c>
      <c r="W26" s="84">
        <f t="shared" ca="1" si="2"/>
        <v>43933.450693981482</v>
      </c>
      <c r="X26" s="84">
        <f t="shared" ca="1" si="2"/>
        <v>43934.450693981482</v>
      </c>
      <c r="Y26" s="84">
        <f t="shared" ca="1" si="2"/>
        <v>43935.450693981482</v>
      </c>
      <c r="Z26" s="84">
        <f t="shared" ca="1" si="2"/>
        <v>43936.450693981482</v>
      </c>
      <c r="AA26" s="84">
        <f t="shared" ca="1" si="2"/>
        <v>43937.450693981482</v>
      </c>
      <c r="AB26" s="85">
        <f t="shared" ca="1" si="2"/>
        <v>43938.450693981482</v>
      </c>
      <c r="AC26" s="83">
        <f t="shared" ca="1" si="2"/>
        <v>43939.450693981482</v>
      </c>
      <c r="AD26" s="84">
        <f t="shared" ca="1" si="2"/>
        <v>43940.450693981482</v>
      </c>
      <c r="AE26" s="84">
        <f t="shared" ca="1" si="2"/>
        <v>43941.450693981482</v>
      </c>
      <c r="AF26" s="84">
        <f t="shared" ca="1" si="2"/>
        <v>43942.450693981482</v>
      </c>
      <c r="AG26" s="84">
        <f t="shared" ca="1" si="2"/>
        <v>43943.450693981482</v>
      </c>
      <c r="AH26" s="84">
        <f t="shared" ca="1" si="2"/>
        <v>43944.450693981482</v>
      </c>
      <c r="AI26" s="85">
        <f t="shared" ca="1" si="2"/>
        <v>43945.450693981482</v>
      </c>
      <c r="AJ26" s="83">
        <f t="shared" ca="1" si="2"/>
        <v>43946.450693981482</v>
      </c>
      <c r="AK26" s="84">
        <f t="shared" ca="1" si="2"/>
        <v>43947.450693981482</v>
      </c>
      <c r="AL26" s="84">
        <f t="shared" ca="1" si="2"/>
        <v>43948.450693981482</v>
      </c>
      <c r="AM26" s="84">
        <f t="shared" ca="1" si="2"/>
        <v>43949.450693981482</v>
      </c>
      <c r="AN26" s="84">
        <f t="shared" ca="1" si="2"/>
        <v>43950.450693981482</v>
      </c>
      <c r="AO26" s="84">
        <f ca="1">AP26-1</f>
        <v>43951.450693981482</v>
      </c>
      <c r="AP26" s="105">
        <f ca="1">NOW()</f>
        <v>43952.450693981482</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1" t="s">
        <v>67</v>
      </c>
      <c r="C28" s="292"/>
      <c r="D28" s="292"/>
      <c r="E28" s="292"/>
      <c r="F28" s="292"/>
      <c r="G28" s="293"/>
      <c r="H28" s="297" t="s">
        <v>56</v>
      </c>
      <c r="I28" s="297"/>
      <c r="J28" s="297"/>
      <c r="K28" s="297"/>
      <c r="L28" s="297"/>
      <c r="M28" s="297"/>
      <c r="N28" s="298"/>
      <c r="O28" s="296" t="s">
        <v>57</v>
      </c>
      <c r="P28" s="297"/>
      <c r="Q28" s="297"/>
      <c r="R28" s="297"/>
      <c r="S28" s="297"/>
      <c r="T28" s="297"/>
      <c r="U28" s="298"/>
      <c r="V28" s="296" t="s">
        <v>58</v>
      </c>
      <c r="W28" s="297"/>
      <c r="X28" s="297"/>
      <c r="Y28" s="297"/>
      <c r="Z28" s="297"/>
      <c r="AA28" s="297"/>
      <c r="AB28" s="298"/>
      <c r="AC28" s="296" t="s">
        <v>59</v>
      </c>
      <c r="AD28" s="297"/>
      <c r="AE28" s="297"/>
      <c r="AF28" s="297"/>
      <c r="AG28" s="297"/>
      <c r="AH28" s="297"/>
      <c r="AI28" s="298"/>
      <c r="AJ28" s="296" t="s">
        <v>60</v>
      </c>
      <c r="AK28" s="297"/>
      <c r="AL28" s="297"/>
      <c r="AM28" s="297"/>
      <c r="AN28" s="297"/>
      <c r="AO28" s="297"/>
      <c r="AP28" s="298"/>
    </row>
    <row r="29" spans="1:43" x14ac:dyDescent="0.25">
      <c r="B29" s="51" t="s">
        <v>79</v>
      </c>
      <c r="C29" s="90"/>
      <c r="D29" s="90"/>
      <c r="E29" s="90"/>
      <c r="F29" s="90"/>
      <c r="G29" s="91"/>
      <c r="H29" s="294" t="s">
        <v>66</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3.3000000000000002E-2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B1" zoomScaleNormal="100" workbookViewId="0">
      <selection activeCell="U11" sqref="U11"/>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268" t="s">
        <v>204</v>
      </c>
      <c r="T7" s="267"/>
      <c r="U7" s="267"/>
      <c r="V7" s="268"/>
      <c r="W7" s="267"/>
      <c r="X7" s="267"/>
      <c r="Y7" s="268"/>
      <c r="Z7" s="268"/>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66"/>
      <c r="T9" s="66"/>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66"/>
      <c r="U10" s="66"/>
      <c r="V10" s="154"/>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66"/>
      <c r="U11" s="66"/>
      <c r="V11" s="154"/>
      <c r="W11" s="66"/>
      <c r="X11" s="66"/>
      <c r="Y11" s="66"/>
      <c r="Z11" s="66"/>
    </row>
    <row r="12" spans="1:37" x14ac:dyDescent="0.25">
      <c r="A12" s="37" t="s">
        <v>109</v>
      </c>
      <c r="B12" s="108">
        <v>0.05</v>
      </c>
      <c r="C12" s="2"/>
      <c r="D12" s="199" t="s">
        <v>170</v>
      </c>
      <c r="N12" s="16"/>
      <c r="O12" s="16"/>
      <c r="P12" s="16"/>
      <c r="Q12" s="251"/>
      <c r="R12" s="184"/>
      <c r="S12" s="16"/>
      <c r="V12" s="204"/>
      <c r="AC12" s="164"/>
      <c r="AD12" s="164"/>
      <c r="AE12" s="164"/>
      <c r="AF12" s="164"/>
      <c r="AG12" s="164"/>
      <c r="AH12" s="164"/>
      <c r="AI12" s="164"/>
    </row>
    <row r="13" spans="1:37" x14ac:dyDescent="0.25">
      <c r="A13" s="37" t="s">
        <v>115</v>
      </c>
      <c r="B13" s="64">
        <v>3.3000000000000002E-2</v>
      </c>
      <c r="C13" s="2"/>
      <c r="D13" s="168" t="s">
        <v>162</v>
      </c>
      <c r="O13" s="251"/>
      <c r="P13" s="16"/>
      <c r="Q13" s="16"/>
      <c r="R13" s="251"/>
      <c r="S13" s="16"/>
      <c r="V13" s="204"/>
      <c r="AB13" s="165"/>
    </row>
    <row r="14" spans="1:37" x14ac:dyDescent="0.25">
      <c r="A14" s="143" t="s">
        <v>102</v>
      </c>
      <c r="B14" s="144">
        <v>43860</v>
      </c>
      <c r="C14" s="2"/>
      <c r="D14" s="271">
        <f>(AE17-J17)/(LOG(AE18/J18)/LOG(2))</f>
        <v>8.3809523809523814</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v>43939</v>
      </c>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146">
        <v>5</v>
      </c>
      <c r="C17" s="285">
        <v>4</v>
      </c>
      <c r="D17" s="146">
        <v>5</v>
      </c>
      <c r="E17" s="78">
        <v>8</v>
      </c>
      <c r="F17" s="207">
        <v>11</v>
      </c>
      <c r="G17" s="207"/>
      <c r="H17" s="207"/>
      <c r="I17" s="207"/>
      <c r="J17" s="286">
        <v>43895</v>
      </c>
      <c r="K17" s="287">
        <f t="shared" ref="K17:AJ17" si="0">J17+HLOOKUP(J17+1, $B$16:$I$17,2,TRUE)</f>
        <v>43900</v>
      </c>
      <c r="L17" s="287">
        <f t="shared" si="0"/>
        <v>43905</v>
      </c>
      <c r="M17" s="287">
        <f t="shared" si="0"/>
        <v>43910</v>
      </c>
      <c r="N17" s="288">
        <f t="shared" si="0"/>
        <v>43914</v>
      </c>
      <c r="O17" s="288">
        <f t="shared" si="0"/>
        <v>43918</v>
      </c>
      <c r="P17" s="288">
        <f t="shared" si="0"/>
        <v>43922</v>
      </c>
      <c r="Q17" s="287">
        <f t="shared" si="0"/>
        <v>43926</v>
      </c>
      <c r="R17" s="289">
        <f t="shared" si="0"/>
        <v>43931</v>
      </c>
      <c r="S17" s="289">
        <f t="shared" si="0"/>
        <v>43939</v>
      </c>
      <c r="T17" s="290">
        <f t="shared" si="0"/>
        <v>43950</v>
      </c>
      <c r="U17" s="217">
        <f t="shared" si="0"/>
        <v>43961</v>
      </c>
      <c r="V17" s="217">
        <f t="shared" si="0"/>
        <v>43972</v>
      </c>
      <c r="W17" s="217">
        <f t="shared" si="0"/>
        <v>43983</v>
      </c>
      <c r="X17" s="217">
        <f t="shared" si="0"/>
        <v>43994</v>
      </c>
      <c r="Y17" s="217">
        <f t="shared" si="0"/>
        <v>44005</v>
      </c>
      <c r="Z17" s="217">
        <f t="shared" si="0"/>
        <v>44016</v>
      </c>
      <c r="AA17" s="217">
        <f t="shared" si="0"/>
        <v>44027</v>
      </c>
      <c r="AB17" s="217">
        <f t="shared" si="0"/>
        <v>44038</v>
      </c>
      <c r="AC17" s="217">
        <f t="shared" si="0"/>
        <v>44049</v>
      </c>
      <c r="AD17" s="217">
        <f t="shared" ref="AD17" si="1">AC17+HLOOKUP(AC17+1, $B$16:$I$17,2,TRUE)</f>
        <v>44060</v>
      </c>
      <c r="AE17" s="224">
        <f t="shared" ref="AE17" si="2">AD17+HLOOKUP(AD17+1, $B$16:$I$17,2,TRUE)</f>
        <v>44071</v>
      </c>
      <c r="AF17" s="217">
        <f t="shared" si="0"/>
        <v>44082</v>
      </c>
      <c r="AG17" s="217">
        <f t="shared" si="0"/>
        <v>44093</v>
      </c>
      <c r="AH17" s="217">
        <f t="shared" si="0"/>
        <v>44104</v>
      </c>
      <c r="AI17" s="224">
        <f>AG17+HLOOKUP(AG17+1, $B$16:$I$17,2,TRUE)</f>
        <v>44104</v>
      </c>
      <c r="AJ17" s="224">
        <f t="shared" si="0"/>
        <v>44115</v>
      </c>
      <c r="AK17" s="236">
        <f>AJ17+(7*8)</f>
        <v>44171</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17289.745825150563</v>
      </c>
      <c r="U20" s="273">
        <f t="shared" ref="U20:AJ20" si="9">MAX(U18-(U26-U27)-(U28-U29)-(U30-U31),0)</f>
        <v>17728.062747146152</v>
      </c>
      <c r="V20" s="273">
        <f t="shared" si="9"/>
        <v>44767.033974008722</v>
      </c>
      <c r="W20" s="273">
        <f t="shared" si="9"/>
        <v>107634.28505379149</v>
      </c>
      <c r="X20" s="273">
        <f t="shared" si="9"/>
        <v>232511.39076877106</v>
      </c>
      <c r="Y20" s="273">
        <f t="shared" si="9"/>
        <v>490020.47672176309</v>
      </c>
      <c r="Z20" s="273">
        <f t="shared" si="9"/>
        <v>1016741.0521560902</v>
      </c>
      <c r="AA20" s="273">
        <f t="shared" si="9"/>
        <v>2090334.1638970708</v>
      </c>
      <c r="AB20" s="273">
        <f t="shared" si="9"/>
        <v>4271303.3187031178</v>
      </c>
      <c r="AC20" s="273">
        <f t="shared" si="9"/>
        <v>8690451.7136774641</v>
      </c>
      <c r="AD20" s="273">
        <f t="shared" ref="AD20:AI20" si="10">MAX(AD18-(AD26-AD27)-(AD28-AD29)-(AD30-AD31),0)</f>
        <v>17626632.379021749</v>
      </c>
      <c r="AE20" s="273">
        <f t="shared" si="10"/>
        <v>35668103.026983678</v>
      </c>
      <c r="AF20" s="227">
        <f t="shared" si="10"/>
        <v>72045824.955831304</v>
      </c>
      <c r="AG20" s="185">
        <f t="shared" si="10"/>
        <v>145319292.68862841</v>
      </c>
      <c r="AH20" s="185">
        <f t="shared" ref="AH20" si="11">MAX(AH18-(AH26-AH27)-(AH28-AH29)-(AH30-AH31),0)</f>
        <v>292783259.58068931</v>
      </c>
      <c r="AI20" s="186">
        <f t="shared" si="10"/>
        <v>817071259.58068931</v>
      </c>
      <c r="AJ20" s="185">
        <f t="shared" si="9"/>
        <v>932925364.02002704</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713.55284653653689</v>
      </c>
      <c r="S21" s="211">
        <f t="shared" si="12"/>
        <v>2855.3529366560747</v>
      </c>
      <c r="T21" s="211">
        <f t="shared" si="12"/>
        <v>14688.810237748547</v>
      </c>
      <c r="U21" s="211">
        <f t="shared" si="12"/>
        <v>46124.502877853854</v>
      </c>
      <c r="V21" s="211">
        <f t="shared" si="12"/>
        <v>82575.805166857244</v>
      </c>
      <c r="W21" s="211">
        <f t="shared" si="12"/>
        <v>146324.17612080628</v>
      </c>
      <c r="X21" s="211">
        <f t="shared" si="12"/>
        <v>275912.69032726745</v>
      </c>
      <c r="Y21" s="211">
        <f t="shared" si="12"/>
        <v>527722.24840341345</v>
      </c>
      <c r="Z21" s="211">
        <f t="shared" si="12"/>
        <v>1019570.7175470884</v>
      </c>
      <c r="AA21" s="211">
        <f t="shared" si="12"/>
        <v>1983456.8412262816</v>
      </c>
      <c r="AB21" s="211">
        <f t="shared" si="12"/>
        <v>3878013.8264755951</v>
      </c>
      <c r="AC21" s="211">
        <f t="shared" si="12"/>
        <v>7610860.9307951741</v>
      </c>
      <c r="AD21" s="211">
        <f t="shared" si="12"/>
        <v>14980250.422725821</v>
      </c>
      <c r="AE21" s="211">
        <f t="shared" si="12"/>
        <v>29552590.732968889</v>
      </c>
      <c r="AF21" s="253">
        <f>MAX(AF18-AF20-AF33,0)</f>
        <v>58407054.186776116</v>
      </c>
      <c r="AG21" s="200">
        <f>MAX(AG18-AG20-AG33,0)</f>
        <v>115605831.88180143</v>
      </c>
      <c r="AH21" s="200">
        <f t="shared" ref="AH21:AI21" si="13">MAX(AH18-AH20-AH33,0)</f>
        <v>229100067.43445626</v>
      </c>
      <c r="AI21" s="201">
        <f t="shared" si="13"/>
        <v>229100067.43445626</v>
      </c>
      <c r="AJ21" s="200">
        <f>MAX(AJ18-AJ20-AJ33,0)</f>
        <v>454478439.50385976</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174245.84928116601</v>
      </c>
      <c r="U25" s="184">
        <f t="shared" si="25"/>
        <v>547038.31692859705</v>
      </c>
      <c r="V25" s="184">
        <f t="shared" si="25"/>
        <v>973497.35363018198</v>
      </c>
      <c r="W25" s="184">
        <f t="shared" si="25"/>
        <v>1722681.2795788252</v>
      </c>
      <c r="X25" s="184">
        <f t="shared" si="25"/>
        <v>3242386.1467531314</v>
      </c>
      <c r="Y25" s="184">
        <f t="shared" si="25"/>
        <v>6196080.9751070477</v>
      </c>
      <c r="Z25" s="184">
        <f t="shared" si="25"/>
        <v>11960916.729649171</v>
      </c>
      <c r="AA25" s="184">
        <f t="shared" si="25"/>
        <v>23253502.233512968</v>
      </c>
      <c r="AB25" s="184">
        <f t="shared" si="25"/>
        <v>45441195.390771762</v>
      </c>
      <c r="AC25" s="184">
        <f t="shared" si="25"/>
        <v>89143406.630551368</v>
      </c>
      <c r="AD25" s="184">
        <f t="shared" si="25"/>
        <v>175395947.3906796</v>
      </c>
      <c r="AE25" s="184">
        <f t="shared" si="25"/>
        <v>345910799.15338045</v>
      </c>
      <c r="AF25" s="228">
        <f t="shared" si="25"/>
        <v>683470977.05113137</v>
      </c>
      <c r="AG25" s="189">
        <f t="shared" si="25"/>
        <v>1352493818.856674</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12088.364484061041</v>
      </c>
      <c r="U27" s="191">
        <f t="shared" si="30"/>
        <v>8416.0984022079647</v>
      </c>
      <c r="V27" s="191">
        <f t="shared" si="30"/>
        <v>26403.780068836146</v>
      </c>
      <c r="W27" s="191">
        <f t="shared" si="30"/>
        <v>70613.560027032829</v>
      </c>
      <c r="X27" s="191">
        <f t="shared" si="30"/>
        <v>157339.38767073638</v>
      </c>
      <c r="Y27" s="191">
        <f t="shared" si="30"/>
        <v>337595.09219600254</v>
      </c>
      <c r="Z27" s="191">
        <f t="shared" si="30"/>
        <v>709422.43000044872</v>
      </c>
      <c r="AA27" s="191">
        <f t="shared" si="30"/>
        <v>1471896.9927037403</v>
      </c>
      <c r="AB27" s="191">
        <f t="shared" si="30"/>
        <v>3028397.9098805371</v>
      </c>
      <c r="AC27" s="191">
        <f t="shared" si="30"/>
        <v>6194836.3816668326</v>
      </c>
      <c r="AD27" s="191">
        <f t="shared" si="30"/>
        <v>12619149.696127852</v>
      </c>
      <c r="AE27" s="191">
        <f t="shared" si="30"/>
        <v>25625760.763204657</v>
      </c>
      <c r="AF27" s="228">
        <f t="shared" si="30"/>
        <v>51914393.841681182</v>
      </c>
      <c r="AG27" s="189">
        <f t="shared" si="30"/>
        <v>104975680.6591572</v>
      </c>
      <c r="AH27" s="189">
        <f t="shared" si="30"/>
        <v>211955147.82403433</v>
      </c>
      <c r="AI27" s="190">
        <f t="shared" si="30"/>
        <v>636628427.82403433</v>
      </c>
      <c r="AJ27" s="189">
        <f t="shared" si="30"/>
        <v>705740975.44965839</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5743.7813709348993</v>
      </c>
      <c r="U28" s="198">
        <f t="shared" si="31"/>
        <v>10890.879945956123</v>
      </c>
      <c r="V28" s="198">
        <f t="shared" si="31"/>
        <v>20156.887707669503</v>
      </c>
      <c r="W28" s="198">
        <f t="shared" si="31"/>
        <v>39108.249274687521</v>
      </c>
      <c r="X28" s="198">
        <f t="shared" si="31"/>
        <v>76455.643390981801</v>
      </c>
      <c r="Y28" s="198">
        <f t="shared" si="31"/>
        <v>150227.08358775231</v>
      </c>
      <c r="Z28" s="198">
        <f t="shared" si="31"/>
        <v>296227.37249479553</v>
      </c>
      <c r="AA28" s="198">
        <f t="shared" si="31"/>
        <v>585626.70440654701</v>
      </c>
      <c r="AB28" s="198">
        <f t="shared" si="31"/>
        <v>1159993.6440792591</v>
      </c>
      <c r="AC28" s="198">
        <f t="shared" si="31"/>
        <v>2301101.4780300218</v>
      </c>
      <c r="AD28" s="198">
        <f t="shared" si="31"/>
        <v>4570072.10492115</v>
      </c>
      <c r="AE28" s="198">
        <f t="shared" si="31"/>
        <v>9084813.7562164143</v>
      </c>
      <c r="AF28" s="225">
        <f t="shared" si="31"/>
        <v>18073348.878994126</v>
      </c>
      <c r="AG28" s="194">
        <f t="shared" si="31"/>
        <v>35977641.802569687</v>
      </c>
      <c r="AH28" s="194">
        <f t="shared" si="31"/>
        <v>71656067.450356156</v>
      </c>
      <c r="AI28" s="195">
        <f t="shared" si="31"/>
        <v>71656067.450356156</v>
      </c>
      <c r="AJ28" s="194">
        <f>($J$18*($B$11+$B$12))*(2^(((AJ17 - 7) - $J$17)/AJ43))</f>
        <v>157120936.80143762</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4897.6535258136473</v>
      </c>
      <c r="U29" s="184">
        <f t="shared" si="33"/>
        <v>8266.2297075609786</v>
      </c>
      <c r="V29" s="184">
        <f t="shared" si="33"/>
        <v>15195.839884257293</v>
      </c>
      <c r="W29" s="184">
        <f t="shared" si="33"/>
        <v>30582.214945995038</v>
      </c>
      <c r="X29" s="184">
        <f t="shared" si="33"/>
        <v>59765.705434412695</v>
      </c>
      <c r="Y29" s="184">
        <f t="shared" si="33"/>
        <v>117573.18762082106</v>
      </c>
      <c r="Z29" s="184">
        <f t="shared" si="33"/>
        <v>232135.43449410607</v>
      </c>
      <c r="AA29" s="184">
        <f t="shared" si="33"/>
        <v>459473.86783722229</v>
      </c>
      <c r="AB29" s="184">
        <f t="shared" si="33"/>
        <v>911090.04505530442</v>
      </c>
      <c r="AC29" s="184">
        <f t="shared" si="33"/>
        <v>1809040.6820518086</v>
      </c>
      <c r="AD29" s="184">
        <f t="shared" si="33"/>
        <v>3595751.7548641833</v>
      </c>
      <c r="AE29" s="184">
        <f t="shared" si="33"/>
        <v>7153052.7473400291</v>
      </c>
      <c r="AF29" s="228">
        <f t="shared" si="33"/>
        <v>14239161.898284512</v>
      </c>
      <c r="AG29" s="189">
        <f t="shared" si="33"/>
        <v>28360674.785935078</v>
      </c>
      <c r="AH29" s="189">
        <f t="shared" si="33"/>
        <v>56512903.123457223</v>
      </c>
      <c r="AI29" s="190">
        <f t="shared" si="33"/>
        <v>56512903.123457223</v>
      </c>
      <c r="AJ29" s="189">
        <f t="shared" si="33"/>
        <v>126995983.06288686</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853.80466147771358</v>
      </c>
      <c r="U30" s="198">
        <f t="shared" si="35"/>
        <v>2680.4877529501259</v>
      </c>
      <c r="V30" s="198">
        <f t="shared" si="35"/>
        <v>4770.1370327878922</v>
      </c>
      <c r="W30" s="198">
        <f t="shared" si="35"/>
        <v>8441.1382699362457</v>
      </c>
      <c r="X30" s="198">
        <f t="shared" si="35"/>
        <v>15887.692119090347</v>
      </c>
      <c r="Y30" s="198">
        <f t="shared" si="35"/>
        <v>30360.796778024534</v>
      </c>
      <c r="Z30" s="198">
        <f t="shared" si="35"/>
        <v>58608.491975280944</v>
      </c>
      <c r="AA30" s="198">
        <f t="shared" si="35"/>
        <v>113942.16094421357</v>
      </c>
      <c r="AB30" s="198">
        <f t="shared" si="35"/>
        <v>222661.85741478167</v>
      </c>
      <c r="AC30" s="198">
        <f t="shared" si="35"/>
        <v>436802.69248970173</v>
      </c>
      <c r="AD30" s="198">
        <f t="shared" si="35"/>
        <v>859440.14221433003</v>
      </c>
      <c r="AE30" s="198">
        <f t="shared" si="35"/>
        <v>1694962.9158515644</v>
      </c>
      <c r="AF30" s="225">
        <f t="shared" si="35"/>
        <v>3349007.7875505444</v>
      </c>
      <c r="AG30" s="194">
        <f t="shared" si="35"/>
        <v>6627219.7123977039</v>
      </c>
      <c r="AH30" s="194">
        <f t="shared" si="35"/>
        <v>13130748.899750967</v>
      </c>
      <c r="AI30" s="195">
        <f t="shared" si="35"/>
        <v>13130748.899750967</v>
      </c>
      <c r="AJ30" s="194">
        <f t="shared" si="35"/>
        <v>26043542.256193928</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821.313847688485</v>
      </c>
      <c r="U31" s="191">
        <f t="shared" si="37"/>
        <v>2457.1023362834594</v>
      </c>
      <c r="V31" s="191">
        <f t="shared" si="37"/>
        <v>3774.4387613726794</v>
      </c>
      <c r="W31" s="191">
        <f t="shared" si="37"/>
        <v>5347.8976253873825</v>
      </c>
      <c r="X31" s="191">
        <f t="shared" si="37"/>
        <v>10469.633173694136</v>
      </c>
      <c r="Y31" s="191">
        <f t="shared" si="37"/>
        <v>20880.077270716291</v>
      </c>
      <c r="Z31" s="191">
        <f t="shared" si="37"/>
        <v>40899.052131611999</v>
      </c>
      <c r="AA31" s="191">
        <f t="shared" si="37"/>
        <v>80292.168706868557</v>
      </c>
      <c r="AB31" s="191">
        <f t="shared" si="37"/>
        <v>157990.86526131653</v>
      </c>
      <c r="AC31" s="191">
        <f t="shared" si="37"/>
        <v>311518.82047854696</v>
      </c>
      <c r="AD31" s="191">
        <f t="shared" si="37"/>
        <v>615323.17516519222</v>
      </c>
      <c r="AE31" s="191">
        <f t="shared" si="37"/>
        <v>1217226.1885069676</v>
      </c>
      <c r="AF31" s="228">
        <f t="shared" si="37"/>
        <v>2410945.8824102734</v>
      </c>
      <c r="AG31" s="189">
        <f t="shared" si="37"/>
        <v>4780438.7585035078</v>
      </c>
      <c r="AH31" s="189">
        <f t="shared" si="37"/>
        <v>9487304.9833048675</v>
      </c>
      <c r="AI31" s="190">
        <f t="shared" si="37"/>
        <v>9487304.9833048675</v>
      </c>
      <c r="AJ31" s="189">
        <f t="shared" si="37"/>
        <v>18843244.565113306</v>
      </c>
      <c r="AK31" s="231"/>
      <c r="AL31" s="45"/>
      <c r="AM31" s="45"/>
      <c r="AN31" s="66"/>
    </row>
    <row r="32" spans="1:40" x14ac:dyDescent="0.25">
      <c r="A32" s="41" t="s">
        <v>55</v>
      </c>
      <c r="B32" s="15"/>
      <c r="C32" s="16"/>
      <c r="D32" s="16"/>
      <c r="E32" s="16"/>
      <c r="F32" s="16"/>
      <c r="G32" s="16"/>
      <c r="H32" s="16"/>
      <c r="I32" s="16"/>
      <c r="J32" s="214">
        <f t="shared" ref="J32:AJ32" si="38">J18*$B$13</f>
        <v>1.03125</v>
      </c>
      <c r="K32" s="215">
        <f t="shared" si="38"/>
        <v>2.0625</v>
      </c>
      <c r="L32" s="215">
        <f t="shared" si="38"/>
        <v>4.125</v>
      </c>
      <c r="M32" s="215">
        <f t="shared" si="38"/>
        <v>8.25</v>
      </c>
      <c r="N32" s="215">
        <f t="shared" si="38"/>
        <v>16.5</v>
      </c>
      <c r="O32" s="215">
        <f t="shared" si="38"/>
        <v>33</v>
      </c>
      <c r="P32" s="215">
        <f t="shared" si="38"/>
        <v>66</v>
      </c>
      <c r="Q32" s="215">
        <f t="shared" si="38"/>
        <v>132</v>
      </c>
      <c r="R32" s="215">
        <f t="shared" si="38"/>
        <v>264</v>
      </c>
      <c r="S32" s="215">
        <f t="shared" si="38"/>
        <v>528</v>
      </c>
      <c r="T32" s="215">
        <f t="shared" si="38"/>
        <v>1056</v>
      </c>
      <c r="U32" s="215">
        <f t="shared" si="38"/>
        <v>2112</v>
      </c>
      <c r="V32" s="215">
        <f t="shared" si="38"/>
        <v>4224</v>
      </c>
      <c r="W32" s="215">
        <f t="shared" si="38"/>
        <v>8448</v>
      </c>
      <c r="X32" s="215">
        <f t="shared" si="38"/>
        <v>16896</v>
      </c>
      <c r="Y32" s="215">
        <f t="shared" si="38"/>
        <v>33792</v>
      </c>
      <c r="Z32" s="215">
        <f t="shared" si="38"/>
        <v>67584</v>
      </c>
      <c r="AA32" s="215">
        <f t="shared" si="38"/>
        <v>135168</v>
      </c>
      <c r="AB32" s="215">
        <f t="shared" si="38"/>
        <v>270336</v>
      </c>
      <c r="AC32" s="215">
        <f t="shared" si="38"/>
        <v>540672</v>
      </c>
      <c r="AD32" s="215">
        <f t="shared" ref="AD32:AI32" si="39">AD18*$B$13</f>
        <v>1081344</v>
      </c>
      <c r="AE32" s="215">
        <f t="shared" si="39"/>
        <v>2162688</v>
      </c>
      <c r="AF32" s="227">
        <f t="shared" si="39"/>
        <v>4325376</v>
      </c>
      <c r="AG32" s="185">
        <f t="shared" si="39"/>
        <v>8650752</v>
      </c>
      <c r="AH32" s="185">
        <f t="shared" ref="AH32" si="40">AH18*$B$13</f>
        <v>17301504</v>
      </c>
      <c r="AI32" s="186">
        <f t="shared" si="39"/>
        <v>34603008</v>
      </c>
      <c r="AJ32" s="194">
        <f t="shared" si="38"/>
        <v>45941148</v>
      </c>
      <c r="AK32" s="231">
        <f>AK18*B13</f>
        <v>2756468.8800000004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1.1364947293841208</v>
      </c>
      <c r="S33" s="196">
        <f t="shared" si="41"/>
        <v>3.8093488337540853</v>
      </c>
      <c r="T33" s="196">
        <f t="shared" si="41"/>
        <v>21.443937100890839</v>
      </c>
      <c r="U33" s="196">
        <f t="shared" si="41"/>
        <v>147.43437499999996</v>
      </c>
      <c r="V33" s="196">
        <f t="shared" si="41"/>
        <v>657.16085913404027</v>
      </c>
      <c r="W33" s="196">
        <f t="shared" si="41"/>
        <v>2041.5388254022494</v>
      </c>
      <c r="X33" s="196">
        <f t="shared" si="41"/>
        <v>3575.9189039614994</v>
      </c>
      <c r="Y33" s="196">
        <f t="shared" si="41"/>
        <v>6257.2748748234417</v>
      </c>
      <c r="Z33" s="196">
        <f t="shared" si="41"/>
        <v>11688.230296821501</v>
      </c>
      <c r="AA33" s="196">
        <f t="shared" si="41"/>
        <v>22208.994876647706</v>
      </c>
      <c r="AB33" s="196">
        <f t="shared" si="41"/>
        <v>42682.854821286994</v>
      </c>
      <c r="AC33" s="196">
        <f t="shared" si="41"/>
        <v>82687.355527362161</v>
      </c>
      <c r="AD33" s="196">
        <f t="shared" si="41"/>
        <v>161117.19825243091</v>
      </c>
      <c r="AE33" s="196">
        <f t="shared" si="41"/>
        <v>315306.24004743388</v>
      </c>
      <c r="AF33" s="228">
        <f t="shared" si="41"/>
        <v>619120.85739257885</v>
      </c>
      <c r="AG33" s="189">
        <f t="shared" si="41"/>
        <v>1218875.4295701692</v>
      </c>
      <c r="AH33" s="189">
        <f t="shared" si="41"/>
        <v>2404672.9848544258</v>
      </c>
      <c r="AI33" s="190">
        <f t="shared" si="41"/>
        <v>2404672.9848544258</v>
      </c>
      <c r="AJ33" s="189">
        <f t="shared" si="41"/>
        <v>4752196.4761132095</v>
      </c>
      <c r="AK33" s="234">
        <f>($J$18*$B$13)*(2^(((AK17 - 35) - $J$17)/AK43))</f>
        <v>5101772.3006585892</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43943</v>
      </c>
      <c r="U34" s="140">
        <f t="shared" si="42"/>
        <v>43954</v>
      </c>
      <c r="V34" s="140">
        <f t="shared" si="42"/>
        <v>43965</v>
      </c>
      <c r="W34" s="140">
        <f t="shared" si="42"/>
        <v>43976</v>
      </c>
      <c r="X34" s="140">
        <f t="shared" si="42"/>
        <v>43987</v>
      </c>
      <c r="Y34" s="140">
        <f t="shared" si="42"/>
        <v>43998</v>
      </c>
      <c r="Z34" s="140">
        <f t="shared" si="42"/>
        <v>44009</v>
      </c>
      <c r="AA34" s="140">
        <f t="shared" si="42"/>
        <v>44020</v>
      </c>
      <c r="AB34" s="140">
        <f t="shared" si="42"/>
        <v>44031</v>
      </c>
      <c r="AC34" s="140">
        <f t="shared" si="42"/>
        <v>44042</v>
      </c>
      <c r="AD34" s="140"/>
      <c r="AE34" s="140"/>
      <c r="AF34" s="140"/>
      <c r="AG34" s="140"/>
      <c r="AH34" s="140"/>
      <c r="AI34" s="140"/>
      <c r="AJ34" s="140">
        <f t="shared" si="42"/>
        <v>44108</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43936</v>
      </c>
      <c r="U35" s="140">
        <f t="shared" si="43"/>
        <v>43947</v>
      </c>
      <c r="V35" s="140">
        <f t="shared" si="43"/>
        <v>43958</v>
      </c>
      <c r="W35" s="140">
        <f t="shared" si="43"/>
        <v>43969</v>
      </c>
      <c r="X35" s="140">
        <f t="shared" si="43"/>
        <v>43980</v>
      </c>
      <c r="Y35" s="140">
        <f t="shared" si="43"/>
        <v>43991</v>
      </c>
      <c r="Z35" s="140">
        <f t="shared" si="43"/>
        <v>44002</v>
      </c>
      <c r="AA35" s="140">
        <f t="shared" si="43"/>
        <v>44013</v>
      </c>
      <c r="AB35" s="140">
        <f t="shared" si="43"/>
        <v>44024</v>
      </c>
      <c r="AC35" s="140">
        <f t="shared" si="43"/>
        <v>44035</v>
      </c>
      <c r="AD35" s="140"/>
      <c r="AE35" s="140"/>
      <c r="AF35" s="140"/>
      <c r="AG35" s="140"/>
      <c r="AH35" s="140"/>
      <c r="AI35" s="140"/>
      <c r="AJ35" s="140">
        <f t="shared" si="43"/>
        <v>44101</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43915</v>
      </c>
      <c r="U36" s="140">
        <f t="shared" si="44"/>
        <v>43926</v>
      </c>
      <c r="V36" s="140">
        <f t="shared" si="44"/>
        <v>43937</v>
      </c>
      <c r="W36" s="140">
        <f t="shared" si="44"/>
        <v>43948</v>
      </c>
      <c r="X36" s="140">
        <f t="shared" si="44"/>
        <v>43959</v>
      </c>
      <c r="Y36" s="140">
        <f t="shared" si="44"/>
        <v>43970</v>
      </c>
      <c r="Z36" s="140">
        <f t="shared" si="44"/>
        <v>43981</v>
      </c>
      <c r="AA36" s="140">
        <f t="shared" si="44"/>
        <v>43992</v>
      </c>
      <c r="AB36" s="140">
        <f t="shared" si="44"/>
        <v>44003</v>
      </c>
      <c r="AC36" s="140">
        <f t="shared" si="44"/>
        <v>44014</v>
      </c>
      <c r="AD36" s="140"/>
      <c r="AE36" s="140"/>
      <c r="AF36" s="140"/>
      <c r="AG36" s="140"/>
      <c r="AH36" s="140"/>
      <c r="AI36" s="140"/>
      <c r="AJ36" s="140">
        <f t="shared" si="44"/>
        <v>44080</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43908</v>
      </c>
      <c r="U37" s="140">
        <f t="shared" si="45"/>
        <v>43919</v>
      </c>
      <c r="V37" s="140">
        <f t="shared" si="45"/>
        <v>43930</v>
      </c>
      <c r="W37" s="140">
        <f t="shared" si="45"/>
        <v>43941</v>
      </c>
      <c r="X37" s="140">
        <f t="shared" si="45"/>
        <v>43952</v>
      </c>
      <c r="Y37" s="140">
        <f t="shared" si="45"/>
        <v>43963</v>
      </c>
      <c r="Z37" s="140">
        <f t="shared" si="45"/>
        <v>43974</v>
      </c>
      <c r="AA37" s="140">
        <f t="shared" si="45"/>
        <v>43985</v>
      </c>
      <c r="AB37" s="140">
        <f t="shared" si="45"/>
        <v>43996</v>
      </c>
      <c r="AC37" s="140">
        <f t="shared" si="45"/>
        <v>44007</v>
      </c>
      <c r="AD37" s="140"/>
      <c r="AE37" s="140"/>
      <c r="AF37" s="140"/>
      <c r="AG37" s="140"/>
      <c r="AH37" s="140"/>
      <c r="AI37" s="140"/>
      <c r="AJ37" s="140">
        <f t="shared" si="45"/>
        <v>44073</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12.857142857142858</v>
      </c>
      <c r="U40" s="257">
        <f t="shared" si="46"/>
        <v>14.428571428571429</v>
      </c>
      <c r="V40" s="255">
        <f t="shared" si="46"/>
        <v>16</v>
      </c>
      <c r="W40" s="281">
        <f t="shared" si="46"/>
        <v>17.571428571428573</v>
      </c>
      <c r="X40" s="256">
        <f t="shared" si="46"/>
        <v>19.142857142857142</v>
      </c>
      <c r="Y40" s="256">
        <f t="shared" si="46"/>
        <v>20.714285714285715</v>
      </c>
      <c r="Z40" s="255">
        <f t="shared" si="46"/>
        <v>22.285714285714285</v>
      </c>
      <c r="AA40" s="255">
        <f t="shared" si="46"/>
        <v>23.857142857142858</v>
      </c>
      <c r="AB40" s="256">
        <f t="shared" si="46"/>
        <v>25.428571428571427</v>
      </c>
      <c r="AC40" s="257">
        <f t="shared" si="46"/>
        <v>27</v>
      </c>
      <c r="AD40" s="281">
        <f t="shared" ref="AD40:AI40" si="47">(AD17-$B$14)/7</f>
        <v>28.571428571428573</v>
      </c>
      <c r="AE40" s="256">
        <f t="shared" si="47"/>
        <v>30.142857142857142</v>
      </c>
      <c r="AF40" s="138">
        <f t="shared" si="47"/>
        <v>31.714285714285715</v>
      </c>
      <c r="AG40" s="135">
        <f t="shared" si="47"/>
        <v>33.285714285714285</v>
      </c>
      <c r="AH40" s="135">
        <f t="shared" si="47"/>
        <v>34.857142857142854</v>
      </c>
      <c r="AI40" s="138">
        <f t="shared" si="47"/>
        <v>34.857142857142854</v>
      </c>
      <c r="AJ40" s="136">
        <f>(AJ17-$B$14)/7</f>
        <v>36.428571428571431</v>
      </c>
      <c r="AK40" s="136">
        <f t="shared" si="46"/>
        <v>44.428571428571431</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90</v>
      </c>
      <c r="U41" s="221">
        <f t="shared" si="49"/>
        <v>101</v>
      </c>
      <c r="V41" s="221">
        <f t="shared" si="49"/>
        <v>112</v>
      </c>
      <c r="W41" s="221">
        <f t="shared" si="49"/>
        <v>123</v>
      </c>
      <c r="X41" s="221">
        <f t="shared" si="49"/>
        <v>134</v>
      </c>
      <c r="Y41" s="221">
        <f t="shared" si="49"/>
        <v>145</v>
      </c>
      <c r="Z41" s="221">
        <f t="shared" si="49"/>
        <v>156</v>
      </c>
      <c r="AA41" s="221">
        <f t="shared" si="49"/>
        <v>167</v>
      </c>
      <c r="AB41" s="221">
        <f t="shared" si="49"/>
        <v>178</v>
      </c>
      <c r="AC41" s="221">
        <f t="shared" si="49"/>
        <v>189</v>
      </c>
      <c r="AD41" s="221">
        <f t="shared" ref="AD41:AI41" si="50">AD17-$B$14</f>
        <v>200</v>
      </c>
      <c r="AE41" s="222">
        <f t="shared" si="50"/>
        <v>211</v>
      </c>
      <c r="AF41" s="254">
        <f t="shared" si="50"/>
        <v>222</v>
      </c>
      <c r="AG41" s="177">
        <f t="shared" si="50"/>
        <v>233</v>
      </c>
      <c r="AH41" s="177">
        <f t="shared" si="50"/>
        <v>244</v>
      </c>
      <c r="AI41" s="252">
        <f t="shared" si="50"/>
        <v>244</v>
      </c>
      <c r="AJ41" s="252">
        <f t="shared" si="49"/>
        <v>255</v>
      </c>
      <c r="AK41" s="177">
        <f t="shared" si="49"/>
        <v>311</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1">
        <v>33062</v>
      </c>
      <c r="U42" s="262">
        <f>U18</f>
        <v>64000</v>
      </c>
      <c r="V42" s="262">
        <f t="shared" ref="V42:AE42" si="51">V18</f>
        <v>128000</v>
      </c>
      <c r="W42" s="262">
        <f t="shared" si="51"/>
        <v>256000</v>
      </c>
      <c r="X42" s="262">
        <f t="shared" si="51"/>
        <v>512000</v>
      </c>
      <c r="Y42" s="262">
        <f t="shared" si="51"/>
        <v>1024000</v>
      </c>
      <c r="Z42" s="262">
        <f t="shared" si="51"/>
        <v>2048000</v>
      </c>
      <c r="AA42" s="262">
        <f t="shared" si="51"/>
        <v>4096000</v>
      </c>
      <c r="AB42" s="262">
        <f t="shared" si="51"/>
        <v>8192000</v>
      </c>
      <c r="AC42" s="262">
        <f t="shared" si="51"/>
        <v>16384000</v>
      </c>
      <c r="AD42" s="262">
        <f t="shared" si="51"/>
        <v>32768000</v>
      </c>
      <c r="AE42" s="262">
        <f t="shared" si="51"/>
        <v>65536000</v>
      </c>
      <c r="AF42" s="173">
        <f t="shared" ref="AF42" si="52">AE42*2</f>
        <v>131072000</v>
      </c>
      <c r="AG42" s="173">
        <f t="shared" ref="AG42:AH42" si="53">AF42*2</f>
        <v>262144000</v>
      </c>
      <c r="AH42" s="173">
        <f t="shared" si="53"/>
        <v>524288000</v>
      </c>
      <c r="AI42" s="173">
        <f t="shared" ref="AI42" si="54">AG42*2</f>
        <v>524288000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55">(L17-$J$17)/(LOG(L42/$J$42)/LOG(2))</f>
        <v>5.1921095633020746</v>
      </c>
      <c r="M43" s="163">
        <f t="shared" si="55"/>
        <v>4.9130209635244562</v>
      </c>
      <c r="N43" s="163">
        <f t="shared" si="55"/>
        <v>4.5681877329756686</v>
      </c>
      <c r="O43" s="163">
        <f t="shared" si="55"/>
        <v>4.5634778670485563</v>
      </c>
      <c r="P43" s="163">
        <f t="shared" si="55"/>
        <v>4.4573209497047444</v>
      </c>
      <c r="Q43" s="163">
        <f t="shared" si="55"/>
        <v>4.3298901364730362</v>
      </c>
      <c r="R43" s="163">
        <f>(R17-$J$17)/(LOG(R42/$J$42)/LOG(2))</f>
        <v>4.508513703920614</v>
      </c>
      <c r="S43" s="163">
        <f t="shared" si="55"/>
        <v>4.8397198165418311</v>
      </c>
      <c r="T43" s="163">
        <f t="shared" si="55"/>
        <v>5.4423137689055636</v>
      </c>
      <c r="U43" s="172">
        <f t="shared" si="55"/>
        <v>5.9680472437608127</v>
      </c>
      <c r="V43" s="172">
        <f t="shared" si="55"/>
        <v>6.3853287030713739</v>
      </c>
      <c r="W43" s="172">
        <f t="shared" si="55"/>
        <v>6.7387025344853484</v>
      </c>
      <c r="X43" s="172">
        <f t="shared" si="55"/>
        <v>7.0418058625112616</v>
      </c>
      <c r="Y43" s="172">
        <f t="shared" si="55"/>
        <v>7.3046534673367063</v>
      </c>
      <c r="Z43" s="172">
        <f t="shared" si="55"/>
        <v>7.5347656160448224</v>
      </c>
      <c r="AA43" s="172">
        <f t="shared" si="55"/>
        <v>7.7378992099999078</v>
      </c>
      <c r="AB43" s="172">
        <f t="shared" si="55"/>
        <v>7.9185360112441296</v>
      </c>
      <c r="AC43" s="172">
        <f t="shared" si="55"/>
        <v>8.0802171685573505</v>
      </c>
      <c r="AD43" s="172">
        <f t="shared" ref="AD43" si="56">(AD17-$J$17)/(LOG(AD42/$J$42)/LOG(2))</f>
        <v>8.2257776803534739</v>
      </c>
      <c r="AE43" s="172">
        <f t="shared" ref="AE43" si="57">(AE17-$J$17)/(LOG(AE42/$J$42)/LOG(2))</f>
        <v>8.3575140555215839</v>
      </c>
      <c r="AF43" s="175">
        <f t="shared" ref="AF43" si="58">(AF17-$J$17)/(LOG(AF42/$J$42)/LOG(2))</f>
        <v>8.4773063706633778</v>
      </c>
      <c r="AG43" s="175">
        <f t="shared" ref="AG43:AH43" si="59">(AG17-$J$17)/(LOG(AG42/$J$42)/LOG(2))</f>
        <v>8.5867085676358279</v>
      </c>
      <c r="AH43" s="175">
        <f t="shared" si="59"/>
        <v>8.6870162319679647</v>
      </c>
      <c r="AI43" s="175">
        <f t="shared" ref="AI43" si="60">(AI17-$J$17)/(LOG(AI42/$J$42)/LOG(2))</f>
        <v>8.6870162319679647</v>
      </c>
      <c r="AJ43" s="175">
        <f t="shared" si="55"/>
        <v>8.6383647439858233</v>
      </c>
      <c r="AK43" s="176">
        <f t="shared" si="55"/>
        <v>10.837221224273122</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75">
        <v>23546</v>
      </c>
      <c r="U44" s="282"/>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1">K42-K46-K44</f>
        <v>4</v>
      </c>
      <c r="L45" s="139">
        <f t="shared" si="61"/>
        <v>13</v>
      </c>
      <c r="M45" s="139">
        <f t="shared" si="61"/>
        <v>23</v>
      </c>
      <c r="N45" s="139">
        <f t="shared" si="61"/>
        <v>40</v>
      </c>
      <c r="O45" s="139">
        <f t="shared" si="61"/>
        <v>84</v>
      </c>
      <c r="P45" s="139">
        <f t="shared" si="61"/>
        <v>148</v>
      </c>
      <c r="Q45" s="139">
        <f t="shared" si="61"/>
        <v>328</v>
      </c>
      <c r="R45" s="139">
        <f t="shared" si="61"/>
        <v>774</v>
      </c>
      <c r="S45" s="139">
        <f t="shared" ref="S45:T45" si="62">S42-S46-S44</f>
        <v>2463</v>
      </c>
      <c r="T45" s="139">
        <f t="shared" si="62"/>
        <v>8437</v>
      </c>
      <c r="U45" s="283"/>
      <c r="V45" s="283"/>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0">
        <v>1079</v>
      </c>
      <c r="U46" s="284"/>
      <c r="V46" s="284"/>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63">J$18*$D$50</f>
        <v>0.3125</v>
      </c>
      <c r="K50" s="19">
        <f t="shared" si="63"/>
        <v>0.625</v>
      </c>
      <c r="L50" s="19">
        <f t="shared" si="63"/>
        <v>1.25</v>
      </c>
      <c r="M50" s="19">
        <f t="shared" si="63"/>
        <v>2.5</v>
      </c>
      <c r="N50" s="19">
        <f t="shared" si="63"/>
        <v>5</v>
      </c>
      <c r="O50" s="19">
        <f t="shared" si="63"/>
        <v>10</v>
      </c>
      <c r="P50" s="19">
        <f t="shared" si="63"/>
        <v>20</v>
      </c>
      <c r="Q50" s="19">
        <f t="shared" si="63"/>
        <v>40</v>
      </c>
      <c r="R50" s="19">
        <f t="shared" si="63"/>
        <v>80</v>
      </c>
      <c r="S50" s="19">
        <f t="shared" si="63"/>
        <v>160</v>
      </c>
      <c r="T50" s="19">
        <f t="shared" si="63"/>
        <v>320</v>
      </c>
      <c r="U50" s="19">
        <f t="shared" si="63"/>
        <v>640</v>
      </c>
      <c r="V50" s="19">
        <f t="shared" si="63"/>
        <v>1280</v>
      </c>
      <c r="W50" s="19">
        <f t="shared" si="63"/>
        <v>2560</v>
      </c>
      <c r="X50" s="19">
        <f t="shared" si="63"/>
        <v>5120</v>
      </c>
      <c r="Y50" s="19">
        <f t="shared" si="63"/>
        <v>10240</v>
      </c>
      <c r="Z50" s="19">
        <f t="shared" si="63"/>
        <v>20480</v>
      </c>
      <c r="AA50" s="19">
        <f t="shared" si="63"/>
        <v>40960</v>
      </c>
      <c r="AB50" s="19">
        <f t="shared" si="63"/>
        <v>81920</v>
      </c>
      <c r="AC50" s="19">
        <f t="shared" si="63"/>
        <v>163840</v>
      </c>
      <c r="AD50" s="19">
        <f t="shared" si="63"/>
        <v>327680</v>
      </c>
      <c r="AE50" s="59">
        <f t="shared" si="63"/>
        <v>655360</v>
      </c>
      <c r="AF50" s="18">
        <f t="shared" si="63"/>
        <v>1310720</v>
      </c>
      <c r="AG50" s="19">
        <f t="shared" si="63"/>
        <v>2621440</v>
      </c>
      <c r="AH50" s="19">
        <f t="shared" si="63"/>
        <v>5242880</v>
      </c>
      <c r="AI50" s="19">
        <f t="shared" si="63"/>
        <v>10485760</v>
      </c>
      <c r="AJ50" s="59">
        <f t="shared" si="63"/>
        <v>13921560</v>
      </c>
      <c r="AK50" s="45"/>
    </row>
    <row r="51" spans="1:37" x14ac:dyDescent="0.25">
      <c r="A51" s="41"/>
      <c r="B51" s="6"/>
      <c r="C51" s="10"/>
      <c r="D51" s="8"/>
      <c r="E51" s="27">
        <v>0.14799999999999999</v>
      </c>
      <c r="F51" s="15">
        <v>7.9000000000000001E-2</v>
      </c>
      <c r="G51" s="10"/>
      <c r="H51" s="15"/>
      <c r="I51" s="10"/>
      <c r="J51" s="29">
        <f t="shared" ref="J51:AJ51" si="64">J$18*$D$50*$E$51</f>
        <v>4.6249999999999999E-2</v>
      </c>
      <c r="K51" s="30">
        <f t="shared" si="64"/>
        <v>9.2499999999999999E-2</v>
      </c>
      <c r="L51" s="30">
        <f t="shared" si="64"/>
        <v>0.185</v>
      </c>
      <c r="M51" s="30">
        <f t="shared" si="64"/>
        <v>0.37</v>
      </c>
      <c r="N51" s="30">
        <f t="shared" si="64"/>
        <v>0.74</v>
      </c>
      <c r="O51" s="30">
        <f t="shared" si="64"/>
        <v>1.48</v>
      </c>
      <c r="P51" s="30">
        <f t="shared" si="64"/>
        <v>2.96</v>
      </c>
      <c r="Q51" s="30">
        <f t="shared" si="64"/>
        <v>5.92</v>
      </c>
      <c r="R51" s="30">
        <f t="shared" si="64"/>
        <v>11.84</v>
      </c>
      <c r="S51" s="30">
        <f t="shared" si="64"/>
        <v>23.68</v>
      </c>
      <c r="T51" s="30">
        <f t="shared" si="64"/>
        <v>47.36</v>
      </c>
      <c r="U51" s="30">
        <f t="shared" si="64"/>
        <v>94.72</v>
      </c>
      <c r="V51" s="30">
        <f t="shared" si="64"/>
        <v>189.44</v>
      </c>
      <c r="W51" s="30">
        <f t="shared" si="64"/>
        <v>378.88</v>
      </c>
      <c r="X51" s="30">
        <f t="shared" si="64"/>
        <v>757.76</v>
      </c>
      <c r="Y51" s="30">
        <f t="shared" si="64"/>
        <v>1515.52</v>
      </c>
      <c r="Z51" s="30">
        <f t="shared" si="64"/>
        <v>3031.04</v>
      </c>
      <c r="AA51" s="30">
        <f t="shared" si="64"/>
        <v>6062.08</v>
      </c>
      <c r="AB51" s="30">
        <f t="shared" si="64"/>
        <v>12124.16</v>
      </c>
      <c r="AC51" s="30">
        <f t="shared" si="64"/>
        <v>24248.32</v>
      </c>
      <c r="AD51" s="30">
        <f t="shared" si="64"/>
        <v>48496.639999999999</v>
      </c>
      <c r="AE51" s="68">
        <f t="shared" si="64"/>
        <v>96993.279999999999</v>
      </c>
      <c r="AF51" s="29">
        <f t="shared" si="64"/>
        <v>193986.56</v>
      </c>
      <c r="AG51" s="30">
        <f t="shared" si="64"/>
        <v>387973.12</v>
      </c>
      <c r="AH51" s="30">
        <f t="shared" si="64"/>
        <v>775946.23999999999</v>
      </c>
      <c r="AI51" s="30">
        <f t="shared" si="64"/>
        <v>1551892.48</v>
      </c>
      <c r="AJ51" s="68">
        <f t="shared" si="64"/>
        <v>2060390.88</v>
      </c>
      <c r="AK51" s="45"/>
    </row>
    <row r="52" spans="1:37" x14ac:dyDescent="0.25">
      <c r="A52" s="41" t="s">
        <v>13</v>
      </c>
      <c r="B52" s="6">
        <f>'Population by Age - Wikipedia'!D18</f>
        <v>2.3488646898463382E-2</v>
      </c>
      <c r="C52" s="10">
        <f t="shared" ref="C52:C66" si="65">$B$5*B52</f>
        <v>32699860.711577188</v>
      </c>
      <c r="D52" s="23">
        <f>'Infection Rate by Age'!B5</f>
        <v>2.9000000000000001E-2</v>
      </c>
      <c r="E52" s="17"/>
      <c r="F52" s="16"/>
      <c r="G52" s="16"/>
      <c r="H52" s="16"/>
      <c r="I52" s="16"/>
      <c r="J52" s="20">
        <f t="shared" ref="J52:AJ52" si="66">J$18*$D$52</f>
        <v>0.90625</v>
      </c>
      <c r="K52" s="21">
        <f t="shared" si="66"/>
        <v>1.8125</v>
      </c>
      <c r="L52" s="21">
        <f t="shared" si="66"/>
        <v>3.625</v>
      </c>
      <c r="M52" s="21">
        <f t="shared" si="66"/>
        <v>7.25</v>
      </c>
      <c r="N52" s="21">
        <f t="shared" si="66"/>
        <v>14.5</v>
      </c>
      <c r="O52" s="21">
        <f t="shared" si="66"/>
        <v>29</v>
      </c>
      <c r="P52" s="21">
        <f t="shared" si="66"/>
        <v>58</v>
      </c>
      <c r="Q52" s="21">
        <f t="shared" si="66"/>
        <v>116</v>
      </c>
      <c r="R52" s="21">
        <f t="shared" si="66"/>
        <v>232</v>
      </c>
      <c r="S52" s="21">
        <f t="shared" si="66"/>
        <v>464</v>
      </c>
      <c r="T52" s="21">
        <f t="shared" si="66"/>
        <v>928</v>
      </c>
      <c r="U52" s="21">
        <f t="shared" si="66"/>
        <v>1856</v>
      </c>
      <c r="V52" s="21">
        <f t="shared" si="66"/>
        <v>3712</v>
      </c>
      <c r="W52" s="21">
        <f t="shared" si="66"/>
        <v>7424</v>
      </c>
      <c r="X52" s="21">
        <f t="shared" si="66"/>
        <v>14848</v>
      </c>
      <c r="Y52" s="21">
        <f t="shared" si="66"/>
        <v>29696</v>
      </c>
      <c r="Z52" s="21">
        <f t="shared" si="66"/>
        <v>59392</v>
      </c>
      <c r="AA52" s="21">
        <f t="shared" si="66"/>
        <v>118784</v>
      </c>
      <c r="AB52" s="21">
        <f t="shared" si="66"/>
        <v>237568</v>
      </c>
      <c r="AC52" s="21">
        <f t="shared" si="66"/>
        <v>475136</v>
      </c>
      <c r="AD52" s="21">
        <f t="shared" si="66"/>
        <v>950272</v>
      </c>
      <c r="AE52" s="69">
        <f t="shared" si="66"/>
        <v>1900544</v>
      </c>
      <c r="AF52" s="20">
        <f t="shared" si="66"/>
        <v>3801088</v>
      </c>
      <c r="AG52" s="21">
        <f t="shared" si="66"/>
        <v>7602176</v>
      </c>
      <c r="AH52" s="21">
        <f t="shared" si="66"/>
        <v>15204352</v>
      </c>
      <c r="AI52" s="21">
        <f t="shared" si="66"/>
        <v>30408704</v>
      </c>
      <c r="AJ52" s="69">
        <f t="shared" si="66"/>
        <v>40372524</v>
      </c>
      <c r="AK52" s="45"/>
    </row>
    <row r="53" spans="1:37" x14ac:dyDescent="0.25">
      <c r="A53" s="41"/>
      <c r="B53" s="6"/>
      <c r="C53" s="10"/>
      <c r="D53" s="8"/>
      <c r="E53" s="27">
        <v>0.08</v>
      </c>
      <c r="F53" s="15">
        <v>0.13200000000000001</v>
      </c>
      <c r="G53" s="10"/>
      <c r="H53" s="15"/>
      <c r="I53" s="10"/>
      <c r="J53" s="29">
        <f t="shared" ref="J53:AJ53" si="67">J$18*$D$52*$E$53</f>
        <v>7.2499999999999995E-2</v>
      </c>
      <c r="K53" s="30">
        <f t="shared" si="67"/>
        <v>0.14499999999999999</v>
      </c>
      <c r="L53" s="30">
        <f t="shared" si="67"/>
        <v>0.28999999999999998</v>
      </c>
      <c r="M53" s="30">
        <f t="shared" si="67"/>
        <v>0.57999999999999996</v>
      </c>
      <c r="N53" s="30">
        <f t="shared" si="67"/>
        <v>1.1599999999999999</v>
      </c>
      <c r="O53" s="30">
        <f t="shared" si="67"/>
        <v>2.3199999999999998</v>
      </c>
      <c r="P53" s="30">
        <f t="shared" si="67"/>
        <v>4.6399999999999997</v>
      </c>
      <c r="Q53" s="30">
        <f t="shared" si="67"/>
        <v>9.2799999999999994</v>
      </c>
      <c r="R53" s="30">
        <f t="shared" si="67"/>
        <v>18.559999999999999</v>
      </c>
      <c r="S53" s="30">
        <f t="shared" si="67"/>
        <v>37.119999999999997</v>
      </c>
      <c r="T53" s="30">
        <f t="shared" si="67"/>
        <v>74.239999999999995</v>
      </c>
      <c r="U53" s="30">
        <f t="shared" si="67"/>
        <v>148.47999999999999</v>
      </c>
      <c r="V53" s="30">
        <f t="shared" si="67"/>
        <v>296.95999999999998</v>
      </c>
      <c r="W53" s="30">
        <f t="shared" si="67"/>
        <v>593.91999999999996</v>
      </c>
      <c r="X53" s="30">
        <f t="shared" si="67"/>
        <v>1187.8399999999999</v>
      </c>
      <c r="Y53" s="30">
        <f t="shared" si="67"/>
        <v>2375.6799999999998</v>
      </c>
      <c r="Z53" s="30">
        <f t="shared" si="67"/>
        <v>4751.3599999999997</v>
      </c>
      <c r="AA53" s="30">
        <f t="shared" si="67"/>
        <v>9502.7199999999993</v>
      </c>
      <c r="AB53" s="30">
        <f t="shared" si="67"/>
        <v>19005.439999999999</v>
      </c>
      <c r="AC53" s="30">
        <f t="shared" si="67"/>
        <v>38010.879999999997</v>
      </c>
      <c r="AD53" s="30">
        <f t="shared" si="67"/>
        <v>76021.759999999995</v>
      </c>
      <c r="AE53" s="68">
        <f t="shared" si="67"/>
        <v>152043.51999999999</v>
      </c>
      <c r="AF53" s="29">
        <f t="shared" si="67"/>
        <v>304087.03999999998</v>
      </c>
      <c r="AG53" s="30">
        <f t="shared" si="67"/>
        <v>608174.07999999996</v>
      </c>
      <c r="AH53" s="30">
        <f t="shared" si="67"/>
        <v>1216348.1599999999</v>
      </c>
      <c r="AI53" s="30">
        <f t="shared" si="67"/>
        <v>2432696.3199999998</v>
      </c>
      <c r="AJ53" s="68">
        <f t="shared" si="67"/>
        <v>3229801.92</v>
      </c>
      <c r="AK53" s="45"/>
    </row>
    <row r="54" spans="1:37" x14ac:dyDescent="0.25">
      <c r="A54" s="41" t="s">
        <v>14</v>
      </c>
      <c r="B54" s="6">
        <f>'Population by Age - Wikipedia'!D16</f>
        <v>5.2953236529497287E-2</v>
      </c>
      <c r="C54" s="10">
        <f t="shared" si="65"/>
        <v>73719165.953958824</v>
      </c>
      <c r="D54" s="23">
        <f>'Infection Rate by Age'!B6</f>
        <v>0.121</v>
      </c>
      <c r="E54" s="17"/>
      <c r="F54" s="10"/>
      <c r="G54" s="10"/>
      <c r="H54" s="10"/>
      <c r="I54" s="10"/>
      <c r="J54" s="20">
        <f t="shared" ref="J54:AJ54" si="68">J$18*$D$54</f>
        <v>3.78125</v>
      </c>
      <c r="K54" s="21">
        <f t="shared" si="68"/>
        <v>7.5625</v>
      </c>
      <c r="L54" s="21">
        <f t="shared" si="68"/>
        <v>15.125</v>
      </c>
      <c r="M54" s="21">
        <f t="shared" si="68"/>
        <v>30.25</v>
      </c>
      <c r="N54" s="21">
        <f t="shared" si="68"/>
        <v>60.5</v>
      </c>
      <c r="O54" s="21">
        <f t="shared" si="68"/>
        <v>121</v>
      </c>
      <c r="P54" s="21">
        <f t="shared" si="68"/>
        <v>242</v>
      </c>
      <c r="Q54" s="21">
        <f t="shared" si="68"/>
        <v>484</v>
      </c>
      <c r="R54" s="21">
        <f t="shared" si="68"/>
        <v>968</v>
      </c>
      <c r="S54" s="21">
        <f t="shared" si="68"/>
        <v>1936</v>
      </c>
      <c r="T54" s="21">
        <f t="shared" si="68"/>
        <v>3872</v>
      </c>
      <c r="U54" s="21">
        <f t="shared" si="68"/>
        <v>7744</v>
      </c>
      <c r="V54" s="21">
        <f t="shared" si="68"/>
        <v>15488</v>
      </c>
      <c r="W54" s="21">
        <f t="shared" si="68"/>
        <v>30976</v>
      </c>
      <c r="X54" s="21">
        <f t="shared" si="68"/>
        <v>61952</v>
      </c>
      <c r="Y54" s="21">
        <f t="shared" si="68"/>
        <v>123904</v>
      </c>
      <c r="Z54" s="21">
        <f t="shared" si="68"/>
        <v>247808</v>
      </c>
      <c r="AA54" s="21">
        <f t="shared" si="68"/>
        <v>495616</v>
      </c>
      <c r="AB54" s="21">
        <f t="shared" si="68"/>
        <v>991232</v>
      </c>
      <c r="AC54" s="21">
        <f t="shared" si="68"/>
        <v>1982464</v>
      </c>
      <c r="AD54" s="21">
        <f t="shared" si="68"/>
        <v>3964928</v>
      </c>
      <c r="AE54" s="69">
        <f t="shared" si="68"/>
        <v>7929856</v>
      </c>
      <c r="AF54" s="20">
        <f t="shared" si="68"/>
        <v>15859712</v>
      </c>
      <c r="AG54" s="21">
        <f t="shared" si="68"/>
        <v>31719424</v>
      </c>
      <c r="AH54" s="21">
        <f t="shared" si="68"/>
        <v>63438848</v>
      </c>
      <c r="AI54" s="21">
        <f t="shared" si="68"/>
        <v>126877696</v>
      </c>
      <c r="AJ54" s="69">
        <f t="shared" si="68"/>
        <v>168450876</v>
      </c>
      <c r="AK54" s="45"/>
    </row>
    <row r="55" spans="1:37" x14ac:dyDescent="0.25">
      <c r="A55" s="41"/>
      <c r="B55" s="6"/>
      <c r="C55" s="10"/>
      <c r="D55" s="8"/>
      <c r="E55" s="27">
        <v>3.5999999999999997E-2</v>
      </c>
      <c r="F55" s="15">
        <v>0.23699999999999999</v>
      </c>
      <c r="G55" s="10"/>
      <c r="H55" s="15"/>
      <c r="I55" s="10"/>
      <c r="J55" s="29">
        <f t="shared" ref="J55:AJ55" si="69">J$18*$D$54*$E$55</f>
        <v>0.136125</v>
      </c>
      <c r="K55" s="30">
        <f t="shared" si="69"/>
        <v>0.27224999999999999</v>
      </c>
      <c r="L55" s="30">
        <f t="shared" si="69"/>
        <v>0.54449999999999998</v>
      </c>
      <c r="M55" s="30">
        <f t="shared" si="69"/>
        <v>1.089</v>
      </c>
      <c r="N55" s="30">
        <f t="shared" si="69"/>
        <v>2.1779999999999999</v>
      </c>
      <c r="O55" s="30">
        <f t="shared" si="69"/>
        <v>4.3559999999999999</v>
      </c>
      <c r="P55" s="30">
        <f t="shared" si="69"/>
        <v>8.7119999999999997</v>
      </c>
      <c r="Q55" s="30">
        <f t="shared" si="69"/>
        <v>17.423999999999999</v>
      </c>
      <c r="R55" s="30">
        <f t="shared" si="69"/>
        <v>34.847999999999999</v>
      </c>
      <c r="S55" s="30">
        <f t="shared" si="69"/>
        <v>69.695999999999998</v>
      </c>
      <c r="T55" s="30">
        <f t="shared" si="69"/>
        <v>139.392</v>
      </c>
      <c r="U55" s="30">
        <f t="shared" si="69"/>
        <v>278.78399999999999</v>
      </c>
      <c r="V55" s="30">
        <f t="shared" si="69"/>
        <v>557.56799999999998</v>
      </c>
      <c r="W55" s="30">
        <f t="shared" si="69"/>
        <v>1115.136</v>
      </c>
      <c r="X55" s="30">
        <f t="shared" si="69"/>
        <v>2230.2719999999999</v>
      </c>
      <c r="Y55" s="30">
        <f t="shared" si="69"/>
        <v>4460.5439999999999</v>
      </c>
      <c r="Z55" s="30">
        <f t="shared" si="69"/>
        <v>8921.0879999999997</v>
      </c>
      <c r="AA55" s="30">
        <f t="shared" si="69"/>
        <v>17842.175999999999</v>
      </c>
      <c r="AB55" s="30">
        <f t="shared" si="69"/>
        <v>35684.351999999999</v>
      </c>
      <c r="AC55" s="30">
        <f t="shared" si="69"/>
        <v>71368.703999999998</v>
      </c>
      <c r="AD55" s="30">
        <f t="shared" si="69"/>
        <v>142737.408</v>
      </c>
      <c r="AE55" s="68">
        <f t="shared" si="69"/>
        <v>285474.81599999999</v>
      </c>
      <c r="AF55" s="29">
        <f t="shared" si="69"/>
        <v>570949.63199999998</v>
      </c>
      <c r="AG55" s="30">
        <f t="shared" si="69"/>
        <v>1141899.264</v>
      </c>
      <c r="AH55" s="30">
        <f t="shared" si="69"/>
        <v>2283798.5279999999</v>
      </c>
      <c r="AI55" s="30">
        <f t="shared" si="69"/>
        <v>4567597.0559999999</v>
      </c>
      <c r="AJ55" s="68">
        <f t="shared" si="69"/>
        <v>6064231.5359999994</v>
      </c>
      <c r="AK55" s="45"/>
    </row>
    <row r="56" spans="1:37" x14ac:dyDescent="0.25">
      <c r="A56" s="41" t="s">
        <v>15</v>
      </c>
      <c r="B56" s="6">
        <f>'Population by Age - Wikipedia'!D14</f>
        <v>7.2853736141516481E-2</v>
      </c>
      <c r="C56" s="10">
        <f t="shared" si="65"/>
        <v>101423765.89182901</v>
      </c>
      <c r="D56" s="23">
        <f>'Infection Rate by Age'!B7</f>
        <v>0.159</v>
      </c>
      <c r="E56" s="17"/>
      <c r="F56" s="10"/>
      <c r="G56" s="10"/>
      <c r="H56" s="10"/>
      <c r="I56" s="10"/>
      <c r="J56" s="20">
        <f t="shared" ref="J56:AJ56" si="70">J$18*$D$56</f>
        <v>4.96875</v>
      </c>
      <c r="K56" s="21">
        <f t="shared" si="70"/>
        <v>9.9375</v>
      </c>
      <c r="L56" s="21">
        <f t="shared" si="70"/>
        <v>19.875</v>
      </c>
      <c r="M56" s="21">
        <f t="shared" si="70"/>
        <v>39.75</v>
      </c>
      <c r="N56" s="21">
        <f t="shared" si="70"/>
        <v>79.5</v>
      </c>
      <c r="O56" s="21">
        <f t="shared" si="70"/>
        <v>159</v>
      </c>
      <c r="P56" s="21">
        <f t="shared" si="70"/>
        <v>318</v>
      </c>
      <c r="Q56" s="21">
        <f t="shared" si="70"/>
        <v>636</v>
      </c>
      <c r="R56" s="21">
        <f t="shared" si="70"/>
        <v>1272</v>
      </c>
      <c r="S56" s="21">
        <f t="shared" si="70"/>
        <v>2544</v>
      </c>
      <c r="T56" s="21">
        <f t="shared" si="70"/>
        <v>5088</v>
      </c>
      <c r="U56" s="21">
        <f t="shared" si="70"/>
        <v>10176</v>
      </c>
      <c r="V56" s="21">
        <f t="shared" si="70"/>
        <v>20352</v>
      </c>
      <c r="W56" s="21">
        <f t="shared" si="70"/>
        <v>40704</v>
      </c>
      <c r="X56" s="21">
        <f t="shared" si="70"/>
        <v>81408</v>
      </c>
      <c r="Y56" s="21">
        <f t="shared" si="70"/>
        <v>162816</v>
      </c>
      <c r="Z56" s="21">
        <f t="shared" si="70"/>
        <v>325632</v>
      </c>
      <c r="AA56" s="21">
        <f t="shared" si="70"/>
        <v>651264</v>
      </c>
      <c r="AB56" s="21">
        <f t="shared" si="70"/>
        <v>1302528</v>
      </c>
      <c r="AC56" s="21">
        <f t="shared" si="70"/>
        <v>2605056</v>
      </c>
      <c r="AD56" s="21">
        <f t="shared" si="70"/>
        <v>5210112</v>
      </c>
      <c r="AE56" s="69">
        <f t="shared" si="70"/>
        <v>10420224</v>
      </c>
      <c r="AF56" s="20">
        <f t="shared" si="70"/>
        <v>20840448</v>
      </c>
      <c r="AG56" s="21">
        <f t="shared" si="70"/>
        <v>41680896</v>
      </c>
      <c r="AH56" s="21">
        <f t="shared" si="70"/>
        <v>83361792</v>
      </c>
      <c r="AI56" s="21">
        <f t="shared" si="70"/>
        <v>166723584</v>
      </c>
      <c r="AJ56" s="69">
        <f t="shared" si="70"/>
        <v>221352804</v>
      </c>
      <c r="AK56" s="45"/>
    </row>
    <row r="57" spans="1:37" x14ac:dyDescent="0.25">
      <c r="A57" s="41"/>
      <c r="B57" s="6"/>
      <c r="C57" s="10"/>
      <c r="D57" s="8"/>
      <c r="E57" s="27">
        <v>1.2999999999999999E-2</v>
      </c>
      <c r="F57" s="15">
        <v>0.28899999999999998</v>
      </c>
      <c r="G57" s="10"/>
      <c r="H57" s="15"/>
      <c r="I57" s="10"/>
      <c r="J57" s="29">
        <f t="shared" ref="J57:AJ57" si="71">J$18*$D$56*$E$57</f>
        <v>6.4593749999999991E-2</v>
      </c>
      <c r="K57" s="30">
        <f t="shared" si="71"/>
        <v>0.12918749999999998</v>
      </c>
      <c r="L57" s="30">
        <f t="shared" si="71"/>
        <v>0.25837499999999997</v>
      </c>
      <c r="M57" s="30">
        <f t="shared" si="71"/>
        <v>0.51674999999999993</v>
      </c>
      <c r="N57" s="30">
        <f t="shared" si="71"/>
        <v>1.0334999999999999</v>
      </c>
      <c r="O57" s="30">
        <f t="shared" si="71"/>
        <v>2.0669999999999997</v>
      </c>
      <c r="P57" s="30">
        <f t="shared" si="71"/>
        <v>4.1339999999999995</v>
      </c>
      <c r="Q57" s="30">
        <f t="shared" si="71"/>
        <v>8.2679999999999989</v>
      </c>
      <c r="R57" s="30">
        <f t="shared" si="71"/>
        <v>16.535999999999998</v>
      </c>
      <c r="S57" s="30">
        <f t="shared" si="71"/>
        <v>33.071999999999996</v>
      </c>
      <c r="T57" s="30">
        <f t="shared" si="71"/>
        <v>66.143999999999991</v>
      </c>
      <c r="U57" s="30">
        <f t="shared" si="71"/>
        <v>132.28799999999998</v>
      </c>
      <c r="V57" s="30">
        <f t="shared" si="71"/>
        <v>264.57599999999996</v>
      </c>
      <c r="W57" s="30">
        <f t="shared" si="71"/>
        <v>529.15199999999993</v>
      </c>
      <c r="X57" s="30">
        <f t="shared" si="71"/>
        <v>1058.3039999999999</v>
      </c>
      <c r="Y57" s="30">
        <f t="shared" si="71"/>
        <v>2116.6079999999997</v>
      </c>
      <c r="Z57" s="30">
        <f t="shared" si="71"/>
        <v>4233.2159999999994</v>
      </c>
      <c r="AA57" s="30">
        <f t="shared" si="71"/>
        <v>8466.4319999999989</v>
      </c>
      <c r="AB57" s="30">
        <f t="shared" si="71"/>
        <v>16932.863999999998</v>
      </c>
      <c r="AC57" s="30">
        <f t="shared" si="71"/>
        <v>33865.727999999996</v>
      </c>
      <c r="AD57" s="30">
        <f t="shared" si="71"/>
        <v>67731.455999999991</v>
      </c>
      <c r="AE57" s="68">
        <f t="shared" si="71"/>
        <v>135462.91199999998</v>
      </c>
      <c r="AF57" s="29">
        <f t="shared" si="71"/>
        <v>270925.82399999996</v>
      </c>
      <c r="AG57" s="30">
        <f t="shared" si="71"/>
        <v>541851.64799999993</v>
      </c>
      <c r="AH57" s="30">
        <f t="shared" si="71"/>
        <v>1083703.2959999999</v>
      </c>
      <c r="AI57" s="30">
        <f t="shared" si="71"/>
        <v>2167406.5919999997</v>
      </c>
      <c r="AJ57" s="68">
        <f t="shared" si="71"/>
        <v>2877586.452</v>
      </c>
      <c r="AK57" s="45"/>
    </row>
    <row r="58" spans="1:37" x14ac:dyDescent="0.25">
      <c r="A58" s="41" t="s">
        <v>16</v>
      </c>
      <c r="B58" s="6">
        <f>'Population by Age - Wikipedia'!D12</f>
        <v>0.11129032093824395</v>
      </c>
      <c r="C58" s="10">
        <f t="shared" si="65"/>
        <v>154933488.03610194</v>
      </c>
      <c r="D58" s="23">
        <f>'Infection Rate by Age'!B8</f>
        <v>0.17100000000000001</v>
      </c>
      <c r="E58" s="17"/>
      <c r="F58" s="10"/>
      <c r="G58" s="10"/>
      <c r="H58" s="10"/>
      <c r="I58" s="10"/>
      <c r="J58" s="20">
        <f t="shared" ref="J58:AJ58" si="72">J$18*$D$58</f>
        <v>5.34375</v>
      </c>
      <c r="K58" s="21">
        <f t="shared" si="72"/>
        <v>10.6875</v>
      </c>
      <c r="L58" s="21">
        <f t="shared" si="72"/>
        <v>21.375</v>
      </c>
      <c r="M58" s="21">
        <f t="shared" si="72"/>
        <v>42.75</v>
      </c>
      <c r="N58" s="21">
        <f t="shared" si="72"/>
        <v>85.5</v>
      </c>
      <c r="O58" s="21">
        <f t="shared" si="72"/>
        <v>171</v>
      </c>
      <c r="P58" s="21">
        <f t="shared" si="72"/>
        <v>342</v>
      </c>
      <c r="Q58" s="21">
        <f t="shared" si="72"/>
        <v>684</v>
      </c>
      <c r="R58" s="21">
        <f t="shared" si="72"/>
        <v>1368</v>
      </c>
      <c r="S58" s="21">
        <f t="shared" si="72"/>
        <v>2736</v>
      </c>
      <c r="T58" s="21">
        <f t="shared" si="72"/>
        <v>5472</v>
      </c>
      <c r="U58" s="21">
        <f t="shared" si="72"/>
        <v>10944</v>
      </c>
      <c r="V58" s="21">
        <f t="shared" si="72"/>
        <v>21888</v>
      </c>
      <c r="W58" s="21">
        <f t="shared" si="72"/>
        <v>43776</v>
      </c>
      <c r="X58" s="21">
        <f t="shared" si="72"/>
        <v>87552</v>
      </c>
      <c r="Y58" s="21">
        <f t="shared" si="72"/>
        <v>175104</v>
      </c>
      <c r="Z58" s="21">
        <f t="shared" si="72"/>
        <v>350208</v>
      </c>
      <c r="AA58" s="21">
        <f t="shared" si="72"/>
        <v>700416</v>
      </c>
      <c r="AB58" s="21">
        <f t="shared" si="72"/>
        <v>1400832</v>
      </c>
      <c r="AC58" s="21">
        <f t="shared" si="72"/>
        <v>2801664</v>
      </c>
      <c r="AD58" s="21">
        <f t="shared" si="72"/>
        <v>5603328</v>
      </c>
      <c r="AE58" s="69">
        <f t="shared" si="72"/>
        <v>11206656</v>
      </c>
      <c r="AF58" s="20">
        <f t="shared" si="72"/>
        <v>22413312</v>
      </c>
      <c r="AG58" s="21">
        <f t="shared" si="72"/>
        <v>44826624</v>
      </c>
      <c r="AH58" s="21">
        <f t="shared" si="72"/>
        <v>89653248</v>
      </c>
      <c r="AI58" s="21">
        <f t="shared" si="72"/>
        <v>179306496</v>
      </c>
      <c r="AJ58" s="69">
        <f t="shared" si="72"/>
        <v>238058676.00000003</v>
      </c>
      <c r="AK58" s="45"/>
    </row>
    <row r="59" spans="1:37" x14ac:dyDescent="0.25">
      <c r="A59" s="41"/>
      <c r="B59" s="6"/>
      <c r="C59" s="10"/>
      <c r="D59" s="8"/>
      <c r="E59" s="27">
        <v>4.0000000000000001E-3</v>
      </c>
      <c r="F59" s="15">
        <v>0.21099999999999999</v>
      </c>
      <c r="G59" s="10"/>
      <c r="H59" s="15"/>
      <c r="I59" s="10"/>
      <c r="J59" s="29">
        <f t="shared" ref="J59:AJ59" si="73">J$18*$D$58*$E$59</f>
        <v>2.1375000000000002E-2</v>
      </c>
      <c r="K59" s="30">
        <f t="shared" si="73"/>
        <v>4.2750000000000003E-2</v>
      </c>
      <c r="L59" s="30">
        <f t="shared" si="73"/>
        <v>8.5500000000000007E-2</v>
      </c>
      <c r="M59" s="30">
        <f t="shared" si="73"/>
        <v>0.17100000000000001</v>
      </c>
      <c r="N59" s="30">
        <f t="shared" si="73"/>
        <v>0.34200000000000003</v>
      </c>
      <c r="O59" s="30">
        <f t="shared" si="73"/>
        <v>0.68400000000000005</v>
      </c>
      <c r="P59" s="30">
        <f t="shared" si="73"/>
        <v>1.3680000000000001</v>
      </c>
      <c r="Q59" s="30">
        <f t="shared" si="73"/>
        <v>2.7360000000000002</v>
      </c>
      <c r="R59" s="30">
        <f t="shared" si="73"/>
        <v>5.4720000000000004</v>
      </c>
      <c r="S59" s="30">
        <f t="shared" si="73"/>
        <v>10.944000000000001</v>
      </c>
      <c r="T59" s="30">
        <f t="shared" si="73"/>
        <v>21.888000000000002</v>
      </c>
      <c r="U59" s="30">
        <f t="shared" si="73"/>
        <v>43.776000000000003</v>
      </c>
      <c r="V59" s="30">
        <f t="shared" si="73"/>
        <v>87.552000000000007</v>
      </c>
      <c r="W59" s="30">
        <f t="shared" si="73"/>
        <v>175.10400000000001</v>
      </c>
      <c r="X59" s="30">
        <f t="shared" si="73"/>
        <v>350.20800000000003</v>
      </c>
      <c r="Y59" s="30">
        <f t="shared" si="73"/>
        <v>700.41600000000005</v>
      </c>
      <c r="Z59" s="30">
        <f t="shared" si="73"/>
        <v>1400.8320000000001</v>
      </c>
      <c r="AA59" s="30">
        <f t="shared" si="73"/>
        <v>2801.6640000000002</v>
      </c>
      <c r="AB59" s="30">
        <f t="shared" si="73"/>
        <v>5603.3280000000004</v>
      </c>
      <c r="AC59" s="30">
        <f t="shared" si="73"/>
        <v>11206.656000000001</v>
      </c>
      <c r="AD59" s="30">
        <f t="shared" si="73"/>
        <v>22413.312000000002</v>
      </c>
      <c r="AE59" s="68">
        <f t="shared" si="73"/>
        <v>44826.624000000003</v>
      </c>
      <c r="AF59" s="29">
        <f t="shared" si="73"/>
        <v>89653.248000000007</v>
      </c>
      <c r="AG59" s="30">
        <f t="shared" si="73"/>
        <v>179306.49600000001</v>
      </c>
      <c r="AH59" s="30">
        <f t="shared" si="73"/>
        <v>358612.99200000003</v>
      </c>
      <c r="AI59" s="30">
        <f t="shared" si="73"/>
        <v>717225.98400000005</v>
      </c>
      <c r="AJ59" s="68">
        <f t="shared" si="73"/>
        <v>952234.70400000014</v>
      </c>
      <c r="AK59" s="45"/>
    </row>
    <row r="60" spans="1:37" x14ac:dyDescent="0.25">
      <c r="A60" s="41" t="s">
        <v>17</v>
      </c>
      <c r="B60" s="6">
        <f>'Population by Age - Wikipedia'!D10</f>
        <v>0.14348178625853722</v>
      </c>
      <c r="C60" s="10">
        <f t="shared" si="65"/>
        <v>199749029.63054013</v>
      </c>
      <c r="D60" s="23">
        <f>'Infection Rate by Age'!B9</f>
        <v>0.219</v>
      </c>
      <c r="E60" s="17"/>
      <c r="F60" s="10"/>
      <c r="G60" s="14"/>
      <c r="H60" s="10"/>
      <c r="I60" s="10"/>
      <c r="J60" s="20">
        <f t="shared" ref="J60:AJ60" si="74">J$18*$D$60</f>
        <v>6.84375</v>
      </c>
      <c r="K60" s="21">
        <f t="shared" si="74"/>
        <v>13.6875</v>
      </c>
      <c r="L60" s="21">
        <f t="shared" si="74"/>
        <v>27.375</v>
      </c>
      <c r="M60" s="21">
        <f t="shared" si="74"/>
        <v>54.75</v>
      </c>
      <c r="N60" s="21">
        <f t="shared" si="74"/>
        <v>109.5</v>
      </c>
      <c r="O60" s="21">
        <f t="shared" si="74"/>
        <v>219</v>
      </c>
      <c r="P60" s="21">
        <f t="shared" si="74"/>
        <v>438</v>
      </c>
      <c r="Q60" s="21">
        <f t="shared" si="74"/>
        <v>876</v>
      </c>
      <c r="R60" s="21">
        <f t="shared" si="74"/>
        <v>1752</v>
      </c>
      <c r="S60" s="21">
        <f t="shared" si="74"/>
        <v>3504</v>
      </c>
      <c r="T60" s="21">
        <f t="shared" si="74"/>
        <v>7008</v>
      </c>
      <c r="U60" s="21">
        <f t="shared" si="74"/>
        <v>14016</v>
      </c>
      <c r="V60" s="21">
        <f t="shared" si="74"/>
        <v>28032</v>
      </c>
      <c r="W60" s="21">
        <f t="shared" si="74"/>
        <v>56064</v>
      </c>
      <c r="X60" s="21">
        <f t="shared" si="74"/>
        <v>112128</v>
      </c>
      <c r="Y60" s="21">
        <f t="shared" si="74"/>
        <v>224256</v>
      </c>
      <c r="Z60" s="21">
        <f t="shared" si="74"/>
        <v>448512</v>
      </c>
      <c r="AA60" s="21">
        <f t="shared" si="74"/>
        <v>897024</v>
      </c>
      <c r="AB60" s="21">
        <f t="shared" si="74"/>
        <v>1794048</v>
      </c>
      <c r="AC60" s="21">
        <f t="shared" si="74"/>
        <v>3588096</v>
      </c>
      <c r="AD60" s="21">
        <f t="shared" si="74"/>
        <v>7176192</v>
      </c>
      <c r="AE60" s="69">
        <f t="shared" si="74"/>
        <v>14352384</v>
      </c>
      <c r="AF60" s="20">
        <f t="shared" si="74"/>
        <v>28704768</v>
      </c>
      <c r="AG60" s="21">
        <f t="shared" si="74"/>
        <v>57409536</v>
      </c>
      <c r="AH60" s="21">
        <f t="shared" si="74"/>
        <v>114819072</v>
      </c>
      <c r="AI60" s="21">
        <f t="shared" si="74"/>
        <v>229638144</v>
      </c>
      <c r="AJ60" s="69">
        <f t="shared" si="74"/>
        <v>304882164</v>
      </c>
      <c r="AK60" s="45"/>
    </row>
    <row r="61" spans="1:37" x14ac:dyDescent="0.25">
      <c r="A61" s="41"/>
      <c r="B61" s="6"/>
      <c r="C61" s="10"/>
      <c r="D61" s="8"/>
      <c r="E61" s="27">
        <v>2E-3</v>
      </c>
      <c r="F61" s="15">
        <v>2.5999999999999999E-2</v>
      </c>
      <c r="G61" s="10"/>
      <c r="H61" s="15"/>
      <c r="I61" s="10"/>
      <c r="J61" s="29">
        <f t="shared" ref="J61:AJ61" si="75">J$18*$D$60*$E$61</f>
        <v>1.36875E-2</v>
      </c>
      <c r="K61" s="30">
        <f t="shared" si="75"/>
        <v>2.7375E-2</v>
      </c>
      <c r="L61" s="30">
        <f t="shared" si="75"/>
        <v>5.475E-2</v>
      </c>
      <c r="M61" s="30">
        <f t="shared" si="75"/>
        <v>0.1095</v>
      </c>
      <c r="N61" s="30">
        <f t="shared" si="75"/>
        <v>0.219</v>
      </c>
      <c r="O61" s="30">
        <f t="shared" si="75"/>
        <v>0.438</v>
      </c>
      <c r="P61" s="30">
        <f t="shared" si="75"/>
        <v>0.876</v>
      </c>
      <c r="Q61" s="30">
        <f t="shared" si="75"/>
        <v>1.752</v>
      </c>
      <c r="R61" s="30">
        <f t="shared" si="75"/>
        <v>3.504</v>
      </c>
      <c r="S61" s="30">
        <f t="shared" si="75"/>
        <v>7.008</v>
      </c>
      <c r="T61" s="30">
        <f t="shared" si="75"/>
        <v>14.016</v>
      </c>
      <c r="U61" s="30">
        <f t="shared" si="75"/>
        <v>28.032</v>
      </c>
      <c r="V61" s="30">
        <f t="shared" si="75"/>
        <v>56.064</v>
      </c>
      <c r="W61" s="30">
        <f t="shared" si="75"/>
        <v>112.128</v>
      </c>
      <c r="X61" s="30">
        <f t="shared" si="75"/>
        <v>224.256</v>
      </c>
      <c r="Y61" s="30">
        <f t="shared" si="75"/>
        <v>448.512</v>
      </c>
      <c r="Z61" s="30">
        <f t="shared" si="75"/>
        <v>897.024</v>
      </c>
      <c r="AA61" s="30">
        <f t="shared" si="75"/>
        <v>1794.048</v>
      </c>
      <c r="AB61" s="30">
        <f t="shared" si="75"/>
        <v>3588.096</v>
      </c>
      <c r="AC61" s="30">
        <f t="shared" si="75"/>
        <v>7176.192</v>
      </c>
      <c r="AD61" s="30">
        <f t="shared" si="75"/>
        <v>14352.384</v>
      </c>
      <c r="AE61" s="68">
        <f t="shared" si="75"/>
        <v>28704.768</v>
      </c>
      <c r="AF61" s="29">
        <f t="shared" si="75"/>
        <v>57409.536</v>
      </c>
      <c r="AG61" s="30">
        <f t="shared" si="75"/>
        <v>114819.072</v>
      </c>
      <c r="AH61" s="30">
        <f t="shared" si="75"/>
        <v>229638.144</v>
      </c>
      <c r="AI61" s="30">
        <f t="shared" si="75"/>
        <v>459276.288</v>
      </c>
      <c r="AJ61" s="68">
        <f t="shared" si="75"/>
        <v>609764.32799999998</v>
      </c>
      <c r="AK61" s="45"/>
    </row>
    <row r="62" spans="1:37" x14ac:dyDescent="0.25">
      <c r="A62" s="41" t="s">
        <v>18</v>
      </c>
      <c r="B62" s="6">
        <f>'Population by Age - Wikipedia'!D8</f>
        <v>0.17577512670206416</v>
      </c>
      <c r="C62" s="10">
        <f t="shared" si="65"/>
        <v>244706397.28903884</v>
      </c>
      <c r="D62" s="23">
        <f>'Infection Rate by Age'!B10</f>
        <v>0.23200000000000001</v>
      </c>
      <c r="E62" s="17"/>
      <c r="F62" s="10"/>
      <c r="G62" s="10"/>
      <c r="H62" s="10"/>
      <c r="I62" s="10"/>
      <c r="J62" s="20">
        <f t="shared" ref="J62:AJ62" si="76">J$18*$D$62</f>
        <v>7.25</v>
      </c>
      <c r="K62" s="21">
        <f t="shared" si="76"/>
        <v>14.5</v>
      </c>
      <c r="L62" s="21">
        <f t="shared" si="76"/>
        <v>29</v>
      </c>
      <c r="M62" s="21">
        <f t="shared" si="76"/>
        <v>58</v>
      </c>
      <c r="N62" s="21">
        <f t="shared" si="76"/>
        <v>116</v>
      </c>
      <c r="O62" s="21">
        <f t="shared" si="76"/>
        <v>232</v>
      </c>
      <c r="P62" s="21">
        <f t="shared" si="76"/>
        <v>464</v>
      </c>
      <c r="Q62" s="21">
        <f t="shared" si="76"/>
        <v>928</v>
      </c>
      <c r="R62" s="21">
        <f t="shared" si="76"/>
        <v>1856</v>
      </c>
      <c r="S62" s="21">
        <f t="shared" si="76"/>
        <v>3712</v>
      </c>
      <c r="T62" s="21">
        <f t="shared" si="76"/>
        <v>7424</v>
      </c>
      <c r="U62" s="21">
        <f t="shared" si="76"/>
        <v>14848</v>
      </c>
      <c r="V62" s="21">
        <f t="shared" si="76"/>
        <v>29696</v>
      </c>
      <c r="W62" s="21">
        <f t="shared" si="76"/>
        <v>59392</v>
      </c>
      <c r="X62" s="21">
        <f t="shared" si="76"/>
        <v>118784</v>
      </c>
      <c r="Y62" s="21">
        <f t="shared" si="76"/>
        <v>237568</v>
      </c>
      <c r="Z62" s="21">
        <f t="shared" si="76"/>
        <v>475136</v>
      </c>
      <c r="AA62" s="21">
        <f t="shared" si="76"/>
        <v>950272</v>
      </c>
      <c r="AB62" s="21">
        <f t="shared" si="76"/>
        <v>1900544</v>
      </c>
      <c r="AC62" s="21">
        <f t="shared" si="76"/>
        <v>3801088</v>
      </c>
      <c r="AD62" s="21">
        <f t="shared" si="76"/>
        <v>7602176</v>
      </c>
      <c r="AE62" s="69">
        <f t="shared" si="76"/>
        <v>15204352</v>
      </c>
      <c r="AF62" s="20">
        <f t="shared" si="76"/>
        <v>30408704</v>
      </c>
      <c r="AG62" s="21">
        <f t="shared" si="76"/>
        <v>60817408</v>
      </c>
      <c r="AH62" s="21">
        <f t="shared" si="76"/>
        <v>121634816</v>
      </c>
      <c r="AI62" s="21">
        <f t="shared" si="76"/>
        <v>243269632</v>
      </c>
      <c r="AJ62" s="69">
        <f t="shared" si="76"/>
        <v>322980192</v>
      </c>
      <c r="AK62" s="45"/>
    </row>
    <row r="63" spans="1:37" x14ac:dyDescent="0.25">
      <c r="A63" s="41"/>
      <c r="B63" s="6"/>
      <c r="C63" s="10"/>
      <c r="D63" s="8"/>
      <c r="E63" s="27">
        <v>2E-3</v>
      </c>
      <c r="F63" s="15">
        <v>2.5999999999999999E-2</v>
      </c>
      <c r="G63" s="10"/>
      <c r="H63" s="15"/>
      <c r="I63" s="10"/>
      <c r="J63" s="29">
        <f t="shared" ref="J63:AJ63" si="77">J$18*$D$62*$E$63</f>
        <v>1.4500000000000001E-2</v>
      </c>
      <c r="K63" s="30">
        <f t="shared" si="77"/>
        <v>2.9000000000000001E-2</v>
      </c>
      <c r="L63" s="30">
        <f t="shared" si="77"/>
        <v>5.8000000000000003E-2</v>
      </c>
      <c r="M63" s="30">
        <f t="shared" si="77"/>
        <v>0.11600000000000001</v>
      </c>
      <c r="N63" s="30">
        <f t="shared" si="77"/>
        <v>0.23200000000000001</v>
      </c>
      <c r="O63" s="30">
        <f t="shared" si="77"/>
        <v>0.46400000000000002</v>
      </c>
      <c r="P63" s="30">
        <f t="shared" si="77"/>
        <v>0.92800000000000005</v>
      </c>
      <c r="Q63" s="30">
        <f t="shared" si="77"/>
        <v>1.8560000000000001</v>
      </c>
      <c r="R63" s="30">
        <f t="shared" si="77"/>
        <v>3.7120000000000002</v>
      </c>
      <c r="S63" s="30">
        <f t="shared" si="77"/>
        <v>7.4240000000000004</v>
      </c>
      <c r="T63" s="30">
        <f t="shared" si="77"/>
        <v>14.848000000000001</v>
      </c>
      <c r="U63" s="30">
        <f t="shared" si="77"/>
        <v>29.696000000000002</v>
      </c>
      <c r="V63" s="30">
        <f t="shared" si="77"/>
        <v>59.392000000000003</v>
      </c>
      <c r="W63" s="30">
        <f t="shared" si="77"/>
        <v>118.78400000000001</v>
      </c>
      <c r="X63" s="30">
        <f t="shared" si="77"/>
        <v>237.56800000000001</v>
      </c>
      <c r="Y63" s="30">
        <f t="shared" si="77"/>
        <v>475.13600000000002</v>
      </c>
      <c r="Z63" s="30">
        <f t="shared" si="77"/>
        <v>950.27200000000005</v>
      </c>
      <c r="AA63" s="30">
        <f t="shared" si="77"/>
        <v>1900.5440000000001</v>
      </c>
      <c r="AB63" s="30">
        <f t="shared" si="77"/>
        <v>3801.0880000000002</v>
      </c>
      <c r="AC63" s="30">
        <f t="shared" si="77"/>
        <v>7602.1760000000004</v>
      </c>
      <c r="AD63" s="30">
        <f t="shared" si="77"/>
        <v>15204.352000000001</v>
      </c>
      <c r="AE63" s="68">
        <f t="shared" si="77"/>
        <v>30408.704000000002</v>
      </c>
      <c r="AF63" s="29">
        <f t="shared" si="77"/>
        <v>60817.408000000003</v>
      </c>
      <c r="AG63" s="30">
        <f t="shared" si="77"/>
        <v>121634.81600000001</v>
      </c>
      <c r="AH63" s="30">
        <f t="shared" si="77"/>
        <v>243269.63200000001</v>
      </c>
      <c r="AI63" s="30">
        <f t="shared" si="77"/>
        <v>486539.26400000002</v>
      </c>
      <c r="AJ63" s="68">
        <f t="shared" si="77"/>
        <v>645960.38399999996</v>
      </c>
      <c r="AK63" s="45"/>
    </row>
    <row r="64" spans="1:37" x14ac:dyDescent="0.25">
      <c r="A64" s="42" t="s">
        <v>19</v>
      </c>
      <c r="B64" s="6">
        <f>'Population by Age - Wikipedia'!D6</f>
        <v>0.20913789496692137</v>
      </c>
      <c r="C64" s="10">
        <f t="shared" si="65"/>
        <v>291152575.30556941</v>
      </c>
      <c r="D64" s="23">
        <f>'Infection Rate by Age'!B11</f>
        <v>3.7999999999999999E-2</v>
      </c>
      <c r="E64" s="17"/>
      <c r="F64" s="10"/>
      <c r="G64" s="10"/>
      <c r="H64" s="10"/>
      <c r="I64" s="10"/>
      <c r="J64" s="20">
        <f t="shared" ref="J64:AJ64" si="78">J$18*$D$64</f>
        <v>1.1875</v>
      </c>
      <c r="K64" s="21">
        <f t="shared" si="78"/>
        <v>2.375</v>
      </c>
      <c r="L64" s="21">
        <f t="shared" si="78"/>
        <v>4.75</v>
      </c>
      <c r="M64" s="21">
        <f t="shared" si="78"/>
        <v>9.5</v>
      </c>
      <c r="N64" s="21">
        <f t="shared" si="78"/>
        <v>19</v>
      </c>
      <c r="O64" s="21">
        <f t="shared" si="78"/>
        <v>38</v>
      </c>
      <c r="P64" s="21">
        <f t="shared" si="78"/>
        <v>76</v>
      </c>
      <c r="Q64" s="21">
        <f t="shared" si="78"/>
        <v>152</v>
      </c>
      <c r="R64" s="21">
        <f t="shared" si="78"/>
        <v>304</v>
      </c>
      <c r="S64" s="21">
        <f t="shared" si="78"/>
        <v>608</v>
      </c>
      <c r="T64" s="21">
        <f t="shared" si="78"/>
        <v>1216</v>
      </c>
      <c r="U64" s="21">
        <f t="shared" si="78"/>
        <v>2432</v>
      </c>
      <c r="V64" s="21">
        <f t="shared" si="78"/>
        <v>4864</v>
      </c>
      <c r="W64" s="21">
        <f t="shared" si="78"/>
        <v>9728</v>
      </c>
      <c r="X64" s="21">
        <f t="shared" si="78"/>
        <v>19456</v>
      </c>
      <c r="Y64" s="21">
        <f t="shared" si="78"/>
        <v>38912</v>
      </c>
      <c r="Z64" s="21">
        <f t="shared" si="78"/>
        <v>77824</v>
      </c>
      <c r="AA64" s="21">
        <f t="shared" si="78"/>
        <v>155648</v>
      </c>
      <c r="AB64" s="21">
        <f t="shared" si="78"/>
        <v>311296</v>
      </c>
      <c r="AC64" s="21">
        <f t="shared" si="78"/>
        <v>622592</v>
      </c>
      <c r="AD64" s="21">
        <f t="shared" si="78"/>
        <v>1245184</v>
      </c>
      <c r="AE64" s="69">
        <f t="shared" si="78"/>
        <v>2490368</v>
      </c>
      <c r="AF64" s="20">
        <f t="shared" si="78"/>
        <v>4980736</v>
      </c>
      <c r="AG64" s="21">
        <f t="shared" si="78"/>
        <v>9961472</v>
      </c>
      <c r="AH64" s="21">
        <f t="shared" si="78"/>
        <v>19922944</v>
      </c>
      <c r="AI64" s="21">
        <f t="shared" si="78"/>
        <v>39845888</v>
      </c>
      <c r="AJ64" s="69">
        <f t="shared" si="78"/>
        <v>52901928</v>
      </c>
      <c r="AK64" s="45"/>
    </row>
    <row r="65" spans="1:37" x14ac:dyDescent="0.25">
      <c r="A65" s="42"/>
      <c r="B65" s="6"/>
      <c r="C65" s="10"/>
      <c r="D65" s="8"/>
      <c r="E65" s="27">
        <v>2E-3</v>
      </c>
      <c r="F65" s="15"/>
      <c r="G65" s="10"/>
      <c r="H65" s="15"/>
      <c r="I65" s="10"/>
      <c r="J65" s="29">
        <f t="shared" ref="J65:AJ65" si="79">J$18*$D$64*$E$65</f>
        <v>2.3749999999999999E-3</v>
      </c>
      <c r="K65" s="30">
        <f t="shared" si="79"/>
        <v>4.7499999999999999E-3</v>
      </c>
      <c r="L65" s="30">
        <f t="shared" si="79"/>
        <v>9.4999999999999998E-3</v>
      </c>
      <c r="M65" s="30">
        <f t="shared" si="79"/>
        <v>1.9E-2</v>
      </c>
      <c r="N65" s="30">
        <f t="shared" si="79"/>
        <v>3.7999999999999999E-2</v>
      </c>
      <c r="O65" s="30">
        <f t="shared" si="79"/>
        <v>7.5999999999999998E-2</v>
      </c>
      <c r="P65" s="30">
        <f t="shared" si="79"/>
        <v>0.152</v>
      </c>
      <c r="Q65" s="30">
        <f t="shared" si="79"/>
        <v>0.30399999999999999</v>
      </c>
      <c r="R65" s="30">
        <f t="shared" si="79"/>
        <v>0.60799999999999998</v>
      </c>
      <c r="S65" s="30">
        <f t="shared" si="79"/>
        <v>1.216</v>
      </c>
      <c r="T65" s="30">
        <f t="shared" si="79"/>
        <v>2.4319999999999999</v>
      </c>
      <c r="U65" s="30">
        <f t="shared" si="79"/>
        <v>4.8639999999999999</v>
      </c>
      <c r="V65" s="30">
        <f t="shared" si="79"/>
        <v>9.7279999999999998</v>
      </c>
      <c r="W65" s="30">
        <f t="shared" si="79"/>
        <v>19.456</v>
      </c>
      <c r="X65" s="30">
        <f t="shared" si="79"/>
        <v>38.911999999999999</v>
      </c>
      <c r="Y65" s="30">
        <f t="shared" si="79"/>
        <v>77.823999999999998</v>
      </c>
      <c r="Z65" s="30">
        <f t="shared" si="79"/>
        <v>155.648</v>
      </c>
      <c r="AA65" s="30">
        <f t="shared" si="79"/>
        <v>311.29599999999999</v>
      </c>
      <c r="AB65" s="30">
        <f t="shared" si="79"/>
        <v>622.59199999999998</v>
      </c>
      <c r="AC65" s="30">
        <f t="shared" si="79"/>
        <v>1245.184</v>
      </c>
      <c r="AD65" s="30">
        <f t="shared" si="79"/>
        <v>2490.3679999999999</v>
      </c>
      <c r="AE65" s="68">
        <f t="shared" si="79"/>
        <v>4980.7359999999999</v>
      </c>
      <c r="AF65" s="29">
        <f t="shared" si="79"/>
        <v>9961.4719999999998</v>
      </c>
      <c r="AG65" s="30">
        <f t="shared" si="79"/>
        <v>19922.944</v>
      </c>
      <c r="AH65" s="30">
        <f t="shared" si="79"/>
        <v>39845.887999999999</v>
      </c>
      <c r="AI65" s="30">
        <f t="shared" si="79"/>
        <v>79691.775999999998</v>
      </c>
      <c r="AJ65" s="68">
        <f t="shared" si="79"/>
        <v>105803.856</v>
      </c>
      <c r="AK65" s="45"/>
    </row>
    <row r="66" spans="1:37" x14ac:dyDescent="0.25">
      <c r="A66" s="42" t="s">
        <v>20</v>
      </c>
      <c r="B66" s="6">
        <f>'Population by Age - Wikipedia'!D4</f>
        <v>0.19798812289970874</v>
      </c>
      <c r="C66" s="10">
        <f t="shared" si="65"/>
        <v>275630353.22356695</v>
      </c>
      <c r="D66" s="23">
        <f>'Infection Rate by Age'!B12</f>
        <v>2.1000000000000001E-2</v>
      </c>
      <c r="E66" s="17"/>
      <c r="F66" s="10"/>
      <c r="G66" s="10"/>
      <c r="H66" s="10"/>
      <c r="I66" s="10"/>
      <c r="J66" s="20">
        <f t="shared" ref="J66:AJ66" si="80">J$18*$D$66</f>
        <v>0.65625</v>
      </c>
      <c r="K66" s="21">
        <f t="shared" si="80"/>
        <v>1.3125</v>
      </c>
      <c r="L66" s="21">
        <f t="shared" si="80"/>
        <v>2.625</v>
      </c>
      <c r="M66" s="21">
        <f t="shared" si="80"/>
        <v>5.25</v>
      </c>
      <c r="N66" s="21">
        <f t="shared" si="80"/>
        <v>10.5</v>
      </c>
      <c r="O66" s="21">
        <f t="shared" si="80"/>
        <v>21</v>
      </c>
      <c r="P66" s="21">
        <f t="shared" si="80"/>
        <v>42</v>
      </c>
      <c r="Q66" s="21">
        <f t="shared" si="80"/>
        <v>84</v>
      </c>
      <c r="R66" s="21">
        <f t="shared" si="80"/>
        <v>168</v>
      </c>
      <c r="S66" s="21">
        <f t="shared" si="80"/>
        <v>336</v>
      </c>
      <c r="T66" s="21">
        <f t="shared" si="80"/>
        <v>672</v>
      </c>
      <c r="U66" s="21">
        <f t="shared" si="80"/>
        <v>1344</v>
      </c>
      <c r="V66" s="21">
        <f t="shared" si="80"/>
        <v>2688</v>
      </c>
      <c r="W66" s="21">
        <f t="shared" si="80"/>
        <v>5376</v>
      </c>
      <c r="X66" s="21">
        <f t="shared" si="80"/>
        <v>10752</v>
      </c>
      <c r="Y66" s="21">
        <f t="shared" si="80"/>
        <v>21504</v>
      </c>
      <c r="Z66" s="21">
        <f t="shared" si="80"/>
        <v>43008</v>
      </c>
      <c r="AA66" s="21">
        <f t="shared" si="80"/>
        <v>86016</v>
      </c>
      <c r="AB66" s="21">
        <f t="shared" si="80"/>
        <v>172032</v>
      </c>
      <c r="AC66" s="21">
        <f t="shared" si="80"/>
        <v>344064</v>
      </c>
      <c r="AD66" s="21">
        <f t="shared" si="80"/>
        <v>688128</v>
      </c>
      <c r="AE66" s="69">
        <f t="shared" si="80"/>
        <v>1376256</v>
      </c>
      <c r="AF66" s="20">
        <f t="shared" si="80"/>
        <v>2752512</v>
      </c>
      <c r="AG66" s="21">
        <f t="shared" si="80"/>
        <v>5505024</v>
      </c>
      <c r="AH66" s="21">
        <f t="shared" si="80"/>
        <v>11010048</v>
      </c>
      <c r="AI66" s="21">
        <f t="shared" si="80"/>
        <v>22020096</v>
      </c>
      <c r="AJ66" s="69">
        <f t="shared" si="80"/>
        <v>29235276</v>
      </c>
      <c r="AK66" s="45"/>
    </row>
    <row r="67" spans="1:37" x14ac:dyDescent="0.25">
      <c r="A67" s="42"/>
      <c r="B67" s="7"/>
      <c r="C67" s="11"/>
      <c r="D67" s="26"/>
      <c r="E67" s="28">
        <v>0</v>
      </c>
      <c r="F67" s="15"/>
      <c r="G67" s="10"/>
      <c r="H67" s="10"/>
      <c r="I67" s="10"/>
      <c r="J67" s="31">
        <f t="shared" ref="J67:AJ67" si="81">J$18*$D$66*$E$67</f>
        <v>0</v>
      </c>
      <c r="K67" s="32">
        <f t="shared" si="81"/>
        <v>0</v>
      </c>
      <c r="L67" s="32">
        <f t="shared" si="81"/>
        <v>0</v>
      </c>
      <c r="M67" s="32">
        <f t="shared" si="81"/>
        <v>0</v>
      </c>
      <c r="N67" s="32">
        <f t="shared" si="81"/>
        <v>0</v>
      </c>
      <c r="O67" s="32">
        <f t="shared" si="81"/>
        <v>0</v>
      </c>
      <c r="P67" s="32">
        <f t="shared" si="81"/>
        <v>0</v>
      </c>
      <c r="Q67" s="32">
        <f t="shared" si="81"/>
        <v>0</v>
      </c>
      <c r="R67" s="32">
        <f t="shared" si="81"/>
        <v>0</v>
      </c>
      <c r="S67" s="32">
        <f t="shared" si="81"/>
        <v>0</v>
      </c>
      <c r="T67" s="32">
        <f t="shared" si="81"/>
        <v>0</v>
      </c>
      <c r="U67" s="32">
        <f t="shared" si="81"/>
        <v>0</v>
      </c>
      <c r="V67" s="32">
        <f t="shared" si="81"/>
        <v>0</v>
      </c>
      <c r="W67" s="32">
        <f t="shared" si="81"/>
        <v>0</v>
      </c>
      <c r="X67" s="32">
        <f t="shared" si="81"/>
        <v>0</v>
      </c>
      <c r="Y67" s="32">
        <f t="shared" si="81"/>
        <v>0</v>
      </c>
      <c r="Z67" s="32">
        <f t="shared" si="81"/>
        <v>0</v>
      </c>
      <c r="AA67" s="32">
        <f t="shared" si="81"/>
        <v>0</v>
      </c>
      <c r="AB67" s="32">
        <f t="shared" si="81"/>
        <v>0</v>
      </c>
      <c r="AC67" s="32">
        <f t="shared" si="81"/>
        <v>0</v>
      </c>
      <c r="AD67" s="32">
        <f t="shared" si="81"/>
        <v>0</v>
      </c>
      <c r="AE67" s="70">
        <f t="shared" si="81"/>
        <v>0</v>
      </c>
      <c r="AF67" s="29">
        <f t="shared" si="81"/>
        <v>0</v>
      </c>
      <c r="AG67" s="30">
        <f t="shared" si="81"/>
        <v>0</v>
      </c>
      <c r="AH67" s="30">
        <f t="shared" si="81"/>
        <v>0</v>
      </c>
      <c r="AI67" s="30">
        <f t="shared" si="81"/>
        <v>0</v>
      </c>
      <c r="AJ67" s="68">
        <f t="shared" si="81"/>
        <v>0</v>
      </c>
      <c r="AK67" s="45"/>
    </row>
    <row r="68" spans="1:37" x14ac:dyDescent="0.25">
      <c r="A68" s="41" t="s">
        <v>39</v>
      </c>
      <c r="B68" s="14"/>
      <c r="C68" s="10"/>
      <c r="D68" s="10"/>
      <c r="E68" s="15"/>
      <c r="F68" s="10"/>
      <c r="G68" s="10"/>
      <c r="H68" s="10"/>
      <c r="I68" s="10"/>
      <c r="J68" s="18">
        <f t="shared" ref="J68:Z68" si="82">SUM(J50,J52,J54,J56,J58,J60,J62,J64,J66)</f>
        <v>31.25</v>
      </c>
      <c r="K68" s="19">
        <f t="shared" si="82"/>
        <v>62.5</v>
      </c>
      <c r="L68" s="19">
        <f t="shared" si="82"/>
        <v>125</v>
      </c>
      <c r="M68" s="19">
        <f t="shared" si="82"/>
        <v>250</v>
      </c>
      <c r="N68" s="19">
        <f t="shared" si="82"/>
        <v>500</v>
      </c>
      <c r="O68" s="19">
        <f>SUM(O50,O52,O54,O56,O58,O60,O62,O64,O66)</f>
        <v>1000</v>
      </c>
      <c r="P68" s="19">
        <f t="shared" si="82"/>
        <v>2000</v>
      </c>
      <c r="Q68" s="19">
        <f t="shared" si="82"/>
        <v>4000</v>
      </c>
      <c r="R68" s="19">
        <f t="shared" si="82"/>
        <v>8000</v>
      </c>
      <c r="S68" s="19">
        <f t="shared" si="82"/>
        <v>16000</v>
      </c>
      <c r="T68" s="19">
        <f t="shared" si="82"/>
        <v>32000</v>
      </c>
      <c r="U68" s="19">
        <f t="shared" si="82"/>
        <v>64000</v>
      </c>
      <c r="V68" s="19">
        <f t="shared" si="82"/>
        <v>128000</v>
      </c>
      <c r="W68" s="19">
        <f t="shared" si="82"/>
        <v>256000</v>
      </c>
      <c r="X68" s="19">
        <f t="shared" si="82"/>
        <v>512000</v>
      </c>
      <c r="Y68" s="19">
        <f t="shared" si="82"/>
        <v>1024000</v>
      </c>
      <c r="Z68" s="19">
        <f t="shared" si="82"/>
        <v>2048000</v>
      </c>
      <c r="AA68" s="19">
        <f t="shared" ref="AA68:AC69" si="83">SUM(AA50,AA52,AA54,AA56,AA58,AA60,AA62,AA64,AA66)</f>
        <v>4096000</v>
      </c>
      <c r="AB68" s="19">
        <f t="shared" si="83"/>
        <v>8192000</v>
      </c>
      <c r="AC68" s="19">
        <f t="shared" si="83"/>
        <v>16384000</v>
      </c>
      <c r="AD68" s="19">
        <f t="shared" ref="AD68:AJ68" si="84">SUM(AD50,AD52,AD54,AD56,AD58,AD60,AD62,AD64,AD66)</f>
        <v>32768000</v>
      </c>
      <c r="AE68" s="19">
        <f t="shared" si="84"/>
        <v>65536000</v>
      </c>
      <c r="AF68" s="18">
        <f t="shared" si="84"/>
        <v>131072000</v>
      </c>
      <c r="AG68" s="19">
        <f t="shared" si="84"/>
        <v>262144000</v>
      </c>
      <c r="AH68" s="19">
        <f t="shared" ref="AH68" si="85">SUM(AH50,AH52,AH54,AH56,AH58,AH60,AH62,AH64,AH66)</f>
        <v>524288000</v>
      </c>
      <c r="AI68" s="19">
        <f t="shared" si="84"/>
        <v>1048576000</v>
      </c>
      <c r="AJ68" s="59">
        <f t="shared" si="84"/>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86">SUM(L51,L53,L55,L57,L59,L61,L63,L65,L67)</f>
        <v>1.485625</v>
      </c>
      <c r="M69" s="32">
        <f t="shared" si="86"/>
        <v>2.9712499999999999</v>
      </c>
      <c r="N69" s="32">
        <f t="shared" si="86"/>
        <v>5.9424999999999999</v>
      </c>
      <c r="O69" s="32">
        <f t="shared" si="86"/>
        <v>11.885</v>
      </c>
      <c r="P69" s="32">
        <f t="shared" si="86"/>
        <v>23.77</v>
      </c>
      <c r="Q69" s="32">
        <f t="shared" si="86"/>
        <v>47.54</v>
      </c>
      <c r="R69" s="32">
        <f t="shared" si="86"/>
        <v>95.08</v>
      </c>
      <c r="S69" s="32">
        <f t="shared" si="86"/>
        <v>190.16</v>
      </c>
      <c r="T69" s="32">
        <f t="shared" si="86"/>
        <v>380.32</v>
      </c>
      <c r="U69" s="32">
        <f t="shared" si="86"/>
        <v>760.64</v>
      </c>
      <c r="V69" s="32">
        <f t="shared" si="86"/>
        <v>1521.28</v>
      </c>
      <c r="W69" s="32">
        <f t="shared" si="86"/>
        <v>3042.56</v>
      </c>
      <c r="X69" s="32">
        <f t="shared" si="86"/>
        <v>6085.12</v>
      </c>
      <c r="Y69" s="32">
        <f t="shared" si="86"/>
        <v>12170.24</v>
      </c>
      <c r="Z69" s="32">
        <f t="shared" si="86"/>
        <v>24340.48</v>
      </c>
      <c r="AA69" s="32">
        <f t="shared" si="83"/>
        <v>48680.959999999999</v>
      </c>
      <c r="AB69" s="32">
        <f t="shared" si="83"/>
        <v>97361.919999999998</v>
      </c>
      <c r="AC69" s="32">
        <f t="shared" si="83"/>
        <v>194723.84</v>
      </c>
      <c r="AD69" s="32">
        <f t="shared" ref="AD69:AJ69" si="87">SUM(AD51,AD53,AD55,AD57,AD59,AD61,AD63,AD65,AD67)</f>
        <v>389447.67999999999</v>
      </c>
      <c r="AE69" s="32">
        <f t="shared" si="87"/>
        <v>778895.35999999999</v>
      </c>
      <c r="AF69" s="31">
        <f t="shared" si="87"/>
        <v>1557790.72</v>
      </c>
      <c r="AG69" s="32">
        <f t="shared" si="87"/>
        <v>3115581.4399999999</v>
      </c>
      <c r="AH69" s="32">
        <f t="shared" ref="AH69" si="88">SUM(AH51,AH53,AH55,AH57,AH59,AH61,AH63,AH65,AH67)</f>
        <v>6231162.8799999999</v>
      </c>
      <c r="AI69" s="32">
        <f t="shared" si="87"/>
        <v>12462325.76</v>
      </c>
      <c r="AJ69" s="70">
        <f t="shared" si="87"/>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89">J$18*$B$73</f>
        <v>1.21875</v>
      </c>
      <c r="K73" s="19">
        <f t="shared" si="89"/>
        <v>2.4375</v>
      </c>
      <c r="L73" s="19">
        <f t="shared" si="89"/>
        <v>4.875</v>
      </c>
      <c r="M73" s="19">
        <f t="shared" si="89"/>
        <v>9.75</v>
      </c>
      <c r="N73" s="19">
        <f t="shared" si="89"/>
        <v>19.5</v>
      </c>
      <c r="O73" s="19">
        <f t="shared" si="89"/>
        <v>39</v>
      </c>
      <c r="P73" s="19">
        <f t="shared" si="89"/>
        <v>78</v>
      </c>
      <c r="Q73" s="19">
        <f t="shared" si="89"/>
        <v>156</v>
      </c>
      <c r="R73" s="19">
        <f t="shared" si="89"/>
        <v>312</v>
      </c>
      <c r="S73" s="19">
        <f t="shared" si="89"/>
        <v>624</v>
      </c>
      <c r="T73" s="19">
        <f t="shared" si="89"/>
        <v>1248</v>
      </c>
      <c r="U73" s="19">
        <f t="shared" si="89"/>
        <v>2496</v>
      </c>
      <c r="V73" s="19">
        <f t="shared" si="89"/>
        <v>4992</v>
      </c>
      <c r="W73" s="19">
        <f t="shared" si="89"/>
        <v>9984</v>
      </c>
      <c r="X73" s="19">
        <f t="shared" si="89"/>
        <v>19968</v>
      </c>
      <c r="Y73" s="19">
        <f t="shared" si="89"/>
        <v>39936</v>
      </c>
      <c r="Z73" s="19">
        <f t="shared" si="89"/>
        <v>79872</v>
      </c>
      <c r="AA73" s="19">
        <f t="shared" si="89"/>
        <v>159744</v>
      </c>
      <c r="AB73" s="19">
        <f t="shared" si="89"/>
        <v>319488</v>
      </c>
      <c r="AC73" s="19">
        <f t="shared" si="89"/>
        <v>638976</v>
      </c>
      <c r="AD73" s="19">
        <f t="shared" si="89"/>
        <v>1277952</v>
      </c>
      <c r="AE73" s="19">
        <f t="shared" si="89"/>
        <v>2555904</v>
      </c>
      <c r="AF73" s="18">
        <f t="shared" si="89"/>
        <v>5111808</v>
      </c>
      <c r="AG73" s="19">
        <f t="shared" si="89"/>
        <v>10223616</v>
      </c>
      <c r="AH73" s="19">
        <f t="shared" si="89"/>
        <v>20447232</v>
      </c>
      <c r="AI73" s="19">
        <f t="shared" si="89"/>
        <v>40894464</v>
      </c>
      <c r="AJ73" s="59">
        <f t="shared" si="89"/>
        <v>54294084</v>
      </c>
      <c r="AK73" s="45"/>
    </row>
    <row r="74" spans="1:37" x14ac:dyDescent="0.25">
      <c r="A74" s="48"/>
      <c r="B74" s="16"/>
      <c r="C74" s="16"/>
      <c r="D74" s="25"/>
      <c r="E74" s="46">
        <v>0.105</v>
      </c>
      <c r="F74" s="16"/>
      <c r="G74" s="16"/>
      <c r="H74" s="16"/>
      <c r="I74" s="16"/>
      <c r="J74" s="29">
        <f>J73*$E$74</f>
        <v>0.12796874999999999</v>
      </c>
      <c r="K74" s="30">
        <f t="shared" ref="K74:Z74" si="90">K73*$E$74</f>
        <v>0.25593749999999998</v>
      </c>
      <c r="L74" s="30">
        <f t="shared" si="90"/>
        <v>0.51187499999999997</v>
      </c>
      <c r="M74" s="30">
        <f t="shared" si="90"/>
        <v>1.0237499999999999</v>
      </c>
      <c r="N74" s="30">
        <f t="shared" si="90"/>
        <v>2.0474999999999999</v>
      </c>
      <c r="O74" s="30">
        <f t="shared" si="90"/>
        <v>4.0949999999999998</v>
      </c>
      <c r="P74" s="30">
        <f t="shared" si="90"/>
        <v>8.19</v>
      </c>
      <c r="Q74" s="30">
        <f t="shared" si="90"/>
        <v>16.38</v>
      </c>
      <c r="R74" s="30">
        <f t="shared" si="90"/>
        <v>32.76</v>
      </c>
      <c r="S74" s="30">
        <f t="shared" si="90"/>
        <v>65.52</v>
      </c>
      <c r="T74" s="30">
        <f t="shared" si="90"/>
        <v>131.04</v>
      </c>
      <c r="U74" s="30">
        <f t="shared" si="90"/>
        <v>262.08</v>
      </c>
      <c r="V74" s="30">
        <f t="shared" si="90"/>
        <v>524.16</v>
      </c>
      <c r="W74" s="30">
        <f t="shared" si="90"/>
        <v>1048.32</v>
      </c>
      <c r="X74" s="30">
        <f t="shared" si="90"/>
        <v>2096.64</v>
      </c>
      <c r="Y74" s="30">
        <f t="shared" si="90"/>
        <v>4193.28</v>
      </c>
      <c r="Z74" s="30">
        <f t="shared" si="90"/>
        <v>8386.56</v>
      </c>
      <c r="AA74" s="30">
        <f>AA73*$E$74</f>
        <v>16773.12</v>
      </c>
      <c r="AB74" s="30">
        <f>AB73*$E$74</f>
        <v>33546.239999999998</v>
      </c>
      <c r="AC74" s="30">
        <f>AC73*$E$74</f>
        <v>67092.479999999996</v>
      </c>
      <c r="AD74" s="30">
        <f t="shared" ref="AD74:AJ74" si="91">AD73*$E$74</f>
        <v>134184.95999999999</v>
      </c>
      <c r="AE74" s="30">
        <f t="shared" si="91"/>
        <v>268369.91999999998</v>
      </c>
      <c r="AF74" s="29">
        <f t="shared" si="91"/>
        <v>536739.83999999997</v>
      </c>
      <c r="AG74" s="30">
        <f t="shared" si="91"/>
        <v>1073479.6799999999</v>
      </c>
      <c r="AH74" s="30">
        <f t="shared" ref="AH74" si="92">AH73*$E$74</f>
        <v>2146959.3599999999</v>
      </c>
      <c r="AI74" s="30">
        <f t="shared" si="91"/>
        <v>4293918.7199999997</v>
      </c>
      <c r="AJ74" s="68">
        <f t="shared" si="91"/>
        <v>5700878.8199999994</v>
      </c>
      <c r="AK74" s="45"/>
    </row>
    <row r="75" spans="1:37" x14ac:dyDescent="0.25">
      <c r="A75" s="48" t="s">
        <v>4</v>
      </c>
      <c r="B75" s="24">
        <v>8.8999999999999996E-2</v>
      </c>
      <c r="C75" s="10">
        <f>$B$5 * B75</f>
        <v>123901884</v>
      </c>
      <c r="D75" s="47"/>
      <c r="E75" s="16"/>
      <c r="F75" s="16"/>
      <c r="G75" s="16"/>
      <c r="H75" s="16"/>
      <c r="I75" s="16"/>
      <c r="J75" s="20">
        <f t="shared" ref="J75:AJ75" si="93">J$18*$B$75</f>
        <v>2.78125</v>
      </c>
      <c r="K75" s="21">
        <f t="shared" si="93"/>
        <v>5.5625</v>
      </c>
      <c r="L75" s="21">
        <f t="shared" si="93"/>
        <v>11.125</v>
      </c>
      <c r="M75" s="21">
        <f t="shared" si="93"/>
        <v>22.25</v>
      </c>
      <c r="N75" s="21">
        <f t="shared" si="93"/>
        <v>44.5</v>
      </c>
      <c r="O75" s="21">
        <f t="shared" si="93"/>
        <v>89</v>
      </c>
      <c r="P75" s="21">
        <f t="shared" si="93"/>
        <v>178</v>
      </c>
      <c r="Q75" s="21">
        <f t="shared" si="93"/>
        <v>356</v>
      </c>
      <c r="R75" s="21">
        <f t="shared" si="93"/>
        <v>712</v>
      </c>
      <c r="S75" s="21">
        <f t="shared" si="93"/>
        <v>1424</v>
      </c>
      <c r="T75" s="21">
        <f t="shared" si="93"/>
        <v>2848</v>
      </c>
      <c r="U75" s="21">
        <f t="shared" si="93"/>
        <v>5696</v>
      </c>
      <c r="V75" s="21">
        <f t="shared" si="93"/>
        <v>11392</v>
      </c>
      <c r="W75" s="21">
        <f t="shared" si="93"/>
        <v>22784</v>
      </c>
      <c r="X75" s="21">
        <f t="shared" si="93"/>
        <v>45568</v>
      </c>
      <c r="Y75" s="21">
        <f t="shared" si="93"/>
        <v>91136</v>
      </c>
      <c r="Z75" s="21">
        <f t="shared" si="93"/>
        <v>182272</v>
      </c>
      <c r="AA75" s="21">
        <f t="shared" si="93"/>
        <v>364544</v>
      </c>
      <c r="AB75" s="21">
        <f t="shared" si="93"/>
        <v>729088</v>
      </c>
      <c r="AC75" s="21">
        <f t="shared" si="93"/>
        <v>1458176</v>
      </c>
      <c r="AD75" s="21">
        <f t="shared" si="93"/>
        <v>2916352</v>
      </c>
      <c r="AE75" s="21">
        <f t="shared" si="93"/>
        <v>5832704</v>
      </c>
      <c r="AF75" s="20">
        <f t="shared" si="93"/>
        <v>11665408</v>
      </c>
      <c r="AG75" s="21">
        <f t="shared" si="93"/>
        <v>23330816</v>
      </c>
      <c r="AH75" s="21">
        <f t="shared" si="93"/>
        <v>46661632</v>
      </c>
      <c r="AI75" s="21">
        <f t="shared" si="93"/>
        <v>93323264</v>
      </c>
      <c r="AJ75" s="69">
        <f t="shared" si="93"/>
        <v>123901884</v>
      </c>
      <c r="AK75" s="45"/>
    </row>
    <row r="76" spans="1:37" x14ac:dyDescent="0.25">
      <c r="A76" s="48"/>
      <c r="B76" s="16"/>
      <c r="C76" s="16"/>
      <c r="D76" s="25"/>
      <c r="E76" s="46">
        <v>7.2999999999999995E-2</v>
      </c>
      <c r="F76" s="16"/>
      <c r="G76" s="16"/>
      <c r="H76" s="16"/>
      <c r="I76" s="16"/>
      <c r="J76" s="29">
        <f t="shared" ref="J76:Z76" si="94">J75*$E$76</f>
        <v>0.20303125</v>
      </c>
      <c r="K76" s="30">
        <f t="shared" si="94"/>
        <v>0.40606249999999999</v>
      </c>
      <c r="L76" s="30">
        <f t="shared" si="94"/>
        <v>0.81212499999999999</v>
      </c>
      <c r="M76" s="30">
        <f t="shared" si="94"/>
        <v>1.62425</v>
      </c>
      <c r="N76" s="30">
        <f t="shared" si="94"/>
        <v>3.2484999999999999</v>
      </c>
      <c r="O76" s="30">
        <f t="shared" si="94"/>
        <v>6.4969999999999999</v>
      </c>
      <c r="P76" s="30">
        <f t="shared" si="94"/>
        <v>12.994</v>
      </c>
      <c r="Q76" s="30">
        <f t="shared" si="94"/>
        <v>25.988</v>
      </c>
      <c r="R76" s="30">
        <f t="shared" si="94"/>
        <v>51.975999999999999</v>
      </c>
      <c r="S76" s="30">
        <f t="shared" si="94"/>
        <v>103.952</v>
      </c>
      <c r="T76" s="30">
        <f t="shared" si="94"/>
        <v>207.904</v>
      </c>
      <c r="U76" s="30">
        <f t="shared" si="94"/>
        <v>415.80799999999999</v>
      </c>
      <c r="V76" s="30">
        <f t="shared" si="94"/>
        <v>831.61599999999999</v>
      </c>
      <c r="W76" s="30">
        <f t="shared" si="94"/>
        <v>1663.232</v>
      </c>
      <c r="X76" s="30">
        <f t="shared" si="94"/>
        <v>3326.4639999999999</v>
      </c>
      <c r="Y76" s="30">
        <f t="shared" si="94"/>
        <v>6652.9279999999999</v>
      </c>
      <c r="Z76" s="30">
        <f t="shared" si="94"/>
        <v>13305.856</v>
      </c>
      <c r="AA76" s="30">
        <f>AA75*$E$76</f>
        <v>26611.712</v>
      </c>
      <c r="AB76" s="30">
        <f>AB75*$E$76</f>
        <v>53223.423999999999</v>
      </c>
      <c r="AC76" s="30">
        <f>AC75*$E$76</f>
        <v>106446.848</v>
      </c>
      <c r="AD76" s="30">
        <f t="shared" ref="AD76:AJ76" si="95">AD75*$E$76</f>
        <v>212893.696</v>
      </c>
      <c r="AE76" s="30">
        <f t="shared" si="95"/>
        <v>425787.39199999999</v>
      </c>
      <c r="AF76" s="29">
        <f t="shared" si="95"/>
        <v>851574.78399999999</v>
      </c>
      <c r="AG76" s="30">
        <f t="shared" si="95"/>
        <v>1703149.568</v>
      </c>
      <c r="AH76" s="30">
        <f t="shared" ref="AH76" si="96">AH75*$E$76</f>
        <v>3406299.1359999999</v>
      </c>
      <c r="AI76" s="30">
        <f t="shared" si="95"/>
        <v>6812598.2719999999</v>
      </c>
      <c r="AJ76" s="68">
        <f t="shared" si="95"/>
        <v>9044837.5319999997</v>
      </c>
      <c r="AK76" s="45"/>
    </row>
    <row r="77" spans="1:37" x14ac:dyDescent="0.25">
      <c r="A77" s="48" t="s">
        <v>6</v>
      </c>
      <c r="B77" s="24">
        <v>0.2</v>
      </c>
      <c r="C77" s="10">
        <f>$B$5 * B77</f>
        <v>278431200</v>
      </c>
      <c r="D77" s="47"/>
      <c r="E77" s="16"/>
      <c r="F77" s="16"/>
      <c r="G77" s="16"/>
      <c r="H77" s="16"/>
      <c r="I77" s="16"/>
      <c r="J77" s="20">
        <f t="shared" ref="J77:AJ77" si="97">J$18*$B$77</f>
        <v>6.25</v>
      </c>
      <c r="K77" s="21">
        <f t="shared" si="97"/>
        <v>12.5</v>
      </c>
      <c r="L77" s="21">
        <f t="shared" si="97"/>
        <v>25</v>
      </c>
      <c r="M77" s="21">
        <f t="shared" si="97"/>
        <v>50</v>
      </c>
      <c r="N77" s="21">
        <f t="shared" si="97"/>
        <v>100</v>
      </c>
      <c r="O77" s="21">
        <f t="shared" si="97"/>
        <v>200</v>
      </c>
      <c r="P77" s="21">
        <f t="shared" si="97"/>
        <v>400</v>
      </c>
      <c r="Q77" s="21">
        <f t="shared" si="97"/>
        <v>800</v>
      </c>
      <c r="R77" s="21">
        <f t="shared" si="97"/>
        <v>1600</v>
      </c>
      <c r="S77" s="21">
        <f t="shared" si="97"/>
        <v>3200</v>
      </c>
      <c r="T77" s="21">
        <f t="shared" si="97"/>
        <v>6400</v>
      </c>
      <c r="U77" s="21">
        <f t="shared" si="97"/>
        <v>12800</v>
      </c>
      <c r="V77" s="21">
        <f t="shared" si="97"/>
        <v>25600</v>
      </c>
      <c r="W77" s="21">
        <f t="shared" si="97"/>
        <v>51200</v>
      </c>
      <c r="X77" s="21">
        <f t="shared" si="97"/>
        <v>102400</v>
      </c>
      <c r="Y77" s="21">
        <f t="shared" si="97"/>
        <v>204800</v>
      </c>
      <c r="Z77" s="21">
        <f t="shared" si="97"/>
        <v>409600</v>
      </c>
      <c r="AA77" s="21">
        <f t="shared" si="97"/>
        <v>819200</v>
      </c>
      <c r="AB77" s="21">
        <f t="shared" si="97"/>
        <v>1638400</v>
      </c>
      <c r="AC77" s="21">
        <f t="shared" si="97"/>
        <v>3276800</v>
      </c>
      <c r="AD77" s="21">
        <f t="shared" si="97"/>
        <v>6553600</v>
      </c>
      <c r="AE77" s="21">
        <f t="shared" si="97"/>
        <v>13107200</v>
      </c>
      <c r="AF77" s="20">
        <f t="shared" si="97"/>
        <v>26214400</v>
      </c>
      <c r="AG77" s="21">
        <f t="shared" si="97"/>
        <v>52428800</v>
      </c>
      <c r="AH77" s="21">
        <f t="shared" si="97"/>
        <v>104857600</v>
      </c>
      <c r="AI77" s="21">
        <f t="shared" si="97"/>
        <v>209715200</v>
      </c>
      <c r="AJ77" s="69">
        <f t="shared" si="97"/>
        <v>278431200</v>
      </c>
      <c r="AK77" s="45"/>
    </row>
    <row r="78" spans="1:37" x14ac:dyDescent="0.25">
      <c r="A78" s="48"/>
      <c r="B78" s="16"/>
      <c r="C78" s="16"/>
      <c r="D78" s="25"/>
      <c r="E78" s="46">
        <v>6.3E-2</v>
      </c>
      <c r="F78" s="16"/>
      <c r="G78" s="16"/>
      <c r="H78" s="16"/>
      <c r="I78" s="16"/>
      <c r="J78" s="29">
        <f t="shared" ref="J78:Z78" si="98">J77*$E$78</f>
        <v>0.39374999999999999</v>
      </c>
      <c r="K78" s="30">
        <f t="shared" si="98"/>
        <v>0.78749999999999998</v>
      </c>
      <c r="L78" s="30">
        <f t="shared" si="98"/>
        <v>1.575</v>
      </c>
      <c r="M78" s="30">
        <f t="shared" si="98"/>
        <v>3.15</v>
      </c>
      <c r="N78" s="30">
        <f t="shared" si="98"/>
        <v>6.3</v>
      </c>
      <c r="O78" s="30">
        <f t="shared" si="98"/>
        <v>12.6</v>
      </c>
      <c r="P78" s="30">
        <f t="shared" si="98"/>
        <v>25.2</v>
      </c>
      <c r="Q78" s="30">
        <f t="shared" si="98"/>
        <v>50.4</v>
      </c>
      <c r="R78" s="30">
        <f t="shared" si="98"/>
        <v>100.8</v>
      </c>
      <c r="S78" s="30">
        <f t="shared" si="98"/>
        <v>201.6</v>
      </c>
      <c r="T78" s="30">
        <f t="shared" si="98"/>
        <v>403.2</v>
      </c>
      <c r="U78" s="30">
        <f t="shared" si="98"/>
        <v>806.4</v>
      </c>
      <c r="V78" s="30">
        <f t="shared" si="98"/>
        <v>1612.8</v>
      </c>
      <c r="W78" s="30">
        <f t="shared" si="98"/>
        <v>3225.6</v>
      </c>
      <c r="X78" s="30">
        <f t="shared" si="98"/>
        <v>6451.2</v>
      </c>
      <c r="Y78" s="30">
        <f t="shared" si="98"/>
        <v>12902.4</v>
      </c>
      <c r="Z78" s="30">
        <f t="shared" si="98"/>
        <v>25804.799999999999</v>
      </c>
      <c r="AA78" s="30">
        <f>AA77*$E$78</f>
        <v>51609.599999999999</v>
      </c>
      <c r="AB78" s="30">
        <f>AB77*$E$78</f>
        <v>103219.2</v>
      </c>
      <c r="AC78" s="30">
        <f>AC77*$E$78</f>
        <v>206438.39999999999</v>
      </c>
      <c r="AD78" s="30">
        <f t="shared" ref="AD78:AJ78" si="99">AD77*$E$78</f>
        <v>412876.79999999999</v>
      </c>
      <c r="AE78" s="30">
        <f t="shared" si="99"/>
        <v>825753.59999999998</v>
      </c>
      <c r="AF78" s="29">
        <f>AF77*$E$78</f>
        <v>1651507.2</v>
      </c>
      <c r="AG78" s="30">
        <f t="shared" si="99"/>
        <v>3303014.3999999999</v>
      </c>
      <c r="AH78" s="30">
        <f t="shared" ref="AH78" si="100">AH77*$E$78</f>
        <v>6606028.7999999998</v>
      </c>
      <c r="AI78" s="30">
        <f t="shared" si="99"/>
        <v>13212057.6</v>
      </c>
      <c r="AJ78" s="68">
        <f t="shared" si="99"/>
        <v>17541165.600000001</v>
      </c>
      <c r="AK78" s="45"/>
    </row>
    <row r="79" spans="1:37" x14ac:dyDescent="0.25">
      <c r="A79" s="48" t="s">
        <v>7</v>
      </c>
      <c r="B79" s="24">
        <v>0.29799999999999999</v>
      </c>
      <c r="C79" s="10">
        <f>$B$5 * B79</f>
        <v>414862488</v>
      </c>
      <c r="D79" s="47"/>
      <c r="E79" s="16"/>
      <c r="F79" s="16"/>
      <c r="G79" s="16"/>
      <c r="H79" s="16"/>
      <c r="I79" s="16"/>
      <c r="J79" s="20">
        <f t="shared" ref="J79:AJ79" si="101">J$18*$B$79</f>
        <v>9.3125</v>
      </c>
      <c r="K79" s="21">
        <f t="shared" si="101"/>
        <v>18.625</v>
      </c>
      <c r="L79" s="21">
        <f t="shared" si="101"/>
        <v>37.25</v>
      </c>
      <c r="M79" s="21">
        <f t="shared" si="101"/>
        <v>74.5</v>
      </c>
      <c r="N79" s="21">
        <f t="shared" si="101"/>
        <v>149</v>
      </c>
      <c r="O79" s="21">
        <f t="shared" si="101"/>
        <v>298</v>
      </c>
      <c r="P79" s="21">
        <f t="shared" si="101"/>
        <v>596</v>
      </c>
      <c r="Q79" s="21">
        <f t="shared" si="101"/>
        <v>1192</v>
      </c>
      <c r="R79" s="21">
        <f t="shared" si="101"/>
        <v>2384</v>
      </c>
      <c r="S79" s="21">
        <f t="shared" si="101"/>
        <v>4768</v>
      </c>
      <c r="T79" s="21">
        <f t="shared" si="101"/>
        <v>9536</v>
      </c>
      <c r="U79" s="21">
        <f t="shared" si="101"/>
        <v>19072</v>
      </c>
      <c r="V79" s="21">
        <f t="shared" si="101"/>
        <v>38144</v>
      </c>
      <c r="W79" s="21">
        <f t="shared" si="101"/>
        <v>76288</v>
      </c>
      <c r="X79" s="21">
        <f t="shared" si="101"/>
        <v>152576</v>
      </c>
      <c r="Y79" s="21">
        <f t="shared" si="101"/>
        <v>305152</v>
      </c>
      <c r="Z79" s="21">
        <f t="shared" si="101"/>
        <v>610304</v>
      </c>
      <c r="AA79" s="21">
        <f t="shared" si="101"/>
        <v>1220608</v>
      </c>
      <c r="AB79" s="21">
        <f t="shared" si="101"/>
        <v>2441216</v>
      </c>
      <c r="AC79" s="21">
        <f t="shared" si="101"/>
        <v>4882432</v>
      </c>
      <c r="AD79" s="21">
        <f t="shared" si="101"/>
        <v>9764864</v>
      </c>
      <c r="AE79" s="21">
        <f t="shared" si="101"/>
        <v>19529728</v>
      </c>
      <c r="AF79" s="20">
        <f t="shared" si="101"/>
        <v>39059456</v>
      </c>
      <c r="AG79" s="21">
        <f t="shared" si="101"/>
        <v>78118912</v>
      </c>
      <c r="AH79" s="21">
        <f t="shared" si="101"/>
        <v>156237824</v>
      </c>
      <c r="AI79" s="21">
        <f t="shared" si="101"/>
        <v>312475648</v>
      </c>
      <c r="AJ79" s="69">
        <f t="shared" si="101"/>
        <v>414862488</v>
      </c>
      <c r="AK79" s="45"/>
    </row>
    <row r="80" spans="1:37" x14ac:dyDescent="0.25">
      <c r="A80" s="48"/>
      <c r="B80" s="16"/>
      <c r="C80" s="16"/>
      <c r="D80" s="25"/>
      <c r="E80" s="46">
        <v>0.06</v>
      </c>
      <c r="F80" s="16"/>
      <c r="G80" s="16"/>
      <c r="H80" s="16"/>
      <c r="I80" s="16"/>
      <c r="J80" s="29">
        <f t="shared" ref="J80:Z80" si="102">J79*$E$80</f>
        <v>0.55874999999999997</v>
      </c>
      <c r="K80" s="30">
        <f t="shared" si="102"/>
        <v>1.1174999999999999</v>
      </c>
      <c r="L80" s="30">
        <f t="shared" si="102"/>
        <v>2.2349999999999999</v>
      </c>
      <c r="M80" s="30">
        <f t="shared" si="102"/>
        <v>4.47</v>
      </c>
      <c r="N80" s="30">
        <f t="shared" si="102"/>
        <v>8.94</v>
      </c>
      <c r="O80" s="30">
        <f t="shared" si="102"/>
        <v>17.88</v>
      </c>
      <c r="P80" s="30">
        <f t="shared" si="102"/>
        <v>35.76</v>
      </c>
      <c r="Q80" s="30">
        <f t="shared" si="102"/>
        <v>71.52</v>
      </c>
      <c r="R80" s="30">
        <f t="shared" si="102"/>
        <v>143.04</v>
      </c>
      <c r="S80" s="30">
        <f t="shared" si="102"/>
        <v>286.08</v>
      </c>
      <c r="T80" s="30">
        <f t="shared" si="102"/>
        <v>572.16</v>
      </c>
      <c r="U80" s="30">
        <f t="shared" si="102"/>
        <v>1144.32</v>
      </c>
      <c r="V80" s="30">
        <f t="shared" si="102"/>
        <v>2288.64</v>
      </c>
      <c r="W80" s="30">
        <f t="shared" si="102"/>
        <v>4577.28</v>
      </c>
      <c r="X80" s="30">
        <f t="shared" si="102"/>
        <v>9154.56</v>
      </c>
      <c r="Y80" s="30">
        <f t="shared" si="102"/>
        <v>18309.12</v>
      </c>
      <c r="Z80" s="30">
        <f t="shared" si="102"/>
        <v>36618.239999999998</v>
      </c>
      <c r="AA80" s="30">
        <f>AA79*$E$80</f>
        <v>73236.479999999996</v>
      </c>
      <c r="AB80" s="30">
        <f>AB79*$E$80</f>
        <v>146472.95999999999</v>
      </c>
      <c r="AC80" s="30">
        <f>AC79*$E$80</f>
        <v>292945.91999999998</v>
      </c>
      <c r="AD80" s="30">
        <f t="shared" ref="AD80:AJ80" si="103">AD79*$E$80</f>
        <v>585891.83999999997</v>
      </c>
      <c r="AE80" s="30">
        <f t="shared" si="103"/>
        <v>1171783.6799999999</v>
      </c>
      <c r="AF80" s="29">
        <f t="shared" si="103"/>
        <v>2343567.3599999999</v>
      </c>
      <c r="AG80" s="30">
        <f t="shared" si="103"/>
        <v>4687134.7199999997</v>
      </c>
      <c r="AH80" s="30">
        <f t="shared" ref="AH80" si="104">AH79*$E$80</f>
        <v>9374269.4399999995</v>
      </c>
      <c r="AI80" s="30">
        <f t="shared" si="103"/>
        <v>18748538.879999999</v>
      </c>
      <c r="AJ80" s="68">
        <f t="shared" si="103"/>
        <v>24891749.279999997</v>
      </c>
      <c r="AK80" s="45"/>
    </row>
    <row r="81" spans="1:37" x14ac:dyDescent="0.25">
      <c r="A81" s="48" t="s">
        <v>8</v>
      </c>
      <c r="B81" s="24">
        <v>9.5E-4</v>
      </c>
      <c r="C81" s="10">
        <f>$B$5 * B81</f>
        <v>1322548.2</v>
      </c>
      <c r="D81" s="47"/>
      <c r="E81" s="16"/>
      <c r="F81" s="16"/>
      <c r="G81" s="16"/>
      <c r="H81" s="16"/>
      <c r="I81" s="16"/>
      <c r="J81" s="20">
        <f t="shared" ref="J81:AJ81" si="105">J$18*$B$81</f>
        <v>2.9687499999999999E-2</v>
      </c>
      <c r="K81" s="21">
        <f t="shared" si="105"/>
        <v>5.9374999999999997E-2</v>
      </c>
      <c r="L81" s="21">
        <f t="shared" si="105"/>
        <v>0.11874999999999999</v>
      </c>
      <c r="M81" s="21">
        <f t="shared" si="105"/>
        <v>0.23749999999999999</v>
      </c>
      <c r="N81" s="21">
        <f t="shared" si="105"/>
        <v>0.47499999999999998</v>
      </c>
      <c r="O81" s="21">
        <f t="shared" si="105"/>
        <v>0.95</v>
      </c>
      <c r="P81" s="21">
        <f t="shared" si="105"/>
        <v>1.9</v>
      </c>
      <c r="Q81" s="21">
        <f t="shared" si="105"/>
        <v>3.8</v>
      </c>
      <c r="R81" s="21">
        <f t="shared" si="105"/>
        <v>7.6</v>
      </c>
      <c r="S81" s="21">
        <f t="shared" si="105"/>
        <v>15.2</v>
      </c>
      <c r="T81" s="21">
        <f t="shared" si="105"/>
        <v>30.4</v>
      </c>
      <c r="U81" s="21">
        <f t="shared" si="105"/>
        <v>60.8</v>
      </c>
      <c r="V81" s="21">
        <f t="shared" si="105"/>
        <v>121.6</v>
      </c>
      <c r="W81" s="21">
        <f t="shared" si="105"/>
        <v>243.2</v>
      </c>
      <c r="X81" s="21">
        <f t="shared" si="105"/>
        <v>486.4</v>
      </c>
      <c r="Y81" s="21">
        <f t="shared" si="105"/>
        <v>972.8</v>
      </c>
      <c r="Z81" s="21">
        <f t="shared" si="105"/>
        <v>1945.6</v>
      </c>
      <c r="AA81" s="21">
        <f t="shared" si="105"/>
        <v>3891.2</v>
      </c>
      <c r="AB81" s="21">
        <f t="shared" si="105"/>
        <v>7782.4</v>
      </c>
      <c r="AC81" s="21">
        <f t="shared" si="105"/>
        <v>15564.8</v>
      </c>
      <c r="AD81" s="21">
        <f t="shared" si="105"/>
        <v>31129.599999999999</v>
      </c>
      <c r="AE81" s="21">
        <f t="shared" si="105"/>
        <v>62259.199999999997</v>
      </c>
      <c r="AF81" s="20">
        <f t="shared" si="105"/>
        <v>124518.39999999999</v>
      </c>
      <c r="AG81" s="21">
        <f t="shared" si="105"/>
        <v>249036.79999999999</v>
      </c>
      <c r="AH81" s="21">
        <f t="shared" si="105"/>
        <v>498073.59999999998</v>
      </c>
      <c r="AI81" s="21">
        <f t="shared" si="105"/>
        <v>996147.19999999995</v>
      </c>
      <c r="AJ81" s="69">
        <f t="shared" si="105"/>
        <v>1322548.2</v>
      </c>
      <c r="AK81" s="45"/>
    </row>
    <row r="82" spans="1:37" x14ac:dyDescent="0.25">
      <c r="A82" s="48"/>
      <c r="B82" s="16"/>
      <c r="C82" s="16"/>
      <c r="D82" s="25"/>
      <c r="E82" s="46">
        <v>5.6000000000000001E-2</v>
      </c>
      <c r="F82" s="16"/>
      <c r="G82" s="16"/>
      <c r="H82" s="16"/>
      <c r="I82" s="16"/>
      <c r="J82" s="29">
        <f t="shared" ref="J82:Z82" si="106">J81*$E$82</f>
        <v>1.6624999999999999E-3</v>
      </c>
      <c r="K82" s="30">
        <f t="shared" si="106"/>
        <v>3.3249999999999998E-3</v>
      </c>
      <c r="L82" s="30">
        <f t="shared" si="106"/>
        <v>6.6499999999999997E-3</v>
      </c>
      <c r="M82" s="30">
        <f t="shared" si="106"/>
        <v>1.3299999999999999E-2</v>
      </c>
      <c r="N82" s="30">
        <f t="shared" si="106"/>
        <v>2.6599999999999999E-2</v>
      </c>
      <c r="O82" s="30">
        <f t="shared" si="106"/>
        <v>5.3199999999999997E-2</v>
      </c>
      <c r="P82" s="30">
        <f t="shared" si="106"/>
        <v>0.10639999999999999</v>
      </c>
      <c r="Q82" s="30">
        <f t="shared" si="106"/>
        <v>0.21279999999999999</v>
      </c>
      <c r="R82" s="30">
        <f t="shared" si="106"/>
        <v>0.42559999999999998</v>
      </c>
      <c r="S82" s="30">
        <f t="shared" si="106"/>
        <v>0.85119999999999996</v>
      </c>
      <c r="T82" s="30">
        <f t="shared" si="106"/>
        <v>1.7023999999999999</v>
      </c>
      <c r="U82" s="30">
        <f t="shared" si="106"/>
        <v>3.4047999999999998</v>
      </c>
      <c r="V82" s="30">
        <f t="shared" si="106"/>
        <v>6.8095999999999997</v>
      </c>
      <c r="W82" s="30">
        <f t="shared" si="106"/>
        <v>13.619199999999999</v>
      </c>
      <c r="X82" s="30">
        <f t="shared" si="106"/>
        <v>27.238399999999999</v>
      </c>
      <c r="Y82" s="30">
        <f t="shared" si="106"/>
        <v>54.476799999999997</v>
      </c>
      <c r="Z82" s="30">
        <f t="shared" si="106"/>
        <v>108.95359999999999</v>
      </c>
      <c r="AA82" s="30">
        <f>AA81*$E$82</f>
        <v>217.90719999999999</v>
      </c>
      <c r="AB82" s="30">
        <f>AB81*$E$82</f>
        <v>435.81439999999998</v>
      </c>
      <c r="AC82" s="30">
        <f>AC81*$E$82</f>
        <v>871.62879999999996</v>
      </c>
      <c r="AD82" s="30">
        <f t="shared" ref="AD82:AJ82" si="107">AD81*$E$82</f>
        <v>1743.2575999999999</v>
      </c>
      <c r="AE82" s="30">
        <f t="shared" si="107"/>
        <v>3486.5151999999998</v>
      </c>
      <c r="AF82" s="29">
        <f t="shared" si="107"/>
        <v>6973.0303999999996</v>
      </c>
      <c r="AG82" s="30">
        <f t="shared" si="107"/>
        <v>13946.060799999999</v>
      </c>
      <c r="AH82" s="30">
        <f t="shared" ref="AH82" si="108">AH81*$E$82</f>
        <v>27892.121599999999</v>
      </c>
      <c r="AI82" s="30">
        <f t="shared" si="107"/>
        <v>55784.243199999997</v>
      </c>
      <c r="AJ82" s="68">
        <f t="shared" si="107"/>
        <v>74062.699200000003</v>
      </c>
      <c r="AK82" s="45"/>
    </row>
    <row r="83" spans="1:37" x14ac:dyDescent="0.25">
      <c r="A83" s="48" t="s">
        <v>9</v>
      </c>
      <c r="B83" s="24">
        <v>0.14000000000000001</v>
      </c>
      <c r="C83" s="10">
        <f>$B$5 * B83</f>
        <v>194901840.00000003</v>
      </c>
      <c r="D83" s="47"/>
      <c r="E83" s="16"/>
      <c r="F83" s="16"/>
      <c r="G83" s="16"/>
      <c r="H83" s="16"/>
      <c r="I83" s="16"/>
      <c r="J83" s="20">
        <f t="shared" ref="J83:AJ83" si="109">J$18*$B$83</f>
        <v>4.375</v>
      </c>
      <c r="K83" s="21">
        <f t="shared" si="109"/>
        <v>8.75</v>
      </c>
      <c r="L83" s="21">
        <f t="shared" si="109"/>
        <v>17.5</v>
      </c>
      <c r="M83" s="21">
        <f t="shared" si="109"/>
        <v>35</v>
      </c>
      <c r="N83" s="21">
        <f t="shared" si="109"/>
        <v>70</v>
      </c>
      <c r="O83" s="21">
        <f t="shared" si="109"/>
        <v>140</v>
      </c>
      <c r="P83" s="21">
        <f t="shared" si="109"/>
        <v>280</v>
      </c>
      <c r="Q83" s="21">
        <f t="shared" si="109"/>
        <v>560</v>
      </c>
      <c r="R83" s="21">
        <f t="shared" si="109"/>
        <v>1120</v>
      </c>
      <c r="S83" s="21">
        <f t="shared" si="109"/>
        <v>2240</v>
      </c>
      <c r="T83" s="21">
        <f t="shared" si="109"/>
        <v>4480</v>
      </c>
      <c r="U83" s="21">
        <f t="shared" si="109"/>
        <v>8960</v>
      </c>
      <c r="V83" s="21">
        <f t="shared" si="109"/>
        <v>17920</v>
      </c>
      <c r="W83" s="21">
        <f t="shared" si="109"/>
        <v>35840</v>
      </c>
      <c r="X83" s="21">
        <f t="shared" si="109"/>
        <v>71680</v>
      </c>
      <c r="Y83" s="21">
        <f t="shared" si="109"/>
        <v>143360</v>
      </c>
      <c r="Z83" s="21">
        <f t="shared" si="109"/>
        <v>286720</v>
      </c>
      <c r="AA83" s="21">
        <f t="shared" si="109"/>
        <v>573440</v>
      </c>
      <c r="AB83" s="21">
        <f t="shared" si="109"/>
        <v>1146880</v>
      </c>
      <c r="AC83" s="21">
        <f t="shared" si="109"/>
        <v>2293760</v>
      </c>
      <c r="AD83" s="21">
        <f t="shared" si="109"/>
        <v>4587520</v>
      </c>
      <c r="AE83" s="21">
        <f t="shared" si="109"/>
        <v>9175040</v>
      </c>
      <c r="AF83" s="20">
        <f t="shared" si="109"/>
        <v>18350080</v>
      </c>
      <c r="AG83" s="21">
        <f t="shared" si="109"/>
        <v>36700160</v>
      </c>
      <c r="AH83" s="21">
        <f t="shared" si="109"/>
        <v>73400320</v>
      </c>
      <c r="AI83" s="21">
        <f t="shared" si="109"/>
        <v>146800640</v>
      </c>
      <c r="AJ83" s="69">
        <f t="shared" si="109"/>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0">SUM(K73,K75,K77,K79,K81,K83)</f>
        <v>47.934375000000003</v>
      </c>
      <c r="L85" s="19">
        <f t="shared" si="110"/>
        <v>95.868750000000006</v>
      </c>
      <c r="M85" s="19">
        <f t="shared" si="110"/>
        <v>191.73750000000001</v>
      </c>
      <c r="N85" s="19">
        <f t="shared" si="110"/>
        <v>383.47500000000002</v>
      </c>
      <c r="O85" s="19">
        <f t="shared" si="110"/>
        <v>766.95</v>
      </c>
      <c r="P85" s="19">
        <f>SUM(P73,P75,P77,P79,P81,P83)</f>
        <v>1533.9</v>
      </c>
      <c r="Q85" s="19">
        <f t="shared" si="110"/>
        <v>3067.8</v>
      </c>
      <c r="R85" s="19">
        <f t="shared" si="110"/>
        <v>6135.6</v>
      </c>
      <c r="S85" s="19">
        <f t="shared" si="110"/>
        <v>12271.2</v>
      </c>
      <c r="T85" s="19">
        <f t="shared" si="110"/>
        <v>24542.400000000001</v>
      </c>
      <c r="U85" s="19">
        <f t="shared" si="110"/>
        <v>49084.800000000003</v>
      </c>
      <c r="V85" s="19">
        <f t="shared" si="110"/>
        <v>98169.600000000006</v>
      </c>
      <c r="W85" s="19">
        <f t="shared" si="110"/>
        <v>196339.20000000001</v>
      </c>
      <c r="X85" s="19">
        <f t="shared" si="110"/>
        <v>392678.40000000002</v>
      </c>
      <c r="Y85" s="19">
        <f t="shared" si="110"/>
        <v>785356.80000000005</v>
      </c>
      <c r="Z85" s="19">
        <f t="shared" si="110"/>
        <v>1570713.6000000001</v>
      </c>
      <c r="AA85" s="19">
        <f t="shared" ref="AA85:AC86" si="111">SUM(AA73,AA75,AA77,AA79,AA81,AA83)</f>
        <v>3141427.2000000002</v>
      </c>
      <c r="AB85" s="19">
        <f t="shared" si="111"/>
        <v>6282854.4000000004</v>
      </c>
      <c r="AC85" s="19">
        <f t="shared" si="111"/>
        <v>12565708.800000001</v>
      </c>
      <c r="AD85" s="19">
        <f t="shared" ref="AD85:AJ85" si="112">SUM(AD73,AD75,AD77,AD79,AD81,AD83)</f>
        <v>25131417.600000001</v>
      </c>
      <c r="AE85" s="19">
        <f t="shared" si="112"/>
        <v>50262835.200000003</v>
      </c>
      <c r="AF85" s="18">
        <f t="shared" si="112"/>
        <v>100525670.40000001</v>
      </c>
      <c r="AG85" s="19">
        <f t="shared" si="112"/>
        <v>201051340.80000001</v>
      </c>
      <c r="AH85" s="19">
        <f t="shared" ref="AH85" si="113">SUM(AH73,AH75,AH77,AH79,AH81,AH83)</f>
        <v>402102681.60000002</v>
      </c>
      <c r="AI85" s="19">
        <f t="shared" si="112"/>
        <v>804205363.20000005</v>
      </c>
      <c r="AJ85" s="59">
        <f t="shared" si="112"/>
        <v>1067714044.2</v>
      </c>
      <c r="AK85" s="45"/>
    </row>
    <row r="86" spans="1:37" x14ac:dyDescent="0.25">
      <c r="A86" s="37" t="s">
        <v>40</v>
      </c>
      <c r="B86" s="39"/>
      <c r="C86" s="39"/>
      <c r="D86" s="39"/>
      <c r="E86" s="39"/>
      <c r="F86" s="39"/>
      <c r="G86" s="39"/>
      <c r="H86" s="39"/>
      <c r="I86" s="39"/>
      <c r="J86" s="31">
        <f>SUM(J74,J76,J78,J80,J82,J84)</f>
        <v>1.2851625</v>
      </c>
      <c r="K86" s="32">
        <f t="shared" ref="K86:Z86" si="114">SUM(K74,K76,K78,K80,K82,K84)</f>
        <v>2.570325</v>
      </c>
      <c r="L86" s="32">
        <f t="shared" si="114"/>
        <v>5.1406499999999999</v>
      </c>
      <c r="M86" s="32">
        <f t="shared" si="114"/>
        <v>10.2813</v>
      </c>
      <c r="N86" s="32">
        <f t="shared" si="114"/>
        <v>20.5626</v>
      </c>
      <c r="O86" s="32">
        <f t="shared" si="114"/>
        <v>41.1252</v>
      </c>
      <c r="P86" s="32">
        <f t="shared" si="114"/>
        <v>82.250399999999999</v>
      </c>
      <c r="Q86" s="32">
        <f t="shared" si="114"/>
        <v>164.5008</v>
      </c>
      <c r="R86" s="32">
        <f t="shared" si="114"/>
        <v>329.0016</v>
      </c>
      <c r="S86" s="32">
        <f t="shared" si="114"/>
        <v>658.00319999999999</v>
      </c>
      <c r="T86" s="32">
        <f t="shared" si="114"/>
        <v>1316.0064</v>
      </c>
      <c r="U86" s="32">
        <f t="shared" si="114"/>
        <v>2632.0128</v>
      </c>
      <c r="V86" s="32">
        <f t="shared" si="114"/>
        <v>5264.0255999999999</v>
      </c>
      <c r="W86" s="32">
        <f t="shared" si="114"/>
        <v>10528.0512</v>
      </c>
      <c r="X86" s="32">
        <f t="shared" si="114"/>
        <v>21056.1024</v>
      </c>
      <c r="Y86" s="32">
        <f t="shared" si="114"/>
        <v>42112.2048</v>
      </c>
      <c r="Z86" s="32">
        <f t="shared" si="114"/>
        <v>84224.409599999999</v>
      </c>
      <c r="AA86" s="32">
        <f t="shared" si="111"/>
        <v>168448.8192</v>
      </c>
      <c r="AB86" s="32">
        <f t="shared" si="111"/>
        <v>336897.6384</v>
      </c>
      <c r="AC86" s="32">
        <f t="shared" si="111"/>
        <v>673795.27679999999</v>
      </c>
      <c r="AD86" s="32">
        <f t="shared" ref="AD86:AJ86" si="115">SUM(AD74,AD76,AD78,AD80,AD82,AD84)</f>
        <v>1347590.5536</v>
      </c>
      <c r="AE86" s="32">
        <f t="shared" si="115"/>
        <v>2695181.1072</v>
      </c>
      <c r="AF86" s="31">
        <f t="shared" si="115"/>
        <v>5390362.2143999999</v>
      </c>
      <c r="AG86" s="32">
        <f t="shared" si="115"/>
        <v>10780724.4288</v>
      </c>
      <c r="AH86" s="32">
        <f t="shared" ref="AH86" si="116">SUM(AH74,AH76,AH78,AH80,AH82,AH84)</f>
        <v>21561448.8576</v>
      </c>
      <c r="AI86" s="32">
        <f t="shared" si="115"/>
        <v>43122897.7152</v>
      </c>
      <c r="AJ86" s="70">
        <f t="shared" si="115"/>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Q10" sqref="Q10"/>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16365</v>
      </c>
    </row>
    <row r="7" spans="2:10" x14ac:dyDescent="0.25">
      <c r="B7" s="169" t="s">
        <v>121</v>
      </c>
      <c r="C7" s="150">
        <f ca="1">NOW()</f>
        <v>43952.450693981482</v>
      </c>
    </row>
    <row r="8" spans="2:10" x14ac:dyDescent="0.25">
      <c r="B8" s="169" t="s">
        <v>137</v>
      </c>
      <c r="C8" s="151">
        <f ca="1">C7-C5</f>
        <v>57.450693981481891</v>
      </c>
    </row>
    <row r="9" spans="2:10" x14ac:dyDescent="0.25">
      <c r="B9" s="169" t="s">
        <v>120</v>
      </c>
      <c r="C9" s="153">
        <f ca="1">C8/(LOG(C6/C4)/LOG(2))</f>
        <v>6.3604128170087026</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166989.79591836734</v>
      </c>
    </row>
    <row r="13" spans="2:10" s="66" customFormat="1" x14ac:dyDescent="0.25">
      <c r="B13" s="48" t="s">
        <v>167</v>
      </c>
      <c r="C13" s="159">
        <f ca="1">(C4/Projections!B6)*(2^(((C7-21)-C5)/C9))</f>
        <v>16935.088856846931</v>
      </c>
    </row>
    <row r="14" spans="2:10" s="66" customFormat="1" x14ac:dyDescent="0.25">
      <c r="B14" s="49" t="s">
        <v>168</v>
      </c>
      <c r="C14" s="141">
        <f ca="1">C12-C13</f>
        <v>150054.7070615204</v>
      </c>
      <c r="E14" s="155"/>
      <c r="F14" s="156" t="s">
        <v>142</v>
      </c>
      <c r="G14" s="154"/>
    </row>
    <row r="15" spans="2:10" x14ac:dyDescent="0.25">
      <c r="B15" s="4" t="s">
        <v>139</v>
      </c>
      <c r="C15" s="63">
        <f>C6*Projections!B10</f>
        <v>13255.650000000001</v>
      </c>
      <c r="I15" s="149"/>
    </row>
    <row r="16" spans="2:10" x14ac:dyDescent="0.25">
      <c r="B16" s="41" t="s">
        <v>149</v>
      </c>
      <c r="C16" s="77">
        <f ca="1">(C4*Projections!B10)*(2^(((C7-21)-C5)/C9))</f>
        <v>1344.3073534565096</v>
      </c>
      <c r="I16" s="149"/>
    </row>
    <row r="17" spans="2:9" x14ac:dyDescent="0.25">
      <c r="B17" s="41" t="s">
        <v>140</v>
      </c>
      <c r="C17" s="77">
        <f ca="1">C15-C16</f>
        <v>11911.342646543491</v>
      </c>
      <c r="F17" t="s">
        <v>143</v>
      </c>
      <c r="I17" s="149"/>
    </row>
    <row r="18" spans="2:9" x14ac:dyDescent="0.25">
      <c r="B18" s="4" t="s">
        <v>145</v>
      </c>
      <c r="C18" s="63">
        <f>C6*Projections!B11</f>
        <v>2291.1000000000004</v>
      </c>
    </row>
    <row r="19" spans="2:9" x14ac:dyDescent="0.25">
      <c r="B19" s="41" t="s">
        <v>150</v>
      </c>
      <c r="C19" s="77">
        <f ca="1">(C4*Projections!B11)*(2^(((C7-49)-C5)/C9))</f>
        <v>10.988497626557171</v>
      </c>
    </row>
    <row r="20" spans="2:9" x14ac:dyDescent="0.25">
      <c r="B20" s="41" t="s">
        <v>144</v>
      </c>
      <c r="C20" s="77">
        <f ca="1">C18-C19</f>
        <v>2280.1115023734433</v>
      </c>
      <c r="F20" t="s">
        <v>148</v>
      </c>
    </row>
    <row r="21" spans="2:9" x14ac:dyDescent="0.25">
      <c r="B21" s="4" t="s">
        <v>146</v>
      </c>
      <c r="C21" s="63">
        <f>C6*Projections!B12</f>
        <v>818.25</v>
      </c>
      <c r="I21" s="149"/>
    </row>
    <row r="22" spans="2:9" x14ac:dyDescent="0.25">
      <c r="B22" s="41" t="s">
        <v>151</v>
      </c>
      <c r="C22" s="77">
        <f ca="1">(C4*Projections!B12)*(2^(((C7-49)-C5)/C9))</f>
        <v>3.9244634380561325</v>
      </c>
      <c r="I22" s="149"/>
    </row>
    <row r="23" spans="2:9" x14ac:dyDescent="0.25">
      <c r="B23" s="41" t="s">
        <v>147</v>
      </c>
      <c r="C23" s="77">
        <f ca="1">C21-C22</f>
        <v>814.32553656194386</v>
      </c>
      <c r="I23" s="149"/>
    </row>
    <row r="24" spans="2:9" x14ac:dyDescent="0.25">
      <c r="B24" s="4" t="s">
        <v>152</v>
      </c>
      <c r="C24" s="63">
        <f>C6*Projections!B13</f>
        <v>540.04500000000007</v>
      </c>
    </row>
    <row r="25" spans="2:9" x14ac:dyDescent="0.25">
      <c r="B25" s="37" t="s">
        <v>153</v>
      </c>
      <c r="C25" s="60">
        <f ca="1">(C4*Projections!B13)*(2^(((C7-42)-C5)/C9))</f>
        <v>5.554245105582428</v>
      </c>
      <c r="F25" t="s">
        <v>154</v>
      </c>
    </row>
    <row r="26" spans="2:9" x14ac:dyDescent="0.25">
      <c r="B26" s="41" t="s">
        <v>130</v>
      </c>
      <c r="C26" s="162">
        <f ca="1">C9*(LOG(C10/C21)/LOG(2))</f>
        <v>61.820630893891185</v>
      </c>
      <c r="D26" t="s">
        <v>97</v>
      </c>
      <c r="F26" s="66" t="s">
        <v>155</v>
      </c>
    </row>
    <row r="27" spans="2:9" x14ac:dyDescent="0.25">
      <c r="B27" s="37" t="s">
        <v>127</v>
      </c>
      <c r="C27" s="161">
        <f ca="1">C7+C26</f>
        <v>44014.271324875372</v>
      </c>
      <c r="F27" t="s">
        <v>156</v>
      </c>
    </row>
    <row r="28" spans="2:9" x14ac:dyDescent="0.25">
      <c r="B28" s="4" t="s">
        <v>131</v>
      </c>
      <c r="C28" s="160">
        <f ca="1">C9*(LOG(C11/C21)/LOG(2))</f>
        <v>37.355590854442561</v>
      </c>
      <c r="D28" t="s">
        <v>97</v>
      </c>
    </row>
    <row r="29" spans="2:9" x14ac:dyDescent="0.25">
      <c r="B29" s="37" t="s">
        <v>128</v>
      </c>
      <c r="C29" s="161">
        <f ca="1">C7+C28</f>
        <v>43989.806284835926</v>
      </c>
      <c r="F29" t="s">
        <v>156</v>
      </c>
    </row>
    <row r="30" spans="2:9" x14ac:dyDescent="0.25">
      <c r="B30" s="4" t="s">
        <v>132</v>
      </c>
      <c r="C30" s="160">
        <f ca="1">C9*(LOG((C3*0.6)/C12)/LOG(2))</f>
        <v>78.158709926783288</v>
      </c>
      <c r="D30" t="s">
        <v>97</v>
      </c>
    </row>
    <row r="31" spans="2:9" x14ac:dyDescent="0.25">
      <c r="B31" s="37" t="s">
        <v>129</v>
      </c>
      <c r="C31" s="161">
        <f ca="1">C7+C30</f>
        <v>44030.609403908267</v>
      </c>
    </row>
    <row r="34" spans="2:6" x14ac:dyDescent="0.25">
      <c r="B34" s="4" t="s">
        <v>133</v>
      </c>
      <c r="C34" s="150">
        <f ca="1">C7+30</f>
        <v>43982.450693981482</v>
      </c>
      <c r="F34" t="s">
        <v>169</v>
      </c>
    </row>
    <row r="35" spans="2:6" x14ac:dyDescent="0.25">
      <c r="B35" s="41" t="s">
        <v>134</v>
      </c>
      <c r="C35" s="77">
        <f ca="1">C6*(2^((C34-C7)/C9))</f>
        <v>430305.26367669291</v>
      </c>
      <c r="F35" t="s">
        <v>141</v>
      </c>
    </row>
    <row r="36" spans="2:6" x14ac:dyDescent="0.25">
      <c r="B36" s="41" t="s">
        <v>175</v>
      </c>
      <c r="C36" s="77">
        <f ca="1">C35/Projections!B6</f>
        <v>4390870.0375172747</v>
      </c>
    </row>
    <row r="37" spans="2:6" x14ac:dyDescent="0.25">
      <c r="B37" s="41" t="s">
        <v>73</v>
      </c>
      <c r="C37" s="77">
        <f ca="1">C35*Projections!B10</f>
        <v>348547.26357812126</v>
      </c>
    </row>
    <row r="38" spans="2:6" x14ac:dyDescent="0.25">
      <c r="B38" s="41" t="s">
        <v>122</v>
      </c>
      <c r="C38" s="77">
        <f ca="1">C35*Projections!B11</f>
        <v>60242.736914737012</v>
      </c>
    </row>
    <row r="39" spans="2:6" x14ac:dyDescent="0.25">
      <c r="B39" s="41" t="s">
        <v>123</v>
      </c>
      <c r="C39" s="77">
        <f ca="1">C35*Projections!B12</f>
        <v>21515.263183834646</v>
      </c>
    </row>
    <row r="40" spans="2:6" x14ac:dyDescent="0.25">
      <c r="B40" s="37" t="s">
        <v>124</v>
      </c>
      <c r="C40" s="60">
        <f ca="1">C35*Projections!B13</f>
        <v>14200.073701330866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2020-05-01T00:49:00Z</dcterms:modified>
</cp:coreProperties>
</file>