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06DCAB75-2C0E-42DA-8ED5-E252CAE1A623}"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3" l="1"/>
  <c r="D6" i="3"/>
  <c r="F20" i="3" s="1"/>
  <c r="E63" i="1" s="1"/>
  <c r="D7" i="3"/>
  <c r="D8" i="3"/>
  <c r="F22" i="3" s="1"/>
  <c r="E67" i="1" s="1"/>
  <c r="D9" i="3"/>
  <c r="F23" i="3" s="1"/>
  <c r="E69" i="1" s="1"/>
  <c r="D10" i="3"/>
  <c r="F24" i="3" s="1"/>
  <c r="E71" i="1" s="1"/>
  <c r="D11" i="3"/>
  <c r="F25" i="3" s="1"/>
  <c r="E73" i="1" s="1"/>
  <c r="D12" i="3"/>
  <c r="F26" i="3" s="1"/>
  <c r="E75" i="1" s="1"/>
  <c r="D4" i="3"/>
  <c r="B28" i="3"/>
  <c r="C28" i="3"/>
  <c r="D19" i="3"/>
  <c r="D20" i="3"/>
  <c r="D21" i="3"/>
  <c r="D22" i="3"/>
  <c r="D23" i="3"/>
  <c r="D24" i="3"/>
  <c r="D25" i="3"/>
  <c r="D26" i="3"/>
  <c r="D18" i="3"/>
  <c r="S25" i="1"/>
  <c r="R25" i="1"/>
  <c r="Q25" i="1"/>
  <c r="P25" i="1"/>
  <c r="O25" i="1"/>
  <c r="F18" i="3" l="1"/>
  <c r="E59" i="1" s="1"/>
  <c r="D28" i="3"/>
  <c r="F21" i="3"/>
  <c r="E65" i="1" s="1"/>
  <c r="E22" i="3"/>
  <c r="E18" i="3"/>
  <c r="E23" i="3"/>
  <c r="E20" i="3"/>
  <c r="E21" i="3"/>
  <c r="E24" i="3"/>
  <c r="E25" i="3"/>
  <c r="E26" i="3"/>
  <c r="E19" i="3"/>
  <c r="F19" i="3"/>
  <c r="E61" i="1" s="1"/>
  <c r="P53" i="1"/>
  <c r="O53" i="1" l="1"/>
  <c r="L53" i="1" l="1"/>
  <c r="M53" i="1"/>
  <c r="N53" i="1"/>
  <c r="K53" i="1"/>
  <c r="I53" i="1"/>
  <c r="J53" i="1"/>
  <c r="H53" i="1"/>
  <c r="G53" i="1"/>
  <c r="E34" i="4" l="1"/>
  <c r="C45" i="4"/>
  <c r="H25" i="1" l="1"/>
  <c r="I25" i="1" l="1"/>
  <c r="G51" i="1"/>
  <c r="G36" i="1" s="1"/>
  <c r="N7" i="1"/>
  <c r="N6" i="1"/>
  <c r="M5" i="1"/>
  <c r="K4" i="1"/>
  <c r="J3" i="1"/>
  <c r="F2" i="1"/>
  <c r="P14" i="1"/>
  <c r="O13" i="1"/>
  <c r="N10" i="1"/>
  <c r="N9" i="1"/>
  <c r="G49" i="1"/>
  <c r="G48" i="1"/>
  <c r="J25" i="1" l="1"/>
  <c r="G37" i="1"/>
  <c r="G38" i="1"/>
  <c r="G39" i="1" s="1"/>
  <c r="U50" i="1"/>
  <c r="V50" i="1" s="1"/>
  <c r="W50" i="1" s="1"/>
  <c r="X50" i="1" s="1"/>
  <c r="Y50" i="1" s="1"/>
  <c r="Z50" i="1" s="1"/>
  <c r="AA50" i="1" s="1"/>
  <c r="AB50" i="1" s="1"/>
  <c r="AC50" i="1" s="1"/>
  <c r="AD50" i="1" s="1"/>
  <c r="AE50" i="1" s="1"/>
  <c r="K25" i="1" l="1"/>
  <c r="G34" i="1"/>
  <c r="G35" i="1" s="1"/>
  <c r="G30" i="1"/>
  <c r="G32" i="1" s="1"/>
  <c r="G33" i="1" s="1"/>
  <c r="C12" i="5"/>
  <c r="C7" i="5"/>
  <c r="C8" i="5" s="1"/>
  <c r="C9" i="5" s="1"/>
  <c r="C21" i="5"/>
  <c r="C18" i="5"/>
  <c r="C15" i="5"/>
  <c r="C24" i="5"/>
  <c r="C3" i="5"/>
  <c r="L25" i="1" l="1"/>
  <c r="C30" i="5"/>
  <c r="G28" i="1"/>
  <c r="G29" i="1" s="1"/>
  <c r="C34" i="5"/>
  <c r="M25" i="1" l="1"/>
  <c r="C13" i="5"/>
  <c r="C14" i="5" s="1"/>
  <c r="G31" i="1"/>
  <c r="AG27" i="1"/>
  <c r="AG26" i="1" s="1"/>
  <c r="AG30" i="1"/>
  <c r="AF26" i="1"/>
  <c r="AF27" i="1" s="1"/>
  <c r="G44" i="1"/>
  <c r="G42" i="1"/>
  <c r="G45" i="1"/>
  <c r="G43" i="1"/>
  <c r="N25" i="1" l="1"/>
  <c r="AG31" i="1"/>
  <c r="AG32" i="1"/>
  <c r="AG40" i="1"/>
  <c r="AG34" i="1"/>
  <c r="AG38" i="1"/>
  <c r="AG36" i="1"/>
  <c r="AF50" i="1"/>
  <c r="AG50" i="1" s="1"/>
  <c r="AF34" i="1"/>
  <c r="AF30" i="1"/>
  <c r="AF32" i="1" s="1"/>
  <c r="C22" i="5"/>
  <c r="C23" i="5" s="1"/>
  <c r="C35" i="5"/>
  <c r="C40" i="5" s="1"/>
  <c r="C25" i="5"/>
  <c r="C19" i="5"/>
  <c r="C20" i="5" s="1"/>
  <c r="C16" i="5"/>
  <c r="C17" i="5" s="1"/>
  <c r="C31" i="5"/>
  <c r="AP25" i="4"/>
  <c r="E31" i="4"/>
  <c r="B17" i="4" s="1"/>
  <c r="B18" i="4" l="1"/>
  <c r="H21" i="4" s="1"/>
  <c r="V24" i="4" s="1"/>
  <c r="K20" i="4"/>
  <c r="T25" i="1"/>
  <c r="P51" i="1" s="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R48" i="1" l="1"/>
  <c r="R49" i="1"/>
  <c r="R51" i="1"/>
  <c r="R41" i="1"/>
  <c r="S48" i="1"/>
  <c r="S49" i="1"/>
  <c r="S51" i="1"/>
  <c r="S41" i="1"/>
  <c r="U25" i="1"/>
  <c r="E18" i="4"/>
  <c r="E19" i="4" s="1"/>
  <c r="H17" i="4"/>
  <c r="B19" i="4"/>
  <c r="G81" i="1"/>
  <c r="G82" i="1" s="1"/>
  <c r="Q48" i="1" l="1"/>
  <c r="Q51" i="1"/>
  <c r="Q49" i="1"/>
  <c r="Q41" i="1"/>
  <c r="O48" i="1"/>
  <c r="O41" i="1"/>
  <c r="O51" i="1"/>
  <c r="O49" i="1"/>
  <c r="P48" i="1"/>
  <c r="P41" i="1"/>
  <c r="P49" i="1"/>
  <c r="V25" i="1"/>
  <c r="H18" i="4"/>
  <c r="H19" i="4" s="1"/>
  <c r="Q20" i="4"/>
  <c r="K17" i="4"/>
  <c r="T20" i="4" s="1"/>
  <c r="K21" i="4"/>
  <c r="Y24" i="4" s="1"/>
  <c r="D14" i="3"/>
  <c r="W25" i="1" l="1"/>
  <c r="K18" i="4"/>
  <c r="K19" i="4" s="1"/>
  <c r="N22" i="4"/>
  <c r="N17" i="4"/>
  <c r="W20" i="4" s="1"/>
  <c r="N21" i="4"/>
  <c r="AB24" i="4" s="1"/>
  <c r="X25" i="1" l="1"/>
  <c r="Q17" i="4"/>
  <c r="T17" i="4" s="1"/>
  <c r="N18" i="4"/>
  <c r="N19" i="4" s="1"/>
  <c r="Q21" i="4"/>
  <c r="AE24" i="4" s="1"/>
  <c r="Q22" i="4"/>
  <c r="B74" i="1"/>
  <c r="B72" i="1"/>
  <c r="B70" i="1"/>
  <c r="B68" i="1"/>
  <c r="B66" i="1"/>
  <c r="B64" i="1"/>
  <c r="B62" i="1"/>
  <c r="B60" i="1"/>
  <c r="B58" i="1"/>
  <c r="Y25" i="1" l="1"/>
  <c r="T18" i="4"/>
  <c r="T19" i="4" s="1"/>
  <c r="AC20" i="4"/>
  <c r="Q18" i="4"/>
  <c r="Q19" i="4" s="1"/>
  <c r="Z20" i="4"/>
  <c r="T21" i="4"/>
  <c r="AH24" i="4" s="1"/>
  <c r="T22" i="4"/>
  <c r="T23" i="4"/>
  <c r="W17" i="4"/>
  <c r="W22" i="4" l="1"/>
  <c r="W23" i="4"/>
  <c r="W21" i="4"/>
  <c r="AK24" i="4" s="1"/>
  <c r="Z25" i="1"/>
  <c r="W18" i="4"/>
  <c r="W19" i="4" s="1"/>
  <c r="AF20" i="4"/>
  <c r="Z21" i="4"/>
  <c r="AN24" i="4" s="1"/>
  <c r="Z23" i="4"/>
  <c r="Z22" i="4"/>
  <c r="Z17" i="4"/>
  <c r="C91" i="1"/>
  <c r="C89" i="1"/>
  <c r="C87" i="1"/>
  <c r="C85" i="1"/>
  <c r="C83" i="1"/>
  <c r="C81" i="1"/>
  <c r="G40" i="1"/>
  <c r="E5" i="3"/>
  <c r="D60" i="1" s="1"/>
  <c r="AA25" i="1" l="1"/>
  <c r="Z18" i="4"/>
  <c r="Z19" i="4" s="1"/>
  <c r="AI20" i="4"/>
  <c r="AC21" i="4"/>
  <c r="AC22" i="4"/>
  <c r="AC23" i="4"/>
  <c r="AC17" i="4"/>
  <c r="AF85" i="1"/>
  <c r="AF86" i="1" s="1"/>
  <c r="AF40" i="1"/>
  <c r="AF81" i="1"/>
  <c r="AF82" i="1" s="1"/>
  <c r="AF87" i="1"/>
  <c r="AF88" i="1" s="1"/>
  <c r="AF83" i="1"/>
  <c r="AF84" i="1" s="1"/>
  <c r="AF91" i="1"/>
  <c r="AF89" i="1"/>
  <c r="AF90" i="1" s="1"/>
  <c r="AF60" i="1"/>
  <c r="AF61" i="1"/>
  <c r="E7" i="3"/>
  <c r="D64" i="1" s="1"/>
  <c r="E4" i="3"/>
  <c r="D58" i="1" s="1"/>
  <c r="E12" i="3"/>
  <c r="D74" i="1" s="1"/>
  <c r="E11" i="3"/>
  <c r="D72" i="1" s="1"/>
  <c r="E10" i="3"/>
  <c r="D70" i="1" s="1"/>
  <c r="E9" i="3"/>
  <c r="D68" i="1" s="1"/>
  <c r="E8" i="3"/>
  <c r="D66" i="1" s="1"/>
  <c r="E6" i="3"/>
  <c r="D62" i="1" s="1"/>
  <c r="C16" i="1"/>
  <c r="C10" i="5" s="1"/>
  <c r="C26" i="5" s="1"/>
  <c r="C27" i="5" s="1"/>
  <c r="C17" i="1"/>
  <c r="C11" i="5" s="1"/>
  <c r="C28" i="5" s="1"/>
  <c r="C29" i="5" s="1"/>
  <c r="G61" i="1"/>
  <c r="G91" i="1"/>
  <c r="G89" i="1"/>
  <c r="G87" i="1"/>
  <c r="G88" i="1" s="1"/>
  <c r="G85" i="1"/>
  <c r="G86" i="1" s="1"/>
  <c r="G83" i="1"/>
  <c r="G84" i="1" s="1"/>
  <c r="C60" i="1"/>
  <c r="C62" i="1"/>
  <c r="C64" i="1"/>
  <c r="C66" i="1"/>
  <c r="C68" i="1"/>
  <c r="C70" i="1"/>
  <c r="C72" i="1"/>
  <c r="C74" i="1"/>
  <c r="C58" i="1"/>
  <c r="C13" i="2"/>
  <c r="D13" i="2" s="1"/>
  <c r="C25" i="2"/>
  <c r="D25" i="2" s="1"/>
  <c r="C37" i="2"/>
  <c r="D37" i="2" s="1"/>
  <c r="D49" i="2"/>
  <c r="C49" i="2"/>
  <c r="C61" i="2"/>
  <c r="D61" i="2" s="1"/>
  <c r="D73" i="2"/>
  <c r="C73" i="2"/>
  <c r="C85" i="2"/>
  <c r="D85" i="2" s="1"/>
  <c r="C107" i="2"/>
  <c r="D107" i="2" s="1"/>
  <c r="C97" i="2"/>
  <c r="D97" i="2" s="1"/>
  <c r="G27" i="1"/>
  <c r="H26" i="1"/>
  <c r="AF62" i="1" l="1"/>
  <c r="G75" i="1"/>
  <c r="AB25" i="1"/>
  <c r="AC18" i="4"/>
  <c r="AC19" i="4" s="1"/>
  <c r="AL20" i="4"/>
  <c r="H36" i="1"/>
  <c r="H38" i="1"/>
  <c r="H39" i="1" s="1"/>
  <c r="H51" i="1"/>
  <c r="H49" i="1"/>
  <c r="H34" i="1"/>
  <c r="H35" i="1" s="1"/>
  <c r="H42" i="1"/>
  <c r="H45" i="1"/>
  <c r="H48" i="1"/>
  <c r="H43" i="1"/>
  <c r="H44" i="1"/>
  <c r="AF93" i="1"/>
  <c r="H30" i="1"/>
  <c r="AF22" i="4"/>
  <c r="AF23" i="4"/>
  <c r="AF21" i="4"/>
  <c r="AF17" i="4"/>
  <c r="G59" i="1"/>
  <c r="G58" i="1"/>
  <c r="AF94" i="1"/>
  <c r="G67" i="1"/>
  <c r="G66" i="1"/>
  <c r="AF70" i="1"/>
  <c r="AF71" i="1"/>
  <c r="AF72" i="1"/>
  <c r="AF73" i="1"/>
  <c r="AF66" i="1"/>
  <c r="AF67" i="1"/>
  <c r="AF64" i="1"/>
  <c r="AF65" i="1"/>
  <c r="AF69" i="1"/>
  <c r="AF68" i="1"/>
  <c r="G70" i="1"/>
  <c r="G69" i="1"/>
  <c r="G72" i="1"/>
  <c r="AF58" i="1"/>
  <c r="AF59" i="1"/>
  <c r="AF63" i="1"/>
  <c r="AF75" i="1"/>
  <c r="AF74" i="1"/>
  <c r="G62" i="1"/>
  <c r="I26" i="1"/>
  <c r="I34" i="1" s="1"/>
  <c r="I35" i="1" s="1"/>
  <c r="H85" i="1"/>
  <c r="H86" i="1" s="1"/>
  <c r="G63" i="1"/>
  <c r="H74" i="1"/>
  <c r="H83" i="1"/>
  <c r="H84" i="1" s="1"/>
  <c r="G71" i="1"/>
  <c r="H72" i="1"/>
  <c r="H91" i="1"/>
  <c r="G60" i="1"/>
  <c r="G68" i="1"/>
  <c r="H89" i="1"/>
  <c r="H90" i="1" s="1"/>
  <c r="H87" i="1"/>
  <c r="H88" i="1" s="1"/>
  <c r="H70" i="1"/>
  <c r="H63" i="1"/>
  <c r="H67" i="1"/>
  <c r="H71" i="1"/>
  <c r="H75" i="1"/>
  <c r="G93" i="1"/>
  <c r="H81" i="1"/>
  <c r="H82" i="1" s="1"/>
  <c r="G64" i="1"/>
  <c r="H60" i="1"/>
  <c r="G65" i="1"/>
  <c r="G73" i="1"/>
  <c r="H64" i="1"/>
  <c r="H61" i="1"/>
  <c r="H68" i="1"/>
  <c r="G74" i="1"/>
  <c r="H58" i="1"/>
  <c r="H65" i="1"/>
  <c r="H69" i="1"/>
  <c r="H73" i="1"/>
  <c r="H62" i="1"/>
  <c r="H59" i="1"/>
  <c r="H66" i="1"/>
  <c r="G90" i="1"/>
  <c r="G94" i="1" s="1"/>
  <c r="H27" i="1"/>
  <c r="H40" i="1"/>
  <c r="AC25" i="1" l="1"/>
  <c r="AF18" i="4"/>
  <c r="AF19" i="4" s="1"/>
  <c r="AO20" i="4"/>
  <c r="H37" i="1"/>
  <c r="H28" i="1" s="1"/>
  <c r="H29" i="1" s="1"/>
  <c r="I83" i="1"/>
  <c r="I84" i="1" s="1"/>
  <c r="I64" i="1"/>
  <c r="I38" i="1"/>
  <c r="I39" i="1" s="1"/>
  <c r="I89" i="1"/>
  <c r="I90" i="1" s="1"/>
  <c r="I60" i="1"/>
  <c r="I59" i="1"/>
  <c r="I81" i="1"/>
  <c r="I82" i="1" s="1"/>
  <c r="I61" i="1"/>
  <c r="I27" i="1"/>
  <c r="H31" i="1"/>
  <c r="H32" i="1"/>
  <c r="H33" i="1" s="1"/>
  <c r="I49" i="1"/>
  <c r="I51" i="1"/>
  <c r="J26" i="1"/>
  <c r="J34" i="1" s="1"/>
  <c r="J35" i="1" s="1"/>
  <c r="I30" i="1"/>
  <c r="I40" i="1"/>
  <c r="I74" i="1"/>
  <c r="I73" i="1"/>
  <c r="I85" i="1"/>
  <c r="I86" i="1" s="1"/>
  <c r="I69" i="1"/>
  <c r="I68" i="1"/>
  <c r="I44" i="1"/>
  <c r="I42" i="1"/>
  <c r="I45" i="1"/>
  <c r="I48" i="1"/>
  <c r="I43" i="1"/>
  <c r="AI23" i="4"/>
  <c r="AI21" i="4"/>
  <c r="AI22" i="4"/>
  <c r="AI17" i="4"/>
  <c r="AI18" i="4" s="1"/>
  <c r="AF76" i="1"/>
  <c r="AF77" i="1"/>
  <c r="G77" i="1"/>
  <c r="H77" i="1"/>
  <c r="I71" i="1"/>
  <c r="I70" i="1"/>
  <c r="I66" i="1"/>
  <c r="I63" i="1"/>
  <c r="I65" i="1"/>
  <c r="I58" i="1"/>
  <c r="I67" i="1"/>
  <c r="I72" i="1"/>
  <c r="I91" i="1"/>
  <c r="I62" i="1"/>
  <c r="I87" i="1"/>
  <c r="I88" i="1" s="1"/>
  <c r="I75" i="1"/>
  <c r="H93" i="1"/>
  <c r="G76" i="1"/>
  <c r="H76" i="1"/>
  <c r="H94" i="1"/>
  <c r="J61" i="1" l="1"/>
  <c r="J75" i="1"/>
  <c r="J71" i="1"/>
  <c r="J73" i="1"/>
  <c r="J70" i="1"/>
  <c r="J83" i="1"/>
  <c r="J84" i="1" s="1"/>
  <c r="J62" i="1"/>
  <c r="J68" i="1"/>
  <c r="J91" i="1"/>
  <c r="J58" i="1"/>
  <c r="J65" i="1"/>
  <c r="J63" i="1"/>
  <c r="AD25" i="1"/>
  <c r="J38" i="1"/>
  <c r="J39" i="1" s="1"/>
  <c r="J69" i="1"/>
  <c r="J67" i="1"/>
  <c r="J60" i="1"/>
  <c r="J81" i="1"/>
  <c r="J82" i="1" s="1"/>
  <c r="J64" i="1"/>
  <c r="K26" i="1"/>
  <c r="K70" i="1" s="1"/>
  <c r="J74" i="1"/>
  <c r="J72" i="1"/>
  <c r="J40" i="1"/>
  <c r="J85" i="1"/>
  <c r="J86" i="1" s="1"/>
  <c r="I94" i="1"/>
  <c r="J59" i="1"/>
  <c r="J87" i="1"/>
  <c r="J88" i="1" s="1"/>
  <c r="J89" i="1"/>
  <c r="J90" i="1" s="1"/>
  <c r="J27" i="1"/>
  <c r="J66" i="1"/>
  <c r="J49" i="1"/>
  <c r="J51" i="1"/>
  <c r="I31" i="1"/>
  <c r="I32" i="1"/>
  <c r="I33" i="1" s="1"/>
  <c r="J43" i="1"/>
  <c r="J44" i="1"/>
  <c r="J45" i="1"/>
  <c r="J48" i="1"/>
  <c r="J42" i="1"/>
  <c r="I93" i="1"/>
  <c r="J30" i="1"/>
  <c r="AL22" i="4"/>
  <c r="AL21" i="4"/>
  <c r="AL23" i="4"/>
  <c r="AL17" i="4"/>
  <c r="AL18" i="4" s="1"/>
  <c r="AI19" i="4"/>
  <c r="I76" i="1"/>
  <c r="I77" i="1"/>
  <c r="AE25" i="1" l="1"/>
  <c r="K74" i="1"/>
  <c r="K71" i="1"/>
  <c r="K83" i="1"/>
  <c r="K84" i="1" s="1"/>
  <c r="K68" i="1"/>
  <c r="K69" i="1"/>
  <c r="K60" i="1"/>
  <c r="K66" i="1"/>
  <c r="K81" i="1"/>
  <c r="K82" i="1" s="1"/>
  <c r="J77" i="1"/>
  <c r="K67" i="1"/>
  <c r="K59" i="1"/>
  <c r="K89" i="1"/>
  <c r="K90" i="1" s="1"/>
  <c r="K73" i="1"/>
  <c r="K65" i="1"/>
  <c r="K72" i="1"/>
  <c r="K87" i="1"/>
  <c r="K88" i="1" s="1"/>
  <c r="J94" i="1"/>
  <c r="K34" i="1"/>
  <c r="K27" i="1"/>
  <c r="K61" i="1"/>
  <c r="K62" i="1"/>
  <c r="K85" i="1"/>
  <c r="K86" i="1" s="1"/>
  <c r="K30" i="1"/>
  <c r="K32" i="1" s="1"/>
  <c r="K40" i="1"/>
  <c r="K64" i="1"/>
  <c r="L26" i="1"/>
  <c r="L71" i="1" s="1"/>
  <c r="K75" i="1"/>
  <c r="J76" i="1"/>
  <c r="K63" i="1"/>
  <c r="K91" i="1"/>
  <c r="J93" i="1"/>
  <c r="K58" i="1"/>
  <c r="K49" i="1"/>
  <c r="K51" i="1"/>
  <c r="J31" i="1"/>
  <c r="J32" i="1"/>
  <c r="J33" i="1" s="1"/>
  <c r="K43" i="1"/>
  <c r="K48" i="1"/>
  <c r="K44" i="1"/>
  <c r="K45" i="1"/>
  <c r="K42" i="1"/>
  <c r="AO21" i="4"/>
  <c r="AO22" i="4"/>
  <c r="AO23" i="4"/>
  <c r="AO17" i="4"/>
  <c r="AL19" i="4"/>
  <c r="L68" i="1" l="1"/>
  <c r="L61" i="1"/>
  <c r="L58" i="1"/>
  <c r="AF25" i="1"/>
  <c r="AO18" i="4"/>
  <c r="AO19" i="4" s="1"/>
  <c r="K76" i="1"/>
  <c r="K94" i="1"/>
  <c r="L74" i="1"/>
  <c r="L40" i="1"/>
  <c r="M26" i="1"/>
  <c r="M72" i="1" s="1"/>
  <c r="L63" i="1"/>
  <c r="L89" i="1"/>
  <c r="L90" i="1" s="1"/>
  <c r="L69" i="1"/>
  <c r="L70" i="1"/>
  <c r="K93" i="1"/>
  <c r="L66" i="1"/>
  <c r="K77" i="1"/>
  <c r="L27" i="1"/>
  <c r="L64" i="1"/>
  <c r="L87" i="1"/>
  <c r="L88" i="1" s="1"/>
  <c r="L34" i="1"/>
  <c r="L83" i="1"/>
  <c r="L84" i="1" s="1"/>
  <c r="L65" i="1"/>
  <c r="L30" i="1"/>
  <c r="L31" i="1" s="1"/>
  <c r="L73" i="1"/>
  <c r="L72" i="1"/>
  <c r="L67" i="1"/>
  <c r="L85" i="1"/>
  <c r="L86" i="1" s="1"/>
  <c r="L60" i="1"/>
  <c r="L81" i="1"/>
  <c r="L82" i="1" s="1"/>
  <c r="L91" i="1"/>
  <c r="L62" i="1"/>
  <c r="K31" i="1"/>
  <c r="L59" i="1"/>
  <c r="L75" i="1"/>
  <c r="L49" i="1"/>
  <c r="L51" i="1"/>
  <c r="L43" i="1"/>
  <c r="L44" i="1"/>
  <c r="L42" i="1"/>
  <c r="L45" i="1"/>
  <c r="L48" i="1"/>
  <c r="M34" i="1" l="1"/>
  <c r="M30" i="1"/>
  <c r="M32" i="1" s="1"/>
  <c r="M40" i="1"/>
  <c r="M91" i="1"/>
  <c r="M67" i="1"/>
  <c r="M59" i="1"/>
  <c r="M58" i="1"/>
  <c r="M71" i="1"/>
  <c r="M73" i="1"/>
  <c r="M60" i="1"/>
  <c r="M27" i="1"/>
  <c r="M83" i="1"/>
  <c r="M84" i="1" s="1"/>
  <c r="M69" i="1"/>
  <c r="M61" i="1"/>
  <c r="M85" i="1"/>
  <c r="M86" i="1" s="1"/>
  <c r="M64" i="1"/>
  <c r="M87" i="1"/>
  <c r="M88" i="1" s="1"/>
  <c r="M68" i="1"/>
  <c r="M65" i="1"/>
  <c r="M63" i="1"/>
  <c r="M81" i="1"/>
  <c r="M82" i="1" s="1"/>
  <c r="M70" i="1"/>
  <c r="M66" i="1"/>
  <c r="N26" i="1"/>
  <c r="M75" i="1"/>
  <c r="M74" i="1"/>
  <c r="M89" i="1"/>
  <c r="M90" i="1" s="1"/>
  <c r="M62" i="1"/>
  <c r="L94" i="1"/>
  <c r="L77" i="1"/>
  <c r="L93" i="1"/>
  <c r="L76" i="1"/>
  <c r="L32" i="1"/>
  <c r="M49" i="1"/>
  <c r="M51" i="1"/>
  <c r="M31" i="1"/>
  <c r="M43" i="1"/>
  <c r="M44" i="1"/>
  <c r="M45" i="1"/>
  <c r="M42" i="1"/>
  <c r="M48" i="1"/>
  <c r="N67" i="1" l="1"/>
  <c r="N64" i="1"/>
  <c r="N61" i="1"/>
  <c r="N58" i="1"/>
  <c r="N40" i="1"/>
  <c r="N91" i="1"/>
  <c r="N63" i="1"/>
  <c r="N68" i="1"/>
  <c r="N70" i="1"/>
  <c r="N65" i="1"/>
  <c r="N75" i="1"/>
  <c r="N83" i="1"/>
  <c r="N84" i="1" s="1"/>
  <c r="N59" i="1"/>
  <c r="N89" i="1"/>
  <c r="N90" i="1" s="1"/>
  <c r="T26" i="1"/>
  <c r="T34" i="1" s="1"/>
  <c r="M77" i="1"/>
  <c r="M93" i="1"/>
  <c r="N71" i="1"/>
  <c r="N69" i="1"/>
  <c r="N72" i="1"/>
  <c r="N81" i="1"/>
  <c r="N82" i="1" s="1"/>
  <c r="N74" i="1"/>
  <c r="N66" i="1"/>
  <c r="N34" i="1"/>
  <c r="M94" i="1"/>
  <c r="N87" i="1"/>
  <c r="N88" i="1" s="1"/>
  <c r="N85" i="1"/>
  <c r="N86" i="1" s="1"/>
  <c r="N27" i="1"/>
  <c r="N62" i="1"/>
  <c r="N30" i="1"/>
  <c r="N31" i="1" s="1"/>
  <c r="N73" i="1"/>
  <c r="N60" i="1"/>
  <c r="M76" i="1"/>
  <c r="T51" i="1"/>
  <c r="N41" i="1"/>
  <c r="N51" i="1"/>
  <c r="N49" i="1"/>
  <c r="N48" i="1"/>
  <c r="N43" i="1"/>
  <c r="N45" i="1"/>
  <c r="N44" i="1"/>
  <c r="N42" i="1"/>
  <c r="P26" i="1" l="1"/>
  <c r="Q26" i="1"/>
  <c r="R26" i="1"/>
  <c r="S26" i="1"/>
  <c r="O26" i="1"/>
  <c r="N77" i="1"/>
  <c r="T66" i="1"/>
  <c r="T67" i="1"/>
  <c r="T65" i="1"/>
  <c r="T64" i="1"/>
  <c r="T27" i="1"/>
  <c r="T87" i="1"/>
  <c r="T88" i="1" s="1"/>
  <c r="T40" i="1"/>
  <c r="T89" i="1"/>
  <c r="T90" i="1" s="1"/>
  <c r="T75" i="1"/>
  <c r="T58" i="1"/>
  <c r="T71" i="1"/>
  <c r="T73" i="1"/>
  <c r="N76" i="1"/>
  <c r="T74" i="1"/>
  <c r="T30" i="1"/>
  <c r="T32" i="1" s="1"/>
  <c r="T61" i="1"/>
  <c r="T85" i="1"/>
  <c r="T86" i="1" s="1"/>
  <c r="N32" i="1"/>
  <c r="T60" i="1"/>
  <c r="T69" i="1"/>
  <c r="T83" i="1"/>
  <c r="T84" i="1" s="1"/>
  <c r="T72" i="1"/>
  <c r="T68" i="1"/>
  <c r="T81" i="1"/>
  <c r="T82" i="1" s="1"/>
  <c r="T63" i="1"/>
  <c r="T62" i="1"/>
  <c r="T91" i="1"/>
  <c r="T70" i="1"/>
  <c r="T59" i="1"/>
  <c r="U26" i="1"/>
  <c r="U62" i="1" s="1"/>
  <c r="N93" i="1"/>
  <c r="N94" i="1"/>
  <c r="T48" i="1"/>
  <c r="T49" i="1"/>
  <c r="Q38" i="1" s="1"/>
  <c r="T43" i="1"/>
  <c r="T45" i="1"/>
  <c r="T42" i="1"/>
  <c r="T44" i="1"/>
  <c r="R27" i="1" l="1"/>
  <c r="R40" i="1"/>
  <c r="R91" i="1"/>
  <c r="R81" i="1"/>
  <c r="R89" i="1"/>
  <c r="R90" i="1" s="1"/>
  <c r="R83" i="1"/>
  <c r="R84" i="1" s="1"/>
  <c r="R85" i="1"/>
  <c r="R86" i="1" s="1"/>
  <c r="R87" i="1"/>
  <c r="R88" i="1" s="1"/>
  <c r="R34" i="1"/>
  <c r="R35" i="1" s="1"/>
  <c r="R30" i="1"/>
  <c r="R60" i="1"/>
  <c r="R61" i="1"/>
  <c r="R65" i="1"/>
  <c r="R74" i="1"/>
  <c r="R68" i="1"/>
  <c r="R73" i="1"/>
  <c r="R69" i="1"/>
  <c r="R67" i="1"/>
  <c r="R64" i="1"/>
  <c r="R75" i="1"/>
  <c r="R58" i="1"/>
  <c r="R72" i="1"/>
  <c r="R66" i="1"/>
  <c r="R59" i="1"/>
  <c r="R70" i="1"/>
  <c r="R71" i="1"/>
  <c r="R63" i="1"/>
  <c r="R62" i="1"/>
  <c r="Q81" i="1"/>
  <c r="Q89" i="1"/>
  <c r="Q90" i="1" s="1"/>
  <c r="Q91" i="1"/>
  <c r="Q87" i="1"/>
  <c r="Q88" i="1" s="1"/>
  <c r="Q83" i="1"/>
  <c r="Q84" i="1" s="1"/>
  <c r="Q85" i="1"/>
  <c r="Q86" i="1" s="1"/>
  <c r="Q60" i="1"/>
  <c r="Q61" i="1"/>
  <c r="Q74" i="1"/>
  <c r="Q69" i="1"/>
  <c r="Q72" i="1"/>
  <c r="Q64" i="1"/>
  <c r="Q65" i="1"/>
  <c r="Q75" i="1"/>
  <c r="Q68" i="1"/>
  <c r="Q58" i="1"/>
  <c r="Q66" i="1"/>
  <c r="Q67" i="1"/>
  <c r="Q59" i="1"/>
  <c r="Q73" i="1"/>
  <c r="Q63" i="1"/>
  <c r="Q62" i="1"/>
  <c r="Q70" i="1"/>
  <c r="Q71" i="1"/>
  <c r="S36" i="1"/>
  <c r="R36" i="1"/>
  <c r="R38" i="1"/>
  <c r="R39" i="1" s="1"/>
  <c r="U74" i="1"/>
  <c r="U70" i="1"/>
  <c r="Q27" i="1"/>
  <c r="Q34" i="1"/>
  <c r="Q35" i="1" s="1"/>
  <c r="Q30" i="1"/>
  <c r="Q40" i="1"/>
  <c r="Q36" i="1"/>
  <c r="Q39" i="1"/>
  <c r="U71" i="1"/>
  <c r="U60" i="1"/>
  <c r="U68" i="1"/>
  <c r="U59" i="1"/>
  <c r="U66" i="1"/>
  <c r="U64" i="1"/>
  <c r="U40" i="1"/>
  <c r="S89" i="1"/>
  <c r="S90" i="1" s="1"/>
  <c r="S27" i="1"/>
  <c r="S85" i="1"/>
  <c r="S86" i="1" s="1"/>
  <c r="S81" i="1"/>
  <c r="S91" i="1"/>
  <c r="S83" i="1"/>
  <c r="S84" i="1" s="1"/>
  <c r="S30" i="1"/>
  <c r="S40" i="1"/>
  <c r="S34" i="1"/>
  <c r="S35" i="1" s="1"/>
  <c r="S87" i="1"/>
  <c r="S88" i="1" s="1"/>
  <c r="S61" i="1"/>
  <c r="S60" i="1"/>
  <c r="S62" i="1"/>
  <c r="S58" i="1"/>
  <c r="S59" i="1"/>
  <c r="S66" i="1"/>
  <c r="S70" i="1"/>
  <c r="S71" i="1"/>
  <c r="S74" i="1"/>
  <c r="S64" i="1"/>
  <c r="S65" i="1"/>
  <c r="S75" i="1"/>
  <c r="S68" i="1"/>
  <c r="S73" i="1"/>
  <c r="S63" i="1"/>
  <c r="S69" i="1"/>
  <c r="S72" i="1"/>
  <c r="S67" i="1"/>
  <c r="U34" i="1"/>
  <c r="U87" i="1"/>
  <c r="U88" i="1" s="1"/>
  <c r="P85" i="1"/>
  <c r="P86" i="1" s="1"/>
  <c r="P27" i="1"/>
  <c r="P81" i="1"/>
  <c r="P91" i="1"/>
  <c r="P30" i="1"/>
  <c r="P40" i="1"/>
  <c r="P34" i="1"/>
  <c r="P35" i="1" s="1"/>
  <c r="P87" i="1"/>
  <c r="P88" i="1" s="1"/>
  <c r="P83" i="1"/>
  <c r="P84" i="1" s="1"/>
  <c r="P89" i="1"/>
  <c r="P90" i="1" s="1"/>
  <c r="P60" i="1"/>
  <c r="P61" i="1"/>
  <c r="P66" i="1"/>
  <c r="P70" i="1"/>
  <c r="P64" i="1"/>
  <c r="P73" i="1"/>
  <c r="P75" i="1"/>
  <c r="P68" i="1"/>
  <c r="P72" i="1"/>
  <c r="P69" i="1"/>
  <c r="P65" i="1"/>
  <c r="P62" i="1"/>
  <c r="P74" i="1"/>
  <c r="P67" i="1"/>
  <c r="P71" i="1"/>
  <c r="P58" i="1"/>
  <c r="P63" i="1"/>
  <c r="P59" i="1"/>
  <c r="U85" i="1"/>
  <c r="U86" i="1" s="1"/>
  <c r="U81" i="1"/>
  <c r="U82" i="1" s="1"/>
  <c r="T94" i="1"/>
  <c r="U67" i="1"/>
  <c r="S38" i="1"/>
  <c r="S39" i="1" s="1"/>
  <c r="P36" i="1"/>
  <c r="P38" i="1"/>
  <c r="P39" i="1" s="1"/>
  <c r="O36" i="1"/>
  <c r="O38" i="1"/>
  <c r="O39" i="1" s="1"/>
  <c r="U65" i="1"/>
  <c r="O81" i="1"/>
  <c r="O87" i="1"/>
  <c r="O88" i="1" s="1"/>
  <c r="O83" i="1"/>
  <c r="O84" i="1" s="1"/>
  <c r="O30" i="1"/>
  <c r="O40" i="1"/>
  <c r="O91" i="1"/>
  <c r="O34" i="1"/>
  <c r="O35" i="1" s="1"/>
  <c r="O27" i="1"/>
  <c r="O85" i="1"/>
  <c r="O86" i="1" s="1"/>
  <c r="O89" i="1"/>
  <c r="O90" i="1" s="1"/>
  <c r="O60" i="1"/>
  <c r="O61" i="1"/>
  <c r="O64" i="1"/>
  <c r="O58" i="1"/>
  <c r="O70" i="1"/>
  <c r="O65" i="1"/>
  <c r="O75" i="1"/>
  <c r="O68" i="1"/>
  <c r="O72" i="1"/>
  <c r="O66" i="1"/>
  <c r="O73" i="1"/>
  <c r="O74" i="1"/>
  <c r="O69" i="1"/>
  <c r="O63" i="1"/>
  <c r="O67" i="1"/>
  <c r="O71" i="1"/>
  <c r="O59" i="1"/>
  <c r="O62" i="1"/>
  <c r="T31" i="1"/>
  <c r="U83" i="1"/>
  <c r="U84" i="1" s="1"/>
  <c r="T76" i="1"/>
  <c r="U75" i="1"/>
  <c r="U91" i="1"/>
  <c r="U30" i="1"/>
  <c r="U32" i="1" s="1"/>
  <c r="T77" i="1"/>
  <c r="U72" i="1"/>
  <c r="U63" i="1"/>
  <c r="U27" i="1"/>
  <c r="U58" i="1"/>
  <c r="U69" i="1"/>
  <c r="V26" i="1"/>
  <c r="V34" i="1" s="1"/>
  <c r="T93" i="1"/>
  <c r="U61" i="1"/>
  <c r="U89" i="1"/>
  <c r="U90" i="1" s="1"/>
  <c r="U73" i="1"/>
  <c r="U51" i="1"/>
  <c r="U49" i="1"/>
  <c r="U48" i="1"/>
  <c r="U44" i="1"/>
  <c r="U45" i="1"/>
  <c r="U42" i="1"/>
  <c r="U43" i="1"/>
  <c r="R77" i="1" l="1"/>
  <c r="P77" i="1"/>
  <c r="Q76" i="1"/>
  <c r="Q77" i="1"/>
  <c r="R31" i="1"/>
  <c r="R32" i="1"/>
  <c r="R33" i="1" s="1"/>
  <c r="Q82" i="1"/>
  <c r="Q94" i="1" s="1"/>
  <c r="Q93" i="1"/>
  <c r="R76" i="1"/>
  <c r="R82" i="1"/>
  <c r="R94" i="1" s="1"/>
  <c r="R93" i="1"/>
  <c r="R37" i="1"/>
  <c r="R28" i="1" s="1"/>
  <c r="R29" i="1" s="1"/>
  <c r="U31" i="1"/>
  <c r="U76" i="1"/>
  <c r="Q31" i="1"/>
  <c r="Q32" i="1"/>
  <c r="Q33" i="1" s="1"/>
  <c r="Q37" i="1"/>
  <c r="Q28" i="1" s="1"/>
  <c r="Q29" i="1" s="1"/>
  <c r="S77" i="1"/>
  <c r="S82" i="1"/>
  <c r="S94" i="1" s="1"/>
  <c r="S93" i="1"/>
  <c r="O77" i="1"/>
  <c r="O93" i="1"/>
  <c r="O82" i="1"/>
  <c r="O94" i="1" s="1"/>
  <c r="P31" i="1"/>
  <c r="P32" i="1"/>
  <c r="P33" i="1" s="1"/>
  <c r="O31" i="1"/>
  <c r="O32" i="1"/>
  <c r="O33" i="1" s="1"/>
  <c r="P76" i="1"/>
  <c r="P93" i="1"/>
  <c r="P82" i="1"/>
  <c r="P94" i="1" s="1"/>
  <c r="V72" i="1"/>
  <c r="O37" i="1"/>
  <c r="O28" i="1" s="1"/>
  <c r="O29" i="1" s="1"/>
  <c r="S76" i="1"/>
  <c r="P37" i="1"/>
  <c r="P28" i="1" s="1"/>
  <c r="P29" i="1" s="1"/>
  <c r="S31" i="1"/>
  <c r="S32" i="1"/>
  <c r="S33" i="1" s="1"/>
  <c r="O76" i="1"/>
  <c r="V71" i="1"/>
  <c r="V59" i="1"/>
  <c r="V60" i="1"/>
  <c r="S37" i="1"/>
  <c r="S28" i="1" s="1"/>
  <c r="S29" i="1" s="1"/>
  <c r="V87" i="1"/>
  <c r="V88" i="1" s="1"/>
  <c r="V64" i="1"/>
  <c r="V70" i="1"/>
  <c r="V85" i="1"/>
  <c r="V86" i="1" s="1"/>
  <c r="U77" i="1"/>
  <c r="V67" i="1"/>
  <c r="V69" i="1"/>
  <c r="V75" i="1"/>
  <c r="V73" i="1"/>
  <c r="V61" i="1"/>
  <c r="V58" i="1"/>
  <c r="V65" i="1"/>
  <c r="V62" i="1"/>
  <c r="V91" i="1"/>
  <c r="V27" i="1"/>
  <c r="V66" i="1"/>
  <c r="V74" i="1"/>
  <c r="V63" i="1"/>
  <c r="W26" i="1"/>
  <c r="W34" i="1" s="1"/>
  <c r="V89" i="1"/>
  <c r="V90" i="1" s="1"/>
  <c r="V68" i="1"/>
  <c r="V40" i="1"/>
  <c r="V81" i="1"/>
  <c r="V83" i="1"/>
  <c r="V84" i="1" s="1"/>
  <c r="V30" i="1"/>
  <c r="V31" i="1" s="1"/>
  <c r="U93" i="1"/>
  <c r="U94" i="1"/>
  <c r="V51" i="1"/>
  <c r="V49" i="1"/>
  <c r="T41" i="1" s="1"/>
  <c r="V48" i="1"/>
  <c r="V45" i="1"/>
  <c r="V42" i="1"/>
  <c r="V44" i="1"/>
  <c r="V43" i="1"/>
  <c r="V82" i="1"/>
  <c r="X26" i="1" l="1"/>
  <c r="X34" i="1" s="1"/>
  <c r="W62" i="1"/>
  <c r="W66" i="1"/>
  <c r="W64" i="1"/>
  <c r="W91" i="1"/>
  <c r="W30" i="1"/>
  <c r="W74" i="1"/>
  <c r="W73" i="1"/>
  <c r="W59" i="1"/>
  <c r="W87" i="1"/>
  <c r="W88" i="1" s="1"/>
  <c r="W81" i="1"/>
  <c r="W82" i="1" s="1"/>
  <c r="W60" i="1"/>
  <c r="W68" i="1"/>
  <c r="W85" i="1"/>
  <c r="W86" i="1" s="1"/>
  <c r="W70" i="1"/>
  <c r="W61" i="1"/>
  <c r="W27" i="1"/>
  <c r="V94" i="1"/>
  <c r="W65" i="1"/>
  <c r="W58" i="1"/>
  <c r="V93" i="1"/>
  <c r="V77" i="1"/>
  <c r="V32" i="1"/>
  <c r="W83" i="1"/>
  <c r="W84" i="1" s="1"/>
  <c r="W69" i="1"/>
  <c r="W71" i="1"/>
  <c r="W67" i="1"/>
  <c r="V76" i="1"/>
  <c r="W63" i="1"/>
  <c r="W75" i="1"/>
  <c r="W40" i="1"/>
  <c r="W72" i="1"/>
  <c r="W89" i="1"/>
  <c r="W90" i="1" s="1"/>
  <c r="K33" i="1"/>
  <c r="L33" i="1"/>
  <c r="M33" i="1"/>
  <c r="N33" i="1"/>
  <c r="T33" i="1"/>
  <c r="T36" i="1"/>
  <c r="K35" i="1"/>
  <c r="M35" i="1"/>
  <c r="L35" i="1"/>
  <c r="T35" i="1"/>
  <c r="N35" i="1"/>
  <c r="T38" i="1"/>
  <c r="T39" i="1" s="1"/>
  <c r="J36" i="1"/>
  <c r="K38" i="1"/>
  <c r="K39" i="1" s="1"/>
  <c r="L38" i="1"/>
  <c r="L39" i="1" s="1"/>
  <c r="I36" i="1"/>
  <c r="N38" i="1"/>
  <c r="N39" i="1" s="1"/>
  <c r="K36" i="1"/>
  <c r="M38" i="1"/>
  <c r="M39" i="1" s="1"/>
  <c r="L36" i="1"/>
  <c r="M36" i="1"/>
  <c r="N36" i="1"/>
  <c r="W49" i="1"/>
  <c r="W51" i="1"/>
  <c r="W31" i="1"/>
  <c r="W32" i="1"/>
  <c r="W42" i="1"/>
  <c r="W44" i="1"/>
  <c r="W48" i="1"/>
  <c r="W43" i="1"/>
  <c r="W45" i="1"/>
  <c r="X27" i="1"/>
  <c r="X30" i="1"/>
  <c r="X32" i="1" s="1"/>
  <c r="X40" i="1"/>
  <c r="Y26" i="1"/>
  <c r="X61" i="1"/>
  <c r="X73" i="1"/>
  <c r="X70" i="1"/>
  <c r="X63" i="1"/>
  <c r="X59" i="1"/>
  <c r="X85" i="1"/>
  <c r="X86" i="1" s="1"/>
  <c r="X91" i="1"/>
  <c r="X68" i="1"/>
  <c r="X62" i="1"/>
  <c r="X75" i="1"/>
  <c r="X89" i="1"/>
  <c r="X90" i="1" s="1"/>
  <c r="X64" i="1"/>
  <c r="X65" i="1"/>
  <c r="X72" i="1"/>
  <c r="X83" i="1"/>
  <c r="X84" i="1" s="1"/>
  <c r="X66" i="1"/>
  <c r="X87" i="1"/>
  <c r="X88" i="1" s="1"/>
  <c r="X60" i="1"/>
  <c r="X67" i="1"/>
  <c r="X58" i="1"/>
  <c r="X69" i="1"/>
  <c r="X71" i="1"/>
  <c r="X81" i="1"/>
  <c r="X74" i="1"/>
  <c r="W76" i="1" l="1"/>
  <c r="W94" i="1"/>
  <c r="W77" i="1"/>
  <c r="W93" i="1"/>
  <c r="T37" i="1"/>
  <c r="T28" i="1" s="1"/>
  <c r="T29" i="1" s="1"/>
  <c r="I37" i="1"/>
  <c r="I28" i="1" s="1"/>
  <c r="I29" i="1" s="1"/>
  <c r="J37" i="1"/>
  <c r="J28" i="1" s="1"/>
  <c r="J29" i="1" s="1"/>
  <c r="N37" i="1"/>
  <c r="N28" i="1" s="1"/>
  <c r="N29" i="1" s="1"/>
  <c r="L37" i="1"/>
  <c r="L28" i="1" s="1"/>
  <c r="L29" i="1" s="1"/>
  <c r="M37" i="1"/>
  <c r="M28" i="1" s="1"/>
  <c r="M29" i="1" s="1"/>
  <c r="K37" i="1"/>
  <c r="K28" i="1" s="1"/>
  <c r="K29" i="1" s="1"/>
  <c r="Y30" i="1"/>
  <c r="Y34" i="1"/>
  <c r="X31" i="1"/>
  <c r="X49" i="1"/>
  <c r="X51" i="1"/>
  <c r="X42" i="1"/>
  <c r="X44" i="1"/>
  <c r="X45" i="1"/>
  <c r="X48" i="1"/>
  <c r="X43" i="1"/>
  <c r="Y40" i="1"/>
  <c r="X76" i="1"/>
  <c r="X77" i="1"/>
  <c r="X82" i="1"/>
  <c r="X94" i="1" s="1"/>
  <c r="X93" i="1"/>
  <c r="Z26" i="1"/>
  <c r="Y63" i="1"/>
  <c r="Y68" i="1"/>
  <c r="Y62" i="1"/>
  <c r="Y61" i="1"/>
  <c r="Y67" i="1"/>
  <c r="Y91" i="1"/>
  <c r="Y58" i="1"/>
  <c r="Y72" i="1"/>
  <c r="Y87" i="1"/>
  <c r="Y88" i="1" s="1"/>
  <c r="Y66" i="1"/>
  <c r="Y73" i="1"/>
  <c r="Y74" i="1"/>
  <c r="Y70" i="1"/>
  <c r="Y85" i="1"/>
  <c r="Y86" i="1" s="1"/>
  <c r="Y27" i="1"/>
  <c r="Y83" i="1"/>
  <c r="Y84" i="1" s="1"/>
  <c r="Y65" i="1"/>
  <c r="Y71" i="1"/>
  <c r="Y64" i="1"/>
  <c r="Y59" i="1"/>
  <c r="Y89" i="1"/>
  <c r="Y90" i="1" s="1"/>
  <c r="Y81" i="1"/>
  <c r="Y69" i="1"/>
  <c r="Y75" i="1"/>
  <c r="Y60" i="1"/>
  <c r="Y49" i="1" l="1"/>
  <c r="Y51" i="1"/>
  <c r="Z30" i="1"/>
  <c r="Z34" i="1"/>
  <c r="Y31" i="1"/>
  <c r="Y32" i="1"/>
  <c r="Y45" i="1"/>
  <c r="Y44" i="1"/>
  <c r="Y42" i="1"/>
  <c r="Y48" i="1"/>
  <c r="Y43" i="1"/>
  <c r="Z40" i="1"/>
  <c r="Y76" i="1"/>
  <c r="Y82" i="1"/>
  <c r="Y94" i="1" s="1"/>
  <c r="Y93" i="1"/>
  <c r="AA26" i="1"/>
  <c r="Z61" i="1"/>
  <c r="Z64" i="1"/>
  <c r="Z66" i="1"/>
  <c r="Z65" i="1"/>
  <c r="Z75" i="1"/>
  <c r="Z87" i="1"/>
  <c r="Z88" i="1" s="1"/>
  <c r="Z62" i="1"/>
  <c r="Z68" i="1"/>
  <c r="Z72" i="1"/>
  <c r="Z83" i="1"/>
  <c r="Z84" i="1" s="1"/>
  <c r="Z67" i="1"/>
  <c r="Z85" i="1"/>
  <c r="Z86" i="1" s="1"/>
  <c r="Z71" i="1"/>
  <c r="Z91" i="1"/>
  <c r="Z59" i="1"/>
  <c r="Z69" i="1"/>
  <c r="Z89" i="1"/>
  <c r="Z90" i="1" s="1"/>
  <c r="Z81" i="1"/>
  <c r="Z60" i="1"/>
  <c r="Z63" i="1"/>
  <c r="Z58" i="1"/>
  <c r="Z74" i="1"/>
  <c r="Z73" i="1"/>
  <c r="Z27" i="1"/>
  <c r="Z70" i="1"/>
  <c r="Y77" i="1"/>
  <c r="AA30" i="1" l="1"/>
  <c r="AA34" i="1"/>
  <c r="Z49" i="1"/>
  <c r="Z51" i="1"/>
  <c r="Z31" i="1"/>
  <c r="Z32" i="1"/>
  <c r="Z45" i="1"/>
  <c r="Z42" i="1"/>
  <c r="Z44" i="1"/>
  <c r="Z48" i="1"/>
  <c r="Z43" i="1"/>
  <c r="AA40" i="1"/>
  <c r="Z77" i="1"/>
  <c r="Z82" i="1"/>
  <c r="Z94" i="1" s="1"/>
  <c r="Z93" i="1"/>
  <c r="Z76" i="1"/>
  <c r="AB26" i="1"/>
  <c r="AA85" i="1"/>
  <c r="AA86" i="1" s="1"/>
  <c r="AA63" i="1"/>
  <c r="AA59" i="1"/>
  <c r="AA68" i="1"/>
  <c r="AA89" i="1"/>
  <c r="AA90" i="1" s="1"/>
  <c r="AA61" i="1"/>
  <c r="AA87" i="1"/>
  <c r="AA88" i="1" s="1"/>
  <c r="AA67" i="1"/>
  <c r="AA60" i="1"/>
  <c r="AA65" i="1"/>
  <c r="AA81" i="1"/>
  <c r="AA64" i="1"/>
  <c r="AA69" i="1"/>
  <c r="AA71" i="1"/>
  <c r="AA27" i="1"/>
  <c r="AA83" i="1"/>
  <c r="AA84" i="1" s="1"/>
  <c r="AA74" i="1"/>
  <c r="AA62" i="1"/>
  <c r="AA75" i="1"/>
  <c r="AA58" i="1"/>
  <c r="AA73" i="1"/>
  <c r="AA72" i="1"/>
  <c r="AA66" i="1"/>
  <c r="AA91" i="1"/>
  <c r="AA70" i="1"/>
  <c r="AA51" i="1" l="1"/>
  <c r="AA49" i="1"/>
  <c r="AB30" i="1"/>
  <c r="AB34" i="1"/>
  <c r="AA31" i="1"/>
  <c r="AA32" i="1"/>
  <c r="AA42" i="1"/>
  <c r="AA44" i="1"/>
  <c r="AA48" i="1"/>
  <c r="AA43" i="1"/>
  <c r="AA45" i="1"/>
  <c r="AB40" i="1"/>
  <c r="AC26" i="1"/>
  <c r="AA76" i="1"/>
  <c r="AA77" i="1"/>
  <c r="AA82" i="1"/>
  <c r="AA94" i="1" s="1"/>
  <c r="AA93" i="1"/>
  <c r="AB64" i="1"/>
  <c r="AB70" i="1"/>
  <c r="AB67" i="1"/>
  <c r="AB59" i="1"/>
  <c r="AB61" i="1"/>
  <c r="AB58" i="1"/>
  <c r="AB91" i="1"/>
  <c r="AB68" i="1"/>
  <c r="AB89" i="1"/>
  <c r="AB90" i="1" s="1"/>
  <c r="AB62" i="1"/>
  <c r="AB71" i="1"/>
  <c r="AB65" i="1"/>
  <c r="AB73" i="1"/>
  <c r="AB87" i="1"/>
  <c r="AB88" i="1" s="1"/>
  <c r="AB83" i="1"/>
  <c r="AB84" i="1" s="1"/>
  <c r="AB81" i="1"/>
  <c r="AB60" i="1"/>
  <c r="AB74" i="1"/>
  <c r="AB75" i="1"/>
  <c r="AB72" i="1"/>
  <c r="AB85" i="1"/>
  <c r="AB86" i="1" s="1"/>
  <c r="AB66" i="1"/>
  <c r="AB69" i="1"/>
  <c r="AB63" i="1"/>
  <c r="AB27" i="1"/>
  <c r="U33" i="1" l="1"/>
  <c r="U36" i="1"/>
  <c r="U35" i="1"/>
  <c r="U41" i="1"/>
  <c r="U38" i="1"/>
  <c r="U39" i="1" s="1"/>
  <c r="V41" i="1"/>
  <c r="V38" i="1"/>
  <c r="V39" i="1" s="1"/>
  <c r="V35" i="1"/>
  <c r="V33" i="1"/>
  <c r="V36" i="1"/>
  <c r="AC30" i="1"/>
  <c r="AC32" i="1" s="1"/>
  <c r="AC34" i="1"/>
  <c r="AB51" i="1"/>
  <c r="AB49" i="1"/>
  <c r="AB31" i="1"/>
  <c r="AB32" i="1"/>
  <c r="AB48" i="1"/>
  <c r="AB43" i="1"/>
  <c r="AB42" i="1"/>
  <c r="AB44" i="1"/>
  <c r="AB45" i="1"/>
  <c r="AC40" i="1"/>
  <c r="AD26" i="1"/>
  <c r="D22" i="1" s="1"/>
  <c r="AC81" i="1"/>
  <c r="AC87" i="1"/>
  <c r="AC88" i="1" s="1"/>
  <c r="AC83" i="1"/>
  <c r="AC84" i="1" s="1"/>
  <c r="AC27" i="1"/>
  <c r="AC89" i="1"/>
  <c r="AC90" i="1" s="1"/>
  <c r="AC85" i="1"/>
  <c r="AC86" i="1" s="1"/>
  <c r="AC91" i="1"/>
  <c r="AC60" i="1"/>
  <c r="AC61" i="1"/>
  <c r="AC67" i="1"/>
  <c r="AC62" i="1"/>
  <c r="AC75" i="1"/>
  <c r="AC66" i="1"/>
  <c r="AC74" i="1"/>
  <c r="AC72" i="1"/>
  <c r="AC58" i="1"/>
  <c r="AC63" i="1"/>
  <c r="AC73" i="1"/>
  <c r="AC68" i="1"/>
  <c r="AC59" i="1"/>
  <c r="AC69" i="1"/>
  <c r="AC70" i="1"/>
  <c r="AC64" i="1"/>
  <c r="AC71" i="1"/>
  <c r="AC65" i="1"/>
  <c r="AB76" i="1"/>
  <c r="AB82" i="1"/>
  <c r="AB94" i="1" s="1"/>
  <c r="AB93" i="1"/>
  <c r="AB77" i="1"/>
  <c r="U37" i="1" l="1"/>
  <c r="U28" i="1" s="1"/>
  <c r="U29" i="1" s="1"/>
  <c r="V37" i="1"/>
  <c r="V28" i="1" s="1"/>
  <c r="V29" i="1" s="1"/>
  <c r="W35" i="1"/>
  <c r="X33" i="1"/>
  <c r="Y33" i="1"/>
  <c r="Z33" i="1"/>
  <c r="X35" i="1"/>
  <c r="W33" i="1"/>
  <c r="AA33" i="1"/>
  <c r="Y35" i="1"/>
  <c r="Z35" i="1"/>
  <c r="AA35" i="1"/>
  <c r="W38" i="1"/>
  <c r="W39" i="1" s="1"/>
  <c r="W41" i="1"/>
  <c r="W36" i="1"/>
  <c r="X36" i="1"/>
  <c r="X41" i="1"/>
  <c r="X38" i="1"/>
  <c r="X39" i="1" s="1"/>
  <c r="Y38" i="1"/>
  <c r="Y39" i="1" s="1"/>
  <c r="Y41" i="1"/>
  <c r="Y36" i="1"/>
  <c r="Z38" i="1"/>
  <c r="Z39" i="1" s="1"/>
  <c r="Z41" i="1"/>
  <c r="Z36" i="1"/>
  <c r="AA38" i="1"/>
  <c r="AA39" i="1" s="1"/>
  <c r="AA36" i="1"/>
  <c r="AA41" i="1"/>
  <c r="AD30" i="1"/>
  <c r="AD34" i="1"/>
  <c r="AC49" i="1"/>
  <c r="AC51" i="1"/>
  <c r="AC31" i="1"/>
  <c r="AC43" i="1"/>
  <c r="AC44" i="1"/>
  <c r="AC42" i="1"/>
  <c r="AC45" i="1"/>
  <c r="AC48" i="1"/>
  <c r="AD40" i="1"/>
  <c r="AC82" i="1"/>
  <c r="AC94" i="1" s="1"/>
  <c r="AC93" i="1"/>
  <c r="AC76" i="1"/>
  <c r="AC77" i="1"/>
  <c r="AD81" i="1"/>
  <c r="AD87" i="1"/>
  <c r="AD88" i="1" s="1"/>
  <c r="AD89" i="1"/>
  <c r="AD90" i="1" s="1"/>
  <c r="AD85" i="1"/>
  <c r="AD86" i="1" s="1"/>
  <c r="AD91" i="1"/>
  <c r="AD83" i="1"/>
  <c r="AD84" i="1" s="1"/>
  <c r="AD61" i="1"/>
  <c r="AE26" i="1"/>
  <c r="AD27" i="1"/>
  <c r="AD60" i="1"/>
  <c r="AD66" i="1"/>
  <c r="AD62" i="1"/>
  <c r="AD75" i="1"/>
  <c r="AD59" i="1"/>
  <c r="AD67" i="1"/>
  <c r="AD63" i="1"/>
  <c r="AD69" i="1"/>
  <c r="AD74" i="1"/>
  <c r="AD65" i="1"/>
  <c r="AD58" i="1"/>
  <c r="AD68" i="1"/>
  <c r="AD70" i="1"/>
  <c r="AD64" i="1"/>
  <c r="AD73" i="1"/>
  <c r="AD72" i="1"/>
  <c r="AD71" i="1"/>
  <c r="AE70" i="1" l="1"/>
  <c r="AE30" i="1"/>
  <c r="AA37" i="1"/>
  <c r="AA28" i="1" s="1"/>
  <c r="AA29" i="1" s="1"/>
  <c r="X37" i="1"/>
  <c r="X28" i="1" s="1"/>
  <c r="X29" i="1" s="1"/>
  <c r="Y37" i="1"/>
  <c r="Y28" i="1" s="1"/>
  <c r="Y29" i="1" s="1"/>
  <c r="Z37" i="1"/>
  <c r="Z28" i="1" s="1"/>
  <c r="Z29" i="1" s="1"/>
  <c r="W37" i="1"/>
  <c r="W28" i="1" s="1"/>
  <c r="W29" i="1" s="1"/>
  <c r="AD49" i="1"/>
  <c r="AD51" i="1"/>
  <c r="AE40" i="1"/>
  <c r="AE34" i="1"/>
  <c r="AD31" i="1"/>
  <c r="AD32" i="1"/>
  <c r="AD44" i="1"/>
  <c r="AD43" i="1"/>
  <c r="AD42" i="1"/>
  <c r="AD45" i="1"/>
  <c r="AD48" i="1"/>
  <c r="AD77" i="1"/>
  <c r="AD93" i="1"/>
  <c r="AD82" i="1"/>
  <c r="AD94" i="1" s="1"/>
  <c r="AD76" i="1"/>
  <c r="AE85" i="1"/>
  <c r="AE86" i="1" s="1"/>
  <c r="AE81" i="1"/>
  <c r="AE87" i="1"/>
  <c r="AE88" i="1" s="1"/>
  <c r="AE83" i="1"/>
  <c r="AE84" i="1" s="1"/>
  <c r="AE89" i="1"/>
  <c r="AE90" i="1" s="1"/>
  <c r="AE91" i="1"/>
  <c r="AE61" i="1"/>
  <c r="AE60" i="1"/>
  <c r="AE71" i="1"/>
  <c r="AE65" i="1"/>
  <c r="AE68" i="1"/>
  <c r="AE59" i="1"/>
  <c r="AE66" i="1"/>
  <c r="AE64" i="1"/>
  <c r="AE72" i="1"/>
  <c r="AE69" i="1"/>
  <c r="AE74" i="1"/>
  <c r="AE67" i="1"/>
  <c r="AE62" i="1"/>
  <c r="AE27" i="1"/>
  <c r="AE58" i="1"/>
  <c r="AE75" i="1"/>
  <c r="AE63" i="1"/>
  <c r="AE73" i="1"/>
  <c r="AB35" i="1" l="1"/>
  <c r="AB36" i="1"/>
  <c r="AB38" i="1"/>
  <c r="AB39" i="1" s="1"/>
  <c r="AB41" i="1"/>
  <c r="AB33" i="1"/>
  <c r="AE32" i="1"/>
  <c r="AE31" i="1"/>
  <c r="AE49" i="1"/>
  <c r="AE51" i="1"/>
  <c r="AE45" i="1"/>
  <c r="AE42" i="1"/>
  <c r="AE48" i="1"/>
  <c r="AE43" i="1"/>
  <c r="AE44" i="1"/>
  <c r="AE77" i="1"/>
  <c r="AE76" i="1"/>
  <c r="AE82" i="1"/>
  <c r="AE94" i="1" s="1"/>
  <c r="AE93" i="1"/>
  <c r="AB37" i="1" l="1"/>
  <c r="AB28" i="1" s="1"/>
  <c r="AB29" i="1" s="1"/>
  <c r="AC35" i="1"/>
  <c r="AC33" i="1"/>
  <c r="AD33" i="1"/>
  <c r="AD35" i="1"/>
  <c r="AC41" i="1"/>
  <c r="AC36" i="1"/>
  <c r="AC38" i="1"/>
  <c r="AC39" i="1" s="1"/>
  <c r="AD36" i="1"/>
  <c r="AD38" i="1"/>
  <c r="AD39" i="1" s="1"/>
  <c r="AD41" i="1"/>
  <c r="AF49" i="1"/>
  <c r="AF41" i="1" s="1"/>
  <c r="AF51" i="1"/>
  <c r="AF36" i="1" s="1"/>
  <c r="AF45" i="1"/>
  <c r="AF42" i="1"/>
  <c r="AF48" i="1"/>
  <c r="AG25" i="1"/>
  <c r="AF44" i="1"/>
  <c r="AF43" i="1"/>
  <c r="AE36" i="1" l="1"/>
  <c r="AE41" i="1"/>
  <c r="AE38" i="1"/>
  <c r="AE39" i="1" s="1"/>
  <c r="AE35" i="1"/>
  <c r="AE33" i="1"/>
  <c r="AF33" i="1"/>
  <c r="AC37" i="1"/>
  <c r="AC28" i="1" s="1"/>
  <c r="AC29" i="1" s="1"/>
  <c r="AD37" i="1"/>
  <c r="AD28" i="1" s="1"/>
  <c r="AD29" i="1" s="1"/>
  <c r="AF38" i="1"/>
  <c r="AF39" i="1" s="1"/>
  <c r="AF37" i="1" s="1"/>
  <c r="AG49" i="1"/>
  <c r="AG48" i="1"/>
  <c r="AG51" i="1"/>
  <c r="AE37" i="1" l="1"/>
  <c r="AE28" i="1" s="1"/>
  <c r="AE29" i="1" s="1"/>
  <c r="AG41" i="1"/>
  <c r="AF35" i="1"/>
  <c r="AF28" i="1" s="1"/>
  <c r="AF29" i="1" s="1"/>
</calcChain>
</file>

<file path=xl/sharedStrings.xml><?xml version="1.0" encoding="utf-8"?>
<sst xmlns="http://schemas.openxmlformats.org/spreadsheetml/2006/main" count="395" uniqueCount="308">
  <si>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</si>
  <si>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</si>
  <si>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</si>
  <si>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</si>
  <si>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</si>
  <si>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</si>
  <si>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</si>
  <si>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</si>
  <si>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</si>
  <si>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</si>
  <si>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</si>
  <si>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</si>
  <si>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</si>
  <si>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</si>
  <si>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</si>
  <si>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</si>
  <si>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</si>
  <si>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</si>
  <si>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</si>
  <si>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</si>
  <si>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</si>
  <si>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</si>
  <si>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</si>
  <si>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</si>
  <si>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</si>
  <si>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</si>
  <si>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</si>
  <si>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</si>
  <si>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</si>
  <si>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</si>
  <si>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</si>
  <si>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</si>
  <si>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</si>
  <si>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</si>
  <si>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</si>
  <si>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</si>
  <si>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</si>
  <si>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</si>
  <si>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</si>
  <si>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</si>
  <si>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</si>
  <si>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</si>
  <si>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</si>
  <si>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</si>
  <si>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</si>
  <si>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</si>
  <si>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</si>
  <si>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</si>
  <si>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</si>
  <si>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</si>
  <si>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</si>
  <si>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</si>
  <si>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</si>
  <si>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</si>
  <si>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</si>
  <si>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</si>
  <si>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</si>
  <si>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</si>
  <si>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</si>
  <si>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</si>
  <si>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</si>
  <si>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</si>
  <si>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</si>
  <si>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</si>
  <si>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</si>
  <si>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</si>
  <si>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</si>
  <si>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</si>
  <si>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</si>
  <si>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</si>
  <si>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</si>
  <si>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</si>
  <si>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</si>
  <si>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</si>
  <si>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</si>
  <si>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</si>
  <si>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</si>
  <si>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</si>
  <si>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</si>
  <si>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</si>
  <si>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</si>
  <si>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</si>
  <si>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</si>
  <si>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</si>
  <si>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</si>
  <si>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</si>
  <si>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</si>
  <si>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</si>
  <si>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</si>
  <si>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</si>
  <si>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</si>
  <si>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</si>
  <si>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</si>
  <si>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</si>
  <si>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</si>
  <si>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</si>
  <si>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</si>
  <si>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</si>
  <si>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</si>
  <si>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</si>
  <si>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</si>
  <si>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</si>
  <si>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</si>
  <si>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</si>
  <si>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</si>
  <si>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</si>
  <si>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</si>
  <si>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</si>
  <si>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</si>
  <si>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</si>
  <si>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</si>
  <si>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</si>
  <si>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</si>
  <si>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</si>
  <si>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</si>
  <si>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</si>
  <si>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</si>
  <si>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</si>
  <si>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</si>
  <si>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</si>
  <si>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</si>
  <si>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</si>
  <si>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</si>
  <si>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</si>
  <si>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</si>
  <si>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</si>
  <si>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</si>
  <si>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</si>
  <si>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</si>
  <si>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</si>
  <si>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</si>
  <si>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</si>
  <si>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</si>
  <si>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</si>
  <si>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</si>
  <si>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</si>
  <si>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</si>
  <si>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</si>
  <si>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</si>
  <si>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</si>
  <si>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</si>
  <si>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</si>
  <si>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</si>
  <si>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</si>
  <si>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</si>
  <si>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</si>
  <si>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</si>
  <si>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</si>
  <si>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</si>
  <si>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</si>
  <si>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</si>
  <si>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</si>
  <si>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</si>
  <si>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</si>
  <si>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</si>
  <si>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</si>
  <si>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</si>
  <si>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</si>
  <si>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</si>
  <si>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</si>
  <si>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</si>
  <si>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</si>
  <si>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</si>
  <si>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</si>
  <si>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</si>
  <si>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</si>
  <si>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</si>
  <si>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</si>
  <si>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</si>
  <si>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</si>
  <si>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</si>
  <si>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</si>
  <si>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</si>
  <si>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</si>
  <si>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</si>
  <si>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</si>
  <si>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</si>
  <si>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</si>
  <si>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</si>
  <si>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</si>
  <si>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</si>
  <si>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</si>
  <si>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</si>
  <si>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</si>
  <si>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</si>
  <si>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</si>
  <si>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</si>
  <si>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</si>
  <si>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</si>
  <si>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</si>
  <si>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</si>
  <si>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</si>
  <si>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</si>
  <si>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</si>
  <si>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</si>
  <si>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</si>
  <si>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</si>
  <si>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</si>
  <si>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</si>
  <si>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</si>
  <si>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</si>
  <si>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</si>
  <si>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</si>
  <si>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</si>
  <si>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</si>
  <si>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</si>
  <si>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</si>
  <si>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</si>
  <si>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</si>
  <si>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</si>
  <si>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</si>
  <si>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</si>
  <si>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</si>
  <si>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</si>
  <si>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</si>
  <si>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</si>
  <si>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</si>
  <si>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Stage 1 Shutdown</t>
  </si>
  <si>
    <t>Stage 2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</si>
  <si>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</si>
  <si>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</si>
  <si>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</si>
  <si>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</si>
  <si>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</si>
  <si>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</si>
  <si>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</si>
  <si>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</si>
  <si>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</si>
  <si>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</si>
  <si>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</si>
  <si>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</si>
  <si>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</si>
  <si>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</si>
  <si>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</si>
  <si>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</si>
  <si>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</si>
  <si>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</si>
  <si>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</si>
  <si>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</si>
  <si>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</si>
  <si>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</si>
  <si>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</si>
  <si>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</si>
  <si>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</si>
  <si>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</si>
  <si>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</si>
  <si>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</si>
  <si>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</si>
  <si>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</si>
  <si>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</si>
  <si>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</si>
  <si>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</si>
  <si>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</si>
  <si>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</si>
  <si>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</si>
  <si>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</si>
  <si>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</si>
  <si>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</si>
  <si>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</si>
  <si>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</si>
  <si>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</si>
  <si>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</si>
  <si>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</si>
  <si>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</si>
  <si>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</si>
  <si>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</si>
  <si>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</si>
  <si>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</si>
  <si>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</si>
  <si>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</si>
  <si>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Outdoor gatherings &lt; 500</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</si>
  <si>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</si>
  <si>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</si>
  <si>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</si>
  <si>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</si>
  <si>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</si>
  <si>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</si>
  <si>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</si>
  <si>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</si>
  <si>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</si>
  <si>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</si>
  <si>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</si>
  <si>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</si>
  <si>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</si>
  <si>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</si>
  <si>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</si>
  <si>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</si>
  <si>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</si>
  <si>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</si>
  <si>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</si>
  <si>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</si>
  <si>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</si>
  <si>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</si>
  <si>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SA, WA, NT borders closed</t>
  </si>
  <si>
    <t>QLD border closed</t>
  </si>
  <si>
    <t>AU borders closed to non-citizens, 9PM 20/3/2020</t>
  </si>
  <si>
    <t>Deaths decreasing from 7/4</t>
  </si>
  <si>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</si>
  <si>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</si>
  <si>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</si>
  <si>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</si>
  <si>
    <t>Male</t>
  </si>
  <si>
    <t>Female</t>
  </si>
  <si>
    <t>Confirmed Infections</t>
  </si>
  <si>
    <t>Chinese mortality</t>
  </si>
  <si>
    <t>Italian mortality</t>
  </si>
  <si>
    <t>Spanish mortality</t>
  </si>
  <si>
    <t>Three step plan announced to begin opening back up, each state to determine their own timing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</si>
</sst>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2"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dotted">
        <color auto="1"/>
      </left>
      <right style="dotted">
        <color auto="1"/>
      </right>
      <top/>
      <bottom style="dotted">
        <color auto="1"/>
      </bottom>
      <diagonal/>
    </border>
    <border>
      <left/>
      <right/>
      <top/>
      <bottom style="thin">
        <color theme="5" tint="-0.249977111117893"/>
      </bottom>
      <diagonal/>
    </border>
    <border>
      <left style="thin">
        <color theme="5" tint="-0.249977111117893"/>
      </left>
      <right/>
      <top style="thin">
        <color theme="5" tint="-0.249977111117893"/>
      </top>
      <bottom style="thin">
        <color theme="5" tint="-0.249977111117893"/>
      </bottom>
      <diagonal/>
    </border>
    <border>
      <left/>
      <right/>
      <top style="thin">
        <color theme="5" tint="-0.249977111117893"/>
      </top>
      <bottom style="thin">
        <color theme="5" tint="-0.249977111117893"/>
      </bottom>
      <diagonal/>
    </border>
    <border>
      <left/>
      <right style="thin">
        <color theme="5" tint="-0.249977111117893"/>
      </right>
      <top style="thin">
        <color theme="5" tint="-0.249977111117893"/>
      </top>
      <bottom style="thin">
        <color theme="5" tint="-0.249977111117893"/>
      </bottom>
      <diagonal/>
    </border>
    <border>
      <left/>
      <right style="thin">
        <color indexed="64"/>
      </right>
      <top/>
      <bottom style="thin">
        <color theme="5" tint="-0.249977111117893"/>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07">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2" borderId="3" xfId="0" applyNumberFormat="1" applyFill="1" applyBorder="1"/>
    <xf numFmtId="171" fontId="0" fillId="2" borderId="0" xfId="0" applyNumberFormat="1" applyFill="1" applyBorder="1"/>
    <xf numFmtId="171" fontId="0" fillId="2" borderId="4" xfId="0" applyNumberFormat="1" applyFill="1" applyBorder="1"/>
    <xf numFmtId="171" fontId="0" fillId="2" borderId="6" xfId="0" applyNumberFormat="1" applyFill="1" applyBorder="1"/>
    <xf numFmtId="171" fontId="0" fillId="2" borderId="8" xfId="0" applyNumberFormat="1" applyFill="1" applyBorder="1"/>
    <xf numFmtId="171" fontId="0" fillId="2"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0" fontId="9" fillId="0" borderId="0" xfId="0" applyFont="1" applyFill="1"/>
    <xf numFmtId="14" fontId="9" fillId="0" borderId="16" xfId="0" applyNumberFormat="1" applyFont="1" applyFill="1" applyBorder="1"/>
    <xf numFmtId="3" fontId="9" fillId="8" borderId="14" xfId="0" applyNumberFormat="1" applyFont="1" applyFill="1" applyBorder="1"/>
    <xf numFmtId="3" fontId="9" fillId="2" borderId="14"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4" borderId="1" xfId="0" applyNumberFormat="1" applyFill="1" applyBorder="1"/>
    <xf numFmtId="171" fontId="0" fillId="4" borderId="7"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0" fillId="10" borderId="20" xfId="0" applyNumberFormat="1" applyFill="1" applyBorder="1"/>
    <xf numFmtId="14" fontId="0" fillId="10" borderId="21" xfId="0" applyNumberFormat="1" applyFill="1" applyBorder="1"/>
    <xf numFmtId="14" fontId="0" fillId="15" borderId="21" xfId="0" applyNumberFormat="1" applyFill="1" applyBorder="1"/>
    <xf numFmtId="14" fontId="0" fillId="4" borderId="21" xfId="0" applyNumberFormat="1" applyFill="1" applyBorder="1"/>
    <xf numFmtId="14" fontId="0" fillId="8" borderId="22" xfId="0" applyNumberFormat="1" applyFill="1" applyBorder="1"/>
    <xf numFmtId="14" fontId="0" fillId="8" borderId="19" xfId="0" applyNumberFormat="1" applyFill="1" applyBorder="1"/>
    <xf numFmtId="0" fontId="0" fillId="0" borderId="23" xfId="0" applyFill="1" applyBorder="1"/>
    <xf numFmtId="0" fontId="0" fillId="0" borderId="12" xfId="0" applyBorder="1"/>
    <xf numFmtId="14" fontId="9" fillId="8" borderId="14" xfId="0" applyNumberFormat="1" applyFont="1" applyFill="1" applyBorder="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xf numFmtId="171" fontId="11" fillId="0" borderId="7" xfId="0" applyNumberFormat="1" applyFont="1" applyBorder="1"/>
    <xf numFmtId="171" fontId="11" fillId="0" borderId="1" xfId="0" applyNumberFormat="1" applyFont="1" applyBorder="1"/>
    <xf numFmtId="0" fontId="0" fillId="0" borderId="0" xfId="0" quotePrefix="1" applyFill="1" applyBorder="1"/>
    <xf numFmtId="0" fontId="5" fillId="0" borderId="9" xfId="1" applyBorder="1"/>
    <xf numFmtId="164" fontId="0" fillId="0" borderId="9" xfId="0" applyNumberFormat="1" applyBorder="1"/>
    <xf numFmtId="164" fontId="0" fillId="0" borderId="10" xfId="0" applyNumberFormat="1" applyBorder="1"/>
    <xf numFmtId="164" fontId="0" fillId="0" borderId="11" xfId="0" applyNumberFormat="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43919.754608101852</c:v>
                </c:pt>
                <c:pt idx="1">
                  <c:v>43922.754608101852</c:v>
                </c:pt>
                <c:pt idx="2">
                  <c:v>43925.754608101852</c:v>
                </c:pt>
                <c:pt idx="3">
                  <c:v>43928.754608101852</c:v>
                </c:pt>
                <c:pt idx="4">
                  <c:v>43931.754608101852</c:v>
                </c:pt>
                <c:pt idx="5">
                  <c:v>43934.754608101852</c:v>
                </c:pt>
                <c:pt idx="6">
                  <c:v>43937.754608101852</c:v>
                </c:pt>
                <c:pt idx="7">
                  <c:v>43940.754608101852</c:v>
                </c:pt>
                <c:pt idx="8">
                  <c:v>43943.754608101852</c:v>
                </c:pt>
                <c:pt idx="9">
                  <c:v>43946.754608101852</c:v>
                </c:pt>
                <c:pt idx="10">
                  <c:v>43949.754608101852</c:v>
                </c:pt>
                <c:pt idx="11">
                  <c:v>43952.754608101852</c:v>
                </c:pt>
                <c:pt idx="12">
                  <c:v>43955.754608101852</c:v>
                </c:pt>
                <c:pt idx="13">
                  <c:v>43958.754608101852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88.183421516754848</c:v>
                </c:pt>
                <c:pt idx="1">
                  <c:v>176.3668430335097</c:v>
                </c:pt>
                <c:pt idx="2">
                  <c:v>352.73368606701939</c:v>
                </c:pt>
                <c:pt idx="3">
                  <c:v>705.46737213403878</c:v>
                </c:pt>
                <c:pt idx="4">
                  <c:v>1410.9347442680776</c:v>
                </c:pt>
                <c:pt idx="5">
                  <c:v>2821.8694885361551</c:v>
                </c:pt>
                <c:pt idx="6">
                  <c:v>5643.7389770723103</c:v>
                </c:pt>
                <c:pt idx="7">
                  <c:v>11287.477954144621</c:v>
                </c:pt>
                <c:pt idx="8">
                  <c:v>22574.955908289241</c:v>
                </c:pt>
                <c:pt idx="9">
                  <c:v>45149.911816578482</c:v>
                </c:pt>
                <c:pt idx="10">
                  <c:v>90299.823633156964</c:v>
                </c:pt>
                <c:pt idx="11">
                  <c:v>180599.64726631393</c:v>
                </c:pt>
                <c:pt idx="12">
                  <c:v>361199.29453262786</c:v>
                </c:pt>
                <c:pt idx="13">
                  <c:v>722398.58906525571</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43919.754608101852</c:v>
                </c:pt>
                <c:pt idx="1">
                  <c:v>43922.754608101852</c:v>
                </c:pt>
                <c:pt idx="2">
                  <c:v>43925.754608101852</c:v>
                </c:pt>
                <c:pt idx="3">
                  <c:v>43928.754608101852</c:v>
                </c:pt>
                <c:pt idx="4">
                  <c:v>43931.754608101852</c:v>
                </c:pt>
                <c:pt idx="5">
                  <c:v>43934.754608101852</c:v>
                </c:pt>
                <c:pt idx="6">
                  <c:v>43937.754608101852</c:v>
                </c:pt>
                <c:pt idx="7">
                  <c:v>43940.754608101852</c:v>
                </c:pt>
                <c:pt idx="8">
                  <c:v>43943.754608101852</c:v>
                </c:pt>
                <c:pt idx="9">
                  <c:v>43946.754608101852</c:v>
                </c:pt>
                <c:pt idx="10">
                  <c:v>43949.754608101852</c:v>
                </c:pt>
                <c:pt idx="11">
                  <c:v>43952.754608101852</c:v>
                </c:pt>
                <c:pt idx="12">
                  <c:v>43955.754608101852</c:v>
                </c:pt>
                <c:pt idx="13">
                  <c:v>43958.754608101852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16.754850088183417</c:v>
                </c:pt>
                <c:pt idx="1">
                  <c:v>33.509700176366835</c:v>
                </c:pt>
                <c:pt idx="2">
                  <c:v>67.019400352733669</c:v>
                </c:pt>
                <c:pt idx="3">
                  <c:v>134.03880070546734</c:v>
                </c:pt>
                <c:pt idx="4">
                  <c:v>268.07760141093468</c:v>
                </c:pt>
                <c:pt idx="5">
                  <c:v>536.15520282186935</c:v>
                </c:pt>
                <c:pt idx="6">
                  <c:v>1072.3104056437387</c:v>
                </c:pt>
                <c:pt idx="7">
                  <c:v>2144.6208112874774</c:v>
                </c:pt>
                <c:pt idx="8">
                  <c:v>4289.2416225749548</c:v>
                </c:pt>
                <c:pt idx="9">
                  <c:v>8578.4832451499096</c:v>
                </c:pt>
                <c:pt idx="10">
                  <c:v>17156.966490299819</c:v>
                </c:pt>
                <c:pt idx="11">
                  <c:v>34313.932980599639</c:v>
                </c:pt>
                <c:pt idx="12">
                  <c:v>68627.865961199277</c:v>
                </c:pt>
                <c:pt idx="13">
                  <c:v>137255.73192239855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43919.754608101852</c:v>
                </c:pt>
                <c:pt idx="1">
                  <c:v>43922.754608101852</c:v>
                </c:pt>
                <c:pt idx="2">
                  <c:v>43925.754608101852</c:v>
                </c:pt>
                <c:pt idx="3">
                  <c:v>43928.754608101852</c:v>
                </c:pt>
                <c:pt idx="4">
                  <c:v>43931.754608101852</c:v>
                </c:pt>
                <c:pt idx="5">
                  <c:v>43934.754608101852</c:v>
                </c:pt>
                <c:pt idx="6">
                  <c:v>43937.754608101852</c:v>
                </c:pt>
                <c:pt idx="7">
                  <c:v>43940.754608101852</c:v>
                </c:pt>
                <c:pt idx="8">
                  <c:v>43943.754608101852</c:v>
                </c:pt>
                <c:pt idx="9">
                  <c:v>43946.754608101852</c:v>
                </c:pt>
                <c:pt idx="10">
                  <c:v>43949.754608101852</c:v>
                </c:pt>
                <c:pt idx="11">
                  <c:v>43952.754608101852</c:v>
                </c:pt>
                <c:pt idx="12">
                  <c:v>43955.754608101852</c:v>
                </c:pt>
                <c:pt idx="13">
                  <c:v>43958.754608101852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Projections!$A$26</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Projections!$G$26:$AF$26</c15:sqref>
                  </c15:fullRef>
                </c:ext>
              </c:extLst>
              <c:f>Projections!$G$26:$T$26</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7200</c:v>
                </c:pt>
                <c:pt idx="11">
                  <c:v>7600</c:v>
                </c:pt>
                <c:pt idx="12">
                  <c:v>7800</c:v>
                </c:pt>
                <c:pt idx="13">
                  <c:v>8000</c:v>
                </c:pt>
              </c:numCache>
            </c:numRef>
          </c:val>
          <c:smooth val="0"/>
          <c:extLst>
            <c:ext xmlns:c16="http://schemas.microsoft.com/office/drawing/2014/chart" uri="{C3380CC4-5D6E-409C-BE32-E72D297353CC}">
              <c16:uniqueId val="{00000004-8BCC-427B-903C-670C749E04E9}"/>
            </c:ext>
          </c:extLst>
        </c:ser>
        <c:ser>
          <c:idx val="1"/>
          <c:order val="1"/>
          <c:tx>
            <c:strRef>
              <c:f>Projections!$A$50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Projections!$G$50:$AF$50</c15:sqref>
                  </c15:fullRef>
                </c:ext>
              </c:extLst>
              <c:f>Projections!$G$50:$T$50</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7200</c:v>
                </c:pt>
                <c:pt idx="11" formatCode="#,##0">
                  <c:v>7600</c:v>
                </c:pt>
                <c:pt idx="12" formatCode="#,##0">
                  <c:v>7800</c:v>
                </c:pt>
                <c:pt idx="13"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Projections!$A$40</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Projections!$G$40:$AF$40</c15:sqref>
                  </c15:fullRef>
                </c:ext>
              </c:extLst>
              <c:f>Projections!$G$40:$T$40</c:f>
              <c:numCache>
                <c:formatCode>#,##0_ ;[Red]\-#,##0\ </c:formatCode>
                <c:ptCount val="14"/>
                <c:pt idx="0">
                  <c:v>0.4375</c:v>
                </c:pt>
                <c:pt idx="1">
                  <c:v>0.875</c:v>
                </c:pt>
                <c:pt idx="2">
                  <c:v>1.75</c:v>
                </c:pt>
                <c:pt idx="3">
                  <c:v>3.5</c:v>
                </c:pt>
                <c:pt idx="4">
                  <c:v>7</c:v>
                </c:pt>
                <c:pt idx="5">
                  <c:v>14</c:v>
                </c:pt>
                <c:pt idx="6">
                  <c:v>28</c:v>
                </c:pt>
                <c:pt idx="7">
                  <c:v>56</c:v>
                </c:pt>
                <c:pt idx="8">
                  <c:v>84</c:v>
                </c:pt>
                <c:pt idx="9">
                  <c:v>92.4</c:v>
                </c:pt>
                <c:pt idx="10">
                  <c:v>100.8</c:v>
                </c:pt>
                <c:pt idx="11">
                  <c:v>106.4</c:v>
                </c:pt>
                <c:pt idx="12">
                  <c:v>109.2</c:v>
                </c:pt>
                <c:pt idx="13">
                  <c:v>112</c:v>
                </c:pt>
              </c:numCache>
            </c:numRef>
          </c:val>
          <c:smooth val="0"/>
          <c:extLst>
            <c:ext xmlns:c16="http://schemas.microsoft.com/office/drawing/2014/chart" uri="{C3380CC4-5D6E-409C-BE32-E72D297353CC}">
              <c16:uniqueId val="{00000000-50BE-40C1-B679-81AF0BCE3FCD}"/>
            </c:ext>
          </c:extLst>
        </c:ser>
        <c:ser>
          <c:idx val="1"/>
          <c:order val="1"/>
          <c:tx>
            <c:strRef>
              <c:f>Projections!$A$54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Projections!$G$54:$AF$54</c15:sqref>
                  </c15:fullRef>
                </c:ext>
              </c:extLst>
              <c:f>Projections!$G$54:$T$54</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97</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Projections!$A$36</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Projections!$G$36:$AF$36</c15:sqref>
                  </c15:fullRef>
                </c:ext>
              </c:extLst>
              <c:f>Projections!$G$36:$T$36</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574.77618799654329</c:v>
                </c:pt>
                <c:pt idx="9">
                  <c:v>859.05698537255921</c:v>
                </c:pt>
                <c:pt idx="10">
                  <c:v>11213.752420187644</c:v>
                </c:pt>
                <c:pt idx="11">
                  <c:v>2181.5348648467257</c:v>
                </c:pt>
                <c:pt idx="12">
                  <c:v>941.98943379503021</c:v>
                </c:pt>
                <c:pt idx="13">
                  <c:v>713.45778394840875</c:v>
                </c:pt>
              </c:numCache>
            </c:numRef>
          </c:val>
          <c:smooth val="0"/>
          <c:extLst>
            <c:ext xmlns:c16="http://schemas.microsoft.com/office/drawing/2014/chart" uri="{C3380CC4-5D6E-409C-BE32-E72D297353CC}">
              <c16:uniqueId val="{00000000-A3C2-4B4C-996C-CDB1A252886F}"/>
            </c:ext>
          </c:extLst>
        </c:ser>
        <c:ser>
          <c:idx val="2"/>
          <c:order val="1"/>
          <c:tx>
            <c:strRef>
              <c:f>Projections!$A$37</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Projections!$G$37:$AF$37</c15:sqref>
                  </c15:fullRef>
                </c:ext>
              </c:extLst>
              <c:f>Projections!$G$37:$T$37</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489.33133033984944</c:v>
                </c:pt>
                <c:pt idx="9">
                  <c:v>376.35533838085632</c:v>
                </c:pt>
                <c:pt idx="10">
                  <c:v>9246.1323596687616</c:v>
                </c:pt>
                <c:pt idx="11">
                  <c:v>1657.879999325685</c:v>
                </c:pt>
                <c:pt idx="12">
                  <c:v>689.60463565498367</c:v>
                </c:pt>
                <c:pt idx="13">
                  <c:v>0</c:v>
                </c:pt>
              </c:numCache>
            </c:numRef>
          </c:val>
          <c:smooth val="0"/>
          <c:extLst>
            <c:ext xmlns:c16="http://schemas.microsoft.com/office/drawing/2014/chart" uri="{C3380CC4-5D6E-409C-BE32-E72D297353CC}">
              <c16:uniqueId val="{00000001-A3C2-4B4C-996C-CDB1A252886F}"/>
            </c:ext>
          </c:extLst>
        </c:ser>
        <c:ser>
          <c:idx val="0"/>
          <c:order val="2"/>
          <c:tx>
            <c:strRef>
              <c:f>Projections!$A$38</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Projections!$G$38:$AF$38</c15:sqref>
                  </c15:fullRef>
                </c:ext>
              </c:extLst>
              <c:f>Projections!$G$38:$T$38</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1967.6200605188817</c:v>
                </c:pt>
                <c:pt idx="11">
                  <c:v>523.65486552104062</c:v>
                </c:pt>
                <c:pt idx="12">
                  <c:v>252.3847981400466</c:v>
                </c:pt>
                <c:pt idx="13">
                  <c:v>438.47366093377912</c:v>
                </c:pt>
              </c:numCache>
            </c:numRef>
          </c:val>
          <c:smooth val="0"/>
          <c:extLst>
            <c:ext xmlns:c16="http://schemas.microsoft.com/office/drawing/2014/chart" uri="{C3380CC4-5D6E-409C-BE32-E72D297353CC}">
              <c16:uniqueId val="{00000002-A3C2-4B4C-996C-CDB1A252886F}"/>
            </c:ext>
          </c:extLst>
        </c:ser>
        <c:ser>
          <c:idx val="4"/>
          <c:order val="3"/>
          <c:tx>
            <c:strRef>
              <c:f>Projections!$A$39</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Projections!$G$39:$AF$39</c15:sqref>
                  </c15:fullRef>
                </c:ext>
              </c:extLst>
              <c:f>Projections!$G$39:$T$39</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1967.6200605188817</c:v>
                </c:pt>
                <c:pt idx="11">
                  <c:v>523.65486552104062</c:v>
                </c:pt>
                <c:pt idx="12">
                  <c:v>252.3847981400466</c:v>
                </c:pt>
                <c:pt idx="13">
                  <c:v>0</c:v>
                </c:pt>
              </c:numCache>
            </c:numRef>
          </c:val>
          <c:smooth val="0"/>
          <c:extLst>
            <c:ext xmlns:c16="http://schemas.microsoft.com/office/drawing/2014/chart" uri="{C3380CC4-5D6E-409C-BE32-E72D297353CC}">
              <c16:uniqueId val="{00000003-A3C2-4B4C-996C-CDB1A252886F}"/>
            </c:ext>
          </c:extLst>
        </c:ser>
        <c:ser>
          <c:idx val="1"/>
          <c:order val="4"/>
          <c:tx>
            <c:strRef>
              <c:f>Projections!$A$40</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Projections!$G$40:$AF$40</c15:sqref>
                  </c15:fullRef>
                </c:ext>
              </c:extLst>
              <c:f>Projections!$G$40:$T$40</c:f>
              <c:numCache>
                <c:formatCode>#,##0_ ;[Red]\-#,##0\ </c:formatCode>
                <c:ptCount val="14"/>
                <c:pt idx="0">
                  <c:v>0.4375</c:v>
                </c:pt>
                <c:pt idx="1">
                  <c:v>0.875</c:v>
                </c:pt>
                <c:pt idx="2">
                  <c:v>1.75</c:v>
                </c:pt>
                <c:pt idx="3">
                  <c:v>3.5</c:v>
                </c:pt>
                <c:pt idx="4">
                  <c:v>7</c:v>
                </c:pt>
                <c:pt idx="5">
                  <c:v>14</c:v>
                </c:pt>
                <c:pt idx="6">
                  <c:v>28</c:v>
                </c:pt>
                <c:pt idx="7">
                  <c:v>56</c:v>
                </c:pt>
                <c:pt idx="8">
                  <c:v>84</c:v>
                </c:pt>
                <c:pt idx="9">
                  <c:v>92.4</c:v>
                </c:pt>
                <c:pt idx="10">
                  <c:v>100.8</c:v>
                </c:pt>
                <c:pt idx="11">
                  <c:v>106.4</c:v>
                </c:pt>
                <c:pt idx="12">
                  <c:v>109.2</c:v>
                </c:pt>
                <c:pt idx="13">
                  <c:v>112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Projections!$G$58:$AF$58</c15:sqref>
                  </c15:fullRef>
                </c:ext>
              </c:extLst>
              <c:f>Projections!$G$58:$T$58</c:f>
              <c:numCache>
                <c:formatCode>#,##0</c:formatCode>
                <c:ptCount val="14"/>
                <c:pt idx="0">
                  <c:v>1.0593220338983051</c:v>
                </c:pt>
                <c:pt idx="1">
                  <c:v>2.1186440677966103</c:v>
                </c:pt>
                <c:pt idx="2">
                  <c:v>4.2372881355932206</c:v>
                </c:pt>
                <c:pt idx="3">
                  <c:v>8.4745762711864412</c:v>
                </c:pt>
                <c:pt idx="4">
                  <c:v>16.949152542372882</c:v>
                </c:pt>
                <c:pt idx="5">
                  <c:v>33.898305084745765</c:v>
                </c:pt>
                <c:pt idx="6">
                  <c:v>67.79661016949153</c:v>
                </c:pt>
                <c:pt idx="7">
                  <c:v>135.59322033898306</c:v>
                </c:pt>
                <c:pt idx="8">
                  <c:v>203.38983050847457</c:v>
                </c:pt>
                <c:pt idx="9">
                  <c:v>223.72881355932202</c:v>
                </c:pt>
                <c:pt idx="10">
                  <c:v>244.06779661016949</c:v>
                </c:pt>
                <c:pt idx="11">
                  <c:v>257.62711864406782</c:v>
                </c:pt>
                <c:pt idx="12">
                  <c:v>264.40677966101697</c:v>
                </c:pt>
                <c:pt idx="13">
                  <c:v>271.18644067796612</c:v>
                </c:pt>
              </c:numCache>
            </c:numRef>
          </c:val>
          <c:smooth val="0"/>
          <c:extLst>
            <c:ext xmlns:c16="http://schemas.microsoft.com/office/drawing/2014/chart" uri="{C3380CC4-5D6E-409C-BE32-E72D297353CC}">
              <c16:uniqueId val="{00000000-7972-43AB-83E8-C2C99B4277B0}"/>
            </c:ext>
          </c:extLst>
        </c:ser>
        <c:ser>
          <c:idx val="2"/>
          <c:order val="1"/>
          <c:tx>
            <c:strRef>
              <c:f>Projections!$A$60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Projections!$G$60:$AF$60</c15:sqref>
                  </c15:fullRef>
                </c:ext>
              </c:extLst>
              <c:f>Projections!$G$60:$T$60</c:f>
              <c:numCache>
                <c:formatCode>#,##0</c:formatCode>
                <c:ptCount val="14"/>
                <c:pt idx="0">
                  <c:v>3.420096852300242</c:v>
                </c:pt>
                <c:pt idx="1">
                  <c:v>6.8401937046004839</c:v>
                </c:pt>
                <c:pt idx="2">
                  <c:v>13.680387409200968</c:v>
                </c:pt>
                <c:pt idx="3">
                  <c:v>27.360774818401936</c:v>
                </c:pt>
                <c:pt idx="4">
                  <c:v>54.721549636803871</c:v>
                </c:pt>
                <c:pt idx="5">
                  <c:v>109.44309927360774</c:v>
                </c:pt>
                <c:pt idx="6">
                  <c:v>218.88619854721549</c:v>
                </c:pt>
                <c:pt idx="7">
                  <c:v>437.77239709443097</c:v>
                </c:pt>
                <c:pt idx="8">
                  <c:v>656.65859564164646</c:v>
                </c:pt>
                <c:pt idx="9">
                  <c:v>722.32445520581109</c:v>
                </c:pt>
                <c:pt idx="10">
                  <c:v>787.99031476997584</c:v>
                </c:pt>
                <c:pt idx="11">
                  <c:v>831.76755447941889</c:v>
                </c:pt>
                <c:pt idx="12">
                  <c:v>853.65617433414047</c:v>
                </c:pt>
                <c:pt idx="13">
                  <c:v>875.54479418886194</c:v>
                </c:pt>
              </c:numCache>
            </c:numRef>
          </c:val>
          <c:smooth val="0"/>
          <c:extLst>
            <c:ext xmlns:c16="http://schemas.microsoft.com/office/drawing/2014/chart" uri="{C3380CC4-5D6E-409C-BE32-E72D297353CC}">
              <c16:uniqueId val="{00000001-7972-43AB-83E8-C2C99B4277B0}"/>
            </c:ext>
          </c:extLst>
        </c:ser>
        <c:ser>
          <c:idx val="4"/>
          <c:order val="2"/>
          <c:tx>
            <c:strRef>
              <c:f>Projections!$A$62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Projections!$G$62:$AF$62</c15:sqref>
                  </c15:fullRef>
                </c:ext>
              </c:extLst>
              <c:f>Projections!$G$62:$T$62</c:f>
              <c:numCache>
                <c:formatCode>#,##0</c:formatCode>
                <c:ptCount val="14"/>
                <c:pt idx="0">
                  <c:v>5.2663438256658592</c:v>
                </c:pt>
                <c:pt idx="1">
                  <c:v>10.532687651331718</c:v>
                </c:pt>
                <c:pt idx="2">
                  <c:v>21.065375302663437</c:v>
                </c:pt>
                <c:pt idx="3">
                  <c:v>42.130750605326874</c:v>
                </c:pt>
                <c:pt idx="4">
                  <c:v>84.261501210653748</c:v>
                </c:pt>
                <c:pt idx="5">
                  <c:v>168.5230024213075</c:v>
                </c:pt>
                <c:pt idx="6">
                  <c:v>337.04600484261499</c:v>
                </c:pt>
                <c:pt idx="7">
                  <c:v>674.09200968522998</c:v>
                </c:pt>
                <c:pt idx="8">
                  <c:v>1011.1380145278449</c:v>
                </c:pt>
                <c:pt idx="9">
                  <c:v>1112.2518159806295</c:v>
                </c:pt>
                <c:pt idx="10">
                  <c:v>1213.3656174334139</c:v>
                </c:pt>
                <c:pt idx="11">
                  <c:v>1280.774818401937</c:v>
                </c:pt>
                <c:pt idx="12">
                  <c:v>1314.4794188861983</c:v>
                </c:pt>
                <c:pt idx="13">
                  <c:v>1348.18401937046</c:v>
                </c:pt>
              </c:numCache>
            </c:numRef>
          </c:val>
          <c:smooth val="0"/>
          <c:extLst>
            <c:ext xmlns:c16="http://schemas.microsoft.com/office/drawing/2014/chart" uri="{C3380CC4-5D6E-409C-BE32-E72D297353CC}">
              <c16:uniqueId val="{00000002-7972-43AB-83E8-C2C99B4277B0}"/>
            </c:ext>
          </c:extLst>
        </c:ser>
        <c:ser>
          <c:idx val="6"/>
          <c:order val="3"/>
          <c:tx>
            <c:strRef>
              <c:f>Projections!$A$64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Projections!$G$64:$AF$64</c15:sqref>
                  </c15:fullRef>
                </c:ext>
              </c:extLst>
              <c:f>Projections!$G$64:$T$64</c:f>
              <c:numCache>
                <c:formatCode>#,##0</c:formatCode>
                <c:ptCount val="14"/>
                <c:pt idx="0">
                  <c:v>5.0746569814366422</c:v>
                </c:pt>
                <c:pt idx="1">
                  <c:v>10.149313962873284</c:v>
                </c:pt>
                <c:pt idx="2">
                  <c:v>20.298627925746569</c:v>
                </c:pt>
                <c:pt idx="3">
                  <c:v>40.597255851493138</c:v>
                </c:pt>
                <c:pt idx="4">
                  <c:v>81.194511702986276</c:v>
                </c:pt>
                <c:pt idx="5">
                  <c:v>162.38902340597255</c:v>
                </c:pt>
                <c:pt idx="6">
                  <c:v>324.7780468119451</c:v>
                </c:pt>
                <c:pt idx="7">
                  <c:v>649.55609362389021</c:v>
                </c:pt>
                <c:pt idx="8">
                  <c:v>974.33414043583537</c:v>
                </c:pt>
                <c:pt idx="9">
                  <c:v>1071.7675544794188</c:v>
                </c:pt>
                <c:pt idx="10">
                  <c:v>1169.2009685230023</c:v>
                </c:pt>
                <c:pt idx="11">
                  <c:v>1234.1565778853915</c:v>
                </c:pt>
                <c:pt idx="12">
                  <c:v>1266.6343825665858</c:v>
                </c:pt>
                <c:pt idx="13">
                  <c:v>1299.1121872477804</c:v>
                </c:pt>
              </c:numCache>
            </c:numRef>
          </c:val>
          <c:smooth val="0"/>
          <c:extLst>
            <c:ext xmlns:c16="http://schemas.microsoft.com/office/drawing/2014/chart" uri="{C3380CC4-5D6E-409C-BE32-E72D297353CC}">
              <c16:uniqueId val="{00000003-7972-43AB-83E8-C2C99B4277B0}"/>
            </c:ext>
          </c:extLst>
        </c:ser>
        <c:ser>
          <c:idx val="8"/>
          <c:order val="4"/>
          <c:tx>
            <c:strRef>
              <c:f>Projections!$A$66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Projections!$G$66:$AF$66</c15:sqref>
                  </c15:fullRef>
                </c:ext>
              </c:extLst>
              <c:f>Projections!$G$66:$T$66</c:f>
              <c:numCache>
                <c:formatCode>#,##0</c:formatCode>
                <c:ptCount val="14"/>
                <c:pt idx="0">
                  <c:v>3.9598466505246162</c:v>
                </c:pt>
                <c:pt idx="1">
                  <c:v>7.9196933010492323</c:v>
                </c:pt>
                <c:pt idx="2">
                  <c:v>15.839386602098465</c:v>
                </c:pt>
                <c:pt idx="3">
                  <c:v>31.678773204196929</c:v>
                </c:pt>
                <c:pt idx="4">
                  <c:v>63.357546408393858</c:v>
                </c:pt>
                <c:pt idx="5">
                  <c:v>126.71509281678772</c:v>
                </c:pt>
                <c:pt idx="6">
                  <c:v>253.43018563357543</c:v>
                </c:pt>
                <c:pt idx="7">
                  <c:v>506.86037126715087</c:v>
                </c:pt>
                <c:pt idx="8">
                  <c:v>760.2905569007263</c:v>
                </c:pt>
                <c:pt idx="9">
                  <c:v>836.31961259079901</c:v>
                </c:pt>
                <c:pt idx="10">
                  <c:v>912.34866828087161</c:v>
                </c:pt>
                <c:pt idx="11">
                  <c:v>963.03470540758667</c:v>
                </c:pt>
                <c:pt idx="12">
                  <c:v>988.3777239709442</c:v>
                </c:pt>
                <c:pt idx="13">
                  <c:v>1013.7207425343017</c:v>
                </c:pt>
              </c:numCache>
            </c:numRef>
          </c:val>
          <c:smooth val="0"/>
          <c:extLst>
            <c:ext xmlns:c16="http://schemas.microsoft.com/office/drawing/2014/chart" uri="{C3380CC4-5D6E-409C-BE32-E72D297353CC}">
              <c16:uniqueId val="{00000004-7972-43AB-83E8-C2C99B4277B0}"/>
            </c:ext>
          </c:extLst>
        </c:ser>
        <c:ser>
          <c:idx val="10"/>
          <c:order val="5"/>
          <c:tx>
            <c:strRef>
              <c:f>Projections!$A$68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Projections!$G$68:$AF$68</c15:sqref>
                  </c15:fullRef>
                </c:ext>
              </c:extLst>
              <c:f>Projections!$G$68:$T$68</c:f>
              <c:numCache>
                <c:formatCode>#,##0</c:formatCode>
                <c:ptCount val="14"/>
                <c:pt idx="0">
                  <c:v>4.9485472154963688</c:v>
                </c:pt>
                <c:pt idx="1">
                  <c:v>9.8970944309927376</c:v>
                </c:pt>
                <c:pt idx="2">
                  <c:v>19.794188861985475</c:v>
                </c:pt>
                <c:pt idx="3">
                  <c:v>39.58837772397095</c:v>
                </c:pt>
                <c:pt idx="4">
                  <c:v>79.1767554479419</c:v>
                </c:pt>
                <c:pt idx="5">
                  <c:v>158.3535108958838</c:v>
                </c:pt>
                <c:pt idx="6">
                  <c:v>316.7070217917676</c:v>
                </c:pt>
                <c:pt idx="7">
                  <c:v>633.4140435835352</c:v>
                </c:pt>
                <c:pt idx="8">
                  <c:v>950.12106537530269</c:v>
                </c:pt>
                <c:pt idx="9">
                  <c:v>1045.1331719128329</c:v>
                </c:pt>
                <c:pt idx="10">
                  <c:v>1140.1452784503633</c:v>
                </c:pt>
                <c:pt idx="11">
                  <c:v>1203.4866828087168</c:v>
                </c:pt>
                <c:pt idx="12">
                  <c:v>1235.1573849878935</c:v>
                </c:pt>
                <c:pt idx="13">
                  <c:v>1266.8280871670704</c:v>
                </c:pt>
              </c:numCache>
            </c:numRef>
          </c:val>
          <c:smooth val="0"/>
          <c:extLst>
            <c:ext xmlns:c16="http://schemas.microsoft.com/office/drawing/2014/chart" uri="{C3380CC4-5D6E-409C-BE32-E72D297353CC}">
              <c16:uniqueId val="{00000005-7972-43AB-83E8-C2C99B4277B0}"/>
            </c:ext>
          </c:extLst>
        </c:ser>
        <c:ser>
          <c:idx val="12"/>
          <c:order val="6"/>
          <c:tx>
            <c:strRef>
              <c:f>Projections!$A$70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Projections!$G$70:$AF$70</c15:sqref>
                  </c15:fullRef>
                </c:ext>
              </c:extLst>
              <c:f>Projections!$G$70:$T$70</c:f>
              <c:numCache>
                <c:formatCode>#,##0</c:formatCode>
                <c:ptCount val="14"/>
                <c:pt idx="0">
                  <c:v>6.2197336561743342</c:v>
                </c:pt>
                <c:pt idx="1">
                  <c:v>12.439467312348668</c:v>
                </c:pt>
                <c:pt idx="2">
                  <c:v>24.878934624697337</c:v>
                </c:pt>
                <c:pt idx="3">
                  <c:v>49.757869249394673</c:v>
                </c:pt>
                <c:pt idx="4">
                  <c:v>99.515738498789347</c:v>
                </c:pt>
                <c:pt idx="5">
                  <c:v>199.03147699757869</c:v>
                </c:pt>
                <c:pt idx="6">
                  <c:v>398.06295399515739</c:v>
                </c:pt>
                <c:pt idx="7">
                  <c:v>796.12590799031477</c:v>
                </c:pt>
                <c:pt idx="8">
                  <c:v>1194.1888619854722</c:v>
                </c:pt>
                <c:pt idx="9">
                  <c:v>1313.6077481840193</c:v>
                </c:pt>
                <c:pt idx="10">
                  <c:v>1433.0266343825667</c:v>
                </c:pt>
                <c:pt idx="11">
                  <c:v>1512.639225181598</c:v>
                </c:pt>
                <c:pt idx="12">
                  <c:v>1552.4455205811139</c:v>
                </c:pt>
                <c:pt idx="13">
                  <c:v>1592.2518159806295</c:v>
                </c:pt>
              </c:numCache>
            </c:numRef>
          </c:val>
          <c:smooth val="0"/>
          <c:extLst>
            <c:ext xmlns:c16="http://schemas.microsoft.com/office/drawing/2014/chart" uri="{C3380CC4-5D6E-409C-BE32-E72D297353CC}">
              <c16:uniqueId val="{00000006-7972-43AB-83E8-C2C99B4277B0}"/>
            </c:ext>
          </c:extLst>
        </c:ser>
        <c:ser>
          <c:idx val="14"/>
          <c:order val="7"/>
          <c:tx>
            <c:strRef>
              <c:f>Projections!$A$72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Projections!$G$72:$AF$72</c15:sqref>
                  </c15:fullRef>
                </c:ext>
              </c:extLst>
              <c:f>Projections!$G$72:$T$72</c:f>
              <c:numCache>
                <c:formatCode>#,##0</c:formatCode>
                <c:ptCount val="14"/>
                <c:pt idx="0">
                  <c:v>0.94834543987086362</c:v>
                </c:pt>
                <c:pt idx="1">
                  <c:v>1.8966908797417272</c:v>
                </c:pt>
                <c:pt idx="2">
                  <c:v>3.7933817594834545</c:v>
                </c:pt>
                <c:pt idx="3">
                  <c:v>7.5867635189669089</c:v>
                </c:pt>
                <c:pt idx="4">
                  <c:v>15.173527037933818</c:v>
                </c:pt>
                <c:pt idx="5">
                  <c:v>30.347054075867636</c:v>
                </c:pt>
                <c:pt idx="6">
                  <c:v>60.694108151735271</c:v>
                </c:pt>
                <c:pt idx="7">
                  <c:v>121.38821630347054</c:v>
                </c:pt>
                <c:pt idx="8">
                  <c:v>182.08232445520582</c:v>
                </c:pt>
                <c:pt idx="9">
                  <c:v>200.29055690072641</c:v>
                </c:pt>
                <c:pt idx="10">
                  <c:v>218.49878934624698</c:v>
                </c:pt>
                <c:pt idx="11">
                  <c:v>230.63761097659403</c:v>
                </c:pt>
                <c:pt idx="12">
                  <c:v>236.70702179176757</c:v>
                </c:pt>
                <c:pt idx="13">
                  <c:v>242.77643260694109</c:v>
                </c:pt>
              </c:numCache>
            </c:numRef>
          </c:val>
          <c:smooth val="0"/>
          <c:extLst>
            <c:ext xmlns:c16="http://schemas.microsoft.com/office/drawing/2014/chart" uri="{C3380CC4-5D6E-409C-BE32-E72D297353CC}">
              <c16:uniqueId val="{00000007-7972-43AB-83E8-C2C99B4277B0}"/>
            </c:ext>
          </c:extLst>
        </c:ser>
        <c:ser>
          <c:idx val="16"/>
          <c:order val="8"/>
          <c:tx>
            <c:strRef>
              <c:f>Projections!$A$74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Projections!$G$74:$AF$74</c15:sqref>
                  </c15:fullRef>
                </c:ext>
              </c:extLst>
              <c:f>Projections!$G$74:$T$74</c:f>
              <c:numCache>
                <c:formatCode>#,##0</c:formatCode>
                <c:ptCount val="14"/>
                <c:pt idx="0">
                  <c:v>0.35310734463276838</c:v>
                </c:pt>
                <c:pt idx="1">
                  <c:v>0.70621468926553677</c:v>
                </c:pt>
                <c:pt idx="2">
                  <c:v>1.4124293785310735</c:v>
                </c:pt>
                <c:pt idx="3">
                  <c:v>2.8248587570621471</c:v>
                </c:pt>
                <c:pt idx="4">
                  <c:v>5.6497175141242941</c:v>
                </c:pt>
                <c:pt idx="5">
                  <c:v>11.299435028248588</c:v>
                </c:pt>
                <c:pt idx="6">
                  <c:v>22.598870056497177</c:v>
                </c:pt>
                <c:pt idx="7">
                  <c:v>45.197740112994353</c:v>
                </c:pt>
                <c:pt idx="8">
                  <c:v>67.79661016949153</c:v>
                </c:pt>
                <c:pt idx="9">
                  <c:v>74.576271186440678</c:v>
                </c:pt>
                <c:pt idx="10">
                  <c:v>81.355932203389827</c:v>
                </c:pt>
                <c:pt idx="11">
                  <c:v>85.875706214689259</c:v>
                </c:pt>
                <c:pt idx="12">
                  <c:v>88.13559322033899</c:v>
                </c:pt>
                <c:pt idx="13">
                  <c:v>90.395480225988706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Projections!$G$59:$AF$59</c15:sqref>
                  </c15:fullRef>
                </c:ext>
              </c:extLst>
              <c:f>Projections!$G$59:$T$59</c:f>
              <c:numCache>
                <c:formatCode>#,##0</c:formatCode>
                <c:ptCount val="14"/>
                <c:pt idx="0">
                  <c:v>0.2623083131557708</c:v>
                </c:pt>
                <c:pt idx="1">
                  <c:v>0.5246166263115416</c:v>
                </c:pt>
                <c:pt idx="2">
                  <c:v>1.0492332526230832</c:v>
                </c:pt>
                <c:pt idx="3">
                  <c:v>2.0984665052461664</c:v>
                </c:pt>
                <c:pt idx="4">
                  <c:v>4.1969330104923328</c:v>
                </c:pt>
                <c:pt idx="5">
                  <c:v>8.3938660209846656</c:v>
                </c:pt>
                <c:pt idx="6">
                  <c:v>16.787732041969331</c:v>
                </c:pt>
                <c:pt idx="7">
                  <c:v>33.575464083938662</c:v>
                </c:pt>
                <c:pt idx="8">
                  <c:v>50.36319612590799</c:v>
                </c:pt>
                <c:pt idx="9">
                  <c:v>55.399515738498785</c:v>
                </c:pt>
                <c:pt idx="10">
                  <c:v>60.435835351089594</c:v>
                </c:pt>
                <c:pt idx="11">
                  <c:v>63.793381759483459</c:v>
                </c:pt>
                <c:pt idx="12">
                  <c:v>65.472154963680396</c:v>
                </c:pt>
                <c:pt idx="13">
                  <c:v>67.150928167877325</c:v>
                </c:pt>
              </c:numCache>
            </c:numRef>
          </c:val>
          <c:smooth val="0"/>
          <c:extLst>
            <c:ext xmlns:c16="http://schemas.microsoft.com/office/drawing/2014/chart" uri="{C3380CC4-5D6E-409C-BE32-E72D297353CC}">
              <c16:uniqueId val="{00000000-FE50-482D-905D-7C3B099138E4}"/>
            </c:ext>
          </c:extLst>
        </c:ser>
        <c:ser>
          <c:idx val="3"/>
          <c:order val="1"/>
          <c:tx>
            <c:strRef>
              <c:f>Projections!$A$60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Projections!$G$61:$AF$61</c15:sqref>
                  </c15:fullRef>
                </c:ext>
              </c:extLst>
              <c:f>Projections!$G$61:$T$61</c:f>
              <c:numCache>
                <c:formatCode>#,##0</c:formatCode>
                <c:ptCount val="14"/>
                <c:pt idx="0">
                  <c:v>0.16646489104116222</c:v>
                </c:pt>
                <c:pt idx="1">
                  <c:v>0.33292978208232443</c:v>
                </c:pt>
                <c:pt idx="2">
                  <c:v>0.66585956416464886</c:v>
                </c:pt>
                <c:pt idx="3">
                  <c:v>1.3317191283292977</c:v>
                </c:pt>
                <c:pt idx="4">
                  <c:v>2.6634382566585955</c:v>
                </c:pt>
                <c:pt idx="5">
                  <c:v>5.3268765133171909</c:v>
                </c:pt>
                <c:pt idx="6">
                  <c:v>10.653753026634382</c:v>
                </c:pt>
                <c:pt idx="7">
                  <c:v>21.307506053268764</c:v>
                </c:pt>
                <c:pt idx="8">
                  <c:v>31.961259079903147</c:v>
                </c:pt>
                <c:pt idx="9">
                  <c:v>35.157384987893458</c:v>
                </c:pt>
                <c:pt idx="10">
                  <c:v>38.35351089588378</c:v>
                </c:pt>
                <c:pt idx="11">
                  <c:v>40.484261501210653</c:v>
                </c:pt>
                <c:pt idx="12">
                  <c:v>41.549636803874094</c:v>
                </c:pt>
                <c:pt idx="13">
                  <c:v>42.615012106537527</c:v>
                </c:pt>
              </c:numCache>
            </c:numRef>
          </c:val>
          <c:smooth val="0"/>
          <c:extLst>
            <c:ext xmlns:c16="http://schemas.microsoft.com/office/drawing/2014/chart" uri="{C3380CC4-5D6E-409C-BE32-E72D297353CC}">
              <c16:uniqueId val="{00000001-FE50-482D-905D-7C3B099138E4}"/>
            </c:ext>
          </c:extLst>
        </c:ser>
        <c:ser>
          <c:idx val="5"/>
          <c:order val="2"/>
          <c:tx>
            <c:strRef>
              <c:f>Projections!$A$62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Projections!$G$63:$AF$63</c15:sqref>
                  </c15:fullRef>
                </c:ext>
              </c:extLst>
              <c:f>Projections!$G$63:$T$63</c:f>
              <c:numCache>
                <c:formatCode>#,##0</c:formatCode>
                <c:ptCount val="14"/>
                <c:pt idx="0">
                  <c:v>4.5399515738498784E-2</c:v>
                </c:pt>
                <c:pt idx="1">
                  <c:v>9.0799031476997569E-2</c:v>
                </c:pt>
                <c:pt idx="2">
                  <c:v>0.18159806295399514</c:v>
                </c:pt>
                <c:pt idx="3">
                  <c:v>0.36319612590799027</c:v>
                </c:pt>
                <c:pt idx="4">
                  <c:v>0.72639225181598055</c:v>
                </c:pt>
                <c:pt idx="5">
                  <c:v>1.4527845036319611</c:v>
                </c:pt>
                <c:pt idx="6">
                  <c:v>2.9055690072639222</c:v>
                </c:pt>
                <c:pt idx="7">
                  <c:v>5.8111380145278444</c:v>
                </c:pt>
                <c:pt idx="8">
                  <c:v>8.7167070217917662</c:v>
                </c:pt>
                <c:pt idx="9">
                  <c:v>9.5883777239709449</c:v>
                </c:pt>
                <c:pt idx="10">
                  <c:v>10.46004842615012</c:v>
                </c:pt>
                <c:pt idx="11">
                  <c:v>11.041162227602905</c:v>
                </c:pt>
                <c:pt idx="12">
                  <c:v>11.331719128329295</c:v>
                </c:pt>
                <c:pt idx="13">
                  <c:v>11.622276029055689</c:v>
                </c:pt>
              </c:numCache>
            </c:numRef>
          </c:val>
          <c:smooth val="0"/>
          <c:extLst>
            <c:ext xmlns:c16="http://schemas.microsoft.com/office/drawing/2014/chart" uri="{C3380CC4-5D6E-409C-BE32-E72D297353CC}">
              <c16:uniqueId val="{00000002-FE50-482D-905D-7C3B099138E4}"/>
            </c:ext>
          </c:extLst>
        </c:ser>
        <c:ser>
          <c:idx val="7"/>
          <c:order val="3"/>
          <c:tx>
            <c:strRef>
              <c:f>Projections!$A$64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Projections!$G$65:$AF$65</c15:sqref>
                  </c15:fullRef>
                </c:ext>
              </c:extLst>
              <c:f>Projections!$G$65:$T$65</c:f>
              <c:numCache>
                <c:formatCode>#,##0</c:formatCode>
                <c:ptCount val="14"/>
                <c:pt idx="0">
                  <c:v>1.0088781275221951E-2</c:v>
                </c:pt>
                <c:pt idx="1">
                  <c:v>2.0177562550443902E-2</c:v>
                </c:pt>
                <c:pt idx="2">
                  <c:v>4.0355125100887804E-2</c:v>
                </c:pt>
                <c:pt idx="3">
                  <c:v>8.0710250201775607E-2</c:v>
                </c:pt>
                <c:pt idx="4">
                  <c:v>0.16142050040355121</c:v>
                </c:pt>
                <c:pt idx="5">
                  <c:v>0.32284100080710243</c:v>
                </c:pt>
                <c:pt idx="6">
                  <c:v>0.64568200161420486</c:v>
                </c:pt>
                <c:pt idx="7">
                  <c:v>1.2913640032284097</c:v>
                </c:pt>
                <c:pt idx="8">
                  <c:v>1.9370460048426148</c:v>
                </c:pt>
                <c:pt idx="9">
                  <c:v>2.1307506053268761</c:v>
                </c:pt>
                <c:pt idx="10">
                  <c:v>2.3244552058111374</c:v>
                </c:pt>
                <c:pt idx="11">
                  <c:v>2.4535916061339789</c:v>
                </c:pt>
                <c:pt idx="12">
                  <c:v>2.5181598062953992</c:v>
                </c:pt>
                <c:pt idx="13">
                  <c:v>2.5827280064568194</c:v>
                </c:pt>
              </c:numCache>
            </c:numRef>
          </c:val>
          <c:smooth val="0"/>
          <c:extLst>
            <c:ext xmlns:c16="http://schemas.microsoft.com/office/drawing/2014/chart" uri="{C3380CC4-5D6E-409C-BE32-E72D297353CC}">
              <c16:uniqueId val="{00000003-FE50-482D-905D-7C3B099138E4}"/>
            </c:ext>
          </c:extLst>
        </c:ser>
        <c:ser>
          <c:idx val="9"/>
          <c:order val="4"/>
          <c:tx>
            <c:strRef>
              <c:f>Projections!$A$66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Projections!$G$67:$AF$67</c15:sqref>
                  </c15:fullRef>
                </c:ext>
              </c:extLst>
              <c:f>Projections!$G$67:$T$67</c:f>
              <c:numCache>
                <c:formatCode>#,##0</c:formatCode>
                <c:ptCount val="14"/>
                <c:pt idx="0">
                  <c:v>5.0443906376109755E-3</c:v>
                </c:pt>
                <c:pt idx="1">
                  <c:v>1.0088781275221951E-2</c:v>
                </c:pt>
                <c:pt idx="2">
                  <c:v>2.0177562550443902E-2</c:v>
                </c:pt>
                <c:pt idx="3">
                  <c:v>4.0355125100887804E-2</c:v>
                </c:pt>
                <c:pt idx="4">
                  <c:v>8.0710250201775607E-2</c:v>
                </c:pt>
                <c:pt idx="5">
                  <c:v>0.16142050040355121</c:v>
                </c:pt>
                <c:pt idx="6">
                  <c:v>0.32284100080710243</c:v>
                </c:pt>
                <c:pt idx="7">
                  <c:v>0.64568200161420486</c:v>
                </c:pt>
                <c:pt idx="8">
                  <c:v>0.96852300242130729</c:v>
                </c:pt>
                <c:pt idx="9">
                  <c:v>1.0653753026634383</c:v>
                </c:pt>
                <c:pt idx="10">
                  <c:v>1.1622276029055689</c:v>
                </c:pt>
                <c:pt idx="11">
                  <c:v>1.2267958030669894</c:v>
                </c:pt>
                <c:pt idx="12">
                  <c:v>1.2590799031476996</c:v>
                </c:pt>
                <c:pt idx="13">
                  <c:v>1.2913640032284097</c:v>
                </c:pt>
              </c:numCache>
            </c:numRef>
          </c:val>
          <c:smooth val="0"/>
          <c:extLst>
            <c:ext xmlns:c16="http://schemas.microsoft.com/office/drawing/2014/chart" uri="{C3380CC4-5D6E-409C-BE32-E72D297353CC}">
              <c16:uniqueId val="{00000004-FE50-482D-905D-7C3B099138E4}"/>
            </c:ext>
          </c:extLst>
        </c:ser>
        <c:ser>
          <c:idx val="11"/>
          <c:order val="5"/>
          <c:tx>
            <c:strRef>
              <c:f>Projections!$A$68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Projections!$G$69:$AF$69</c15:sqref>
                  </c15:fullRef>
                </c:ext>
              </c:extLst>
              <c:f>Projections!$G$69:$T$69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5-FE50-482D-905D-7C3B099138E4}"/>
            </c:ext>
          </c:extLst>
        </c:ser>
        <c:ser>
          <c:idx val="13"/>
          <c:order val="6"/>
          <c:tx>
            <c:strRef>
              <c:f>Projections!$A$70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Projections!$G$71:$AF$71</c15:sqref>
                  </c15:fullRef>
                </c:ext>
              </c:extLst>
              <c:f>Projections!$G$71:$T$71</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6-FE50-482D-905D-7C3B099138E4}"/>
            </c:ext>
          </c:extLst>
        </c:ser>
        <c:ser>
          <c:idx val="15"/>
          <c:order val="7"/>
          <c:tx>
            <c:strRef>
              <c:f>Projections!$A$72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Projections!$G$73:$AF$73</c15:sqref>
                  </c15:fullRef>
                </c:ext>
              </c:extLst>
              <c:f>Projections!$G$73:$T$73</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7-FE50-482D-905D-7C3B099138E4}"/>
            </c:ext>
          </c:extLst>
        </c:ser>
        <c:ser>
          <c:idx val="17"/>
          <c:order val="8"/>
          <c:tx>
            <c:strRef>
              <c:f>Projections!$A$74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Projections!$G$75:$AF$75</c15:sqref>
                  </c15:fullRef>
                </c:ext>
              </c:extLst>
              <c:f>Projections!$G$75:$T$75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Projections!$G$87:$AF$87</c15:sqref>
                  </c15:fullRef>
                </c:ext>
              </c:extLst>
              <c:f>Projections!$G$87:$T$87</c:f>
              <c:numCache>
                <c:formatCode>#,##0</c:formatCode>
                <c:ptCount val="14"/>
                <c:pt idx="0">
                  <c:v>3.3125</c:v>
                </c:pt>
                <c:pt idx="1">
                  <c:v>6.625</c:v>
                </c:pt>
                <c:pt idx="2">
                  <c:v>13.25</c:v>
                </c:pt>
                <c:pt idx="3">
                  <c:v>26.5</c:v>
                </c:pt>
                <c:pt idx="4">
                  <c:v>53</c:v>
                </c:pt>
                <c:pt idx="5">
                  <c:v>106</c:v>
                </c:pt>
                <c:pt idx="6">
                  <c:v>212</c:v>
                </c:pt>
                <c:pt idx="7">
                  <c:v>424</c:v>
                </c:pt>
                <c:pt idx="8">
                  <c:v>636</c:v>
                </c:pt>
                <c:pt idx="9">
                  <c:v>699.6</c:v>
                </c:pt>
                <c:pt idx="10">
                  <c:v>763.19999999999993</c:v>
                </c:pt>
                <c:pt idx="11">
                  <c:v>805.6</c:v>
                </c:pt>
                <c:pt idx="12">
                  <c:v>826.8</c:v>
                </c:pt>
                <c:pt idx="13">
                  <c:v>848</c:v>
                </c:pt>
              </c:numCache>
            </c:numRef>
          </c:val>
          <c:smooth val="0"/>
          <c:extLst>
            <c:ext xmlns:c16="http://schemas.microsoft.com/office/drawing/2014/chart" uri="{C3380CC4-5D6E-409C-BE32-E72D297353CC}">
              <c16:uniqueId val="{00000000-C5BA-4495-93D4-AC4CA8674604}"/>
            </c:ext>
          </c:extLst>
        </c:ser>
        <c:ser>
          <c:idx val="4"/>
          <c:order val="1"/>
          <c:tx>
            <c:strRef>
              <c:f>Projections!$A$85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Projections!$G$85:$AF$85</c15:sqref>
                  </c15:fullRef>
                </c:ext>
              </c:extLst>
              <c:f>Projections!$G$85:$T$85</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2232</c:v>
                </c:pt>
                <c:pt idx="11">
                  <c:v>2356</c:v>
                </c:pt>
                <c:pt idx="12">
                  <c:v>2418</c:v>
                </c:pt>
                <c:pt idx="13">
                  <c:v>2480</c:v>
                </c:pt>
              </c:numCache>
            </c:numRef>
          </c:val>
          <c:smooth val="0"/>
          <c:extLst>
            <c:ext xmlns:c16="http://schemas.microsoft.com/office/drawing/2014/chart" uri="{C3380CC4-5D6E-409C-BE32-E72D297353CC}">
              <c16:uniqueId val="{00000001-C5BA-4495-93D4-AC4CA8674604}"/>
            </c:ext>
          </c:extLst>
        </c:ser>
        <c:ser>
          <c:idx val="10"/>
          <c:order val="2"/>
          <c:tx>
            <c:strRef>
              <c:f>Projections!$A$91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Projections!$G$91:$AF$91</c15:sqref>
                  </c15:fullRef>
                </c:ext>
              </c:extLst>
              <c:f>Projections!$G$91:$T$91</c:f>
              <c:numCache>
                <c:formatCode>#,##0</c:formatCode>
                <c:ptCount val="14"/>
                <c:pt idx="0">
                  <c:v>4.75</c:v>
                </c:pt>
                <c:pt idx="1">
                  <c:v>9.5</c:v>
                </c:pt>
                <c:pt idx="2">
                  <c:v>19</c:v>
                </c:pt>
                <c:pt idx="3">
                  <c:v>38</c:v>
                </c:pt>
                <c:pt idx="4">
                  <c:v>76</c:v>
                </c:pt>
                <c:pt idx="5">
                  <c:v>152</c:v>
                </c:pt>
                <c:pt idx="6">
                  <c:v>304</c:v>
                </c:pt>
                <c:pt idx="7">
                  <c:v>608</c:v>
                </c:pt>
                <c:pt idx="8">
                  <c:v>912</c:v>
                </c:pt>
                <c:pt idx="9">
                  <c:v>1003.1999999999999</c:v>
                </c:pt>
                <c:pt idx="10">
                  <c:v>1094.3999999999999</c:v>
                </c:pt>
                <c:pt idx="11">
                  <c:v>1155.2</c:v>
                </c:pt>
                <c:pt idx="12">
                  <c:v>1185.5999999999999</c:v>
                </c:pt>
                <c:pt idx="13">
                  <c:v>1216</c:v>
                </c:pt>
              </c:numCache>
            </c:numRef>
          </c:val>
          <c:smooth val="0"/>
          <c:extLst>
            <c:ext xmlns:c16="http://schemas.microsoft.com/office/drawing/2014/chart" uri="{C3380CC4-5D6E-409C-BE32-E72D297353CC}">
              <c16:uniqueId val="{00000002-C5BA-4495-93D4-AC4CA8674604}"/>
            </c:ext>
          </c:extLst>
        </c:ser>
        <c:ser>
          <c:idx val="0"/>
          <c:order val="3"/>
          <c:tx>
            <c:strRef>
              <c:f>Projections!$A$81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1.5625</c:v>
                </c:pt>
                <c:pt idx="1">
                  <c:v>3.125</c:v>
                </c:pt>
                <c:pt idx="2">
                  <c:v>6.25</c:v>
                </c:pt>
                <c:pt idx="3">
                  <c:v>12.5</c:v>
                </c:pt>
                <c:pt idx="4">
                  <c:v>25</c:v>
                </c:pt>
                <c:pt idx="5">
                  <c:v>50</c:v>
                </c:pt>
                <c:pt idx="6">
                  <c:v>100</c:v>
                </c:pt>
                <c:pt idx="7">
                  <c:v>200</c:v>
                </c:pt>
                <c:pt idx="8">
                  <c:v>300</c:v>
                </c:pt>
                <c:pt idx="9">
                  <c:v>330</c:v>
                </c:pt>
                <c:pt idx="10">
                  <c:v>360</c:v>
                </c:pt>
                <c:pt idx="11">
                  <c:v>380</c:v>
                </c:pt>
                <c:pt idx="12">
                  <c:v>390</c:v>
                </c:pt>
                <c:pt idx="13">
                  <c:v>400</c:v>
                </c:pt>
              </c:numCache>
            </c:numRef>
          </c:val>
          <c:smooth val="0"/>
          <c:extLst>
            <c:ext xmlns:c16="http://schemas.microsoft.com/office/drawing/2014/chart" uri="{C3380CC4-5D6E-409C-BE32-E72D297353CC}">
              <c16:uniqueId val="{00000003-C5BA-4495-93D4-AC4CA8674604}"/>
            </c:ext>
          </c:extLst>
        </c:ser>
        <c:ser>
          <c:idx val="2"/>
          <c:order val="4"/>
          <c:tx>
            <c:strRef>
              <c:f>Projections!$A$83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Projections!$G$83:$AF$83</c15:sqref>
                  </c15:fullRef>
                </c:ext>
              </c:extLst>
              <c:f>Projections!$G$83:$T$83</c:f>
              <c:numCache>
                <c:formatCode>#,##0</c:formatCode>
                <c:ptCount val="14"/>
                <c:pt idx="0">
                  <c:v>1.53125</c:v>
                </c:pt>
                <c:pt idx="1">
                  <c:v>3.0625</c:v>
                </c:pt>
                <c:pt idx="2">
                  <c:v>6.125</c:v>
                </c:pt>
                <c:pt idx="3">
                  <c:v>12.25</c:v>
                </c:pt>
                <c:pt idx="4">
                  <c:v>24.5</c:v>
                </c:pt>
                <c:pt idx="5">
                  <c:v>49</c:v>
                </c:pt>
                <c:pt idx="6">
                  <c:v>98</c:v>
                </c:pt>
                <c:pt idx="7">
                  <c:v>196</c:v>
                </c:pt>
                <c:pt idx="8">
                  <c:v>294</c:v>
                </c:pt>
                <c:pt idx="9">
                  <c:v>323.40000000000003</c:v>
                </c:pt>
                <c:pt idx="10">
                  <c:v>352.8</c:v>
                </c:pt>
                <c:pt idx="11">
                  <c:v>372.40000000000003</c:v>
                </c:pt>
                <c:pt idx="12">
                  <c:v>382.2</c:v>
                </c:pt>
                <c:pt idx="13">
                  <c:v>392</c:v>
                </c:pt>
              </c:numCache>
            </c:numRef>
          </c:val>
          <c:smooth val="0"/>
          <c:extLst>
            <c:ext xmlns:c16="http://schemas.microsoft.com/office/drawing/2014/chart" uri="{C3380CC4-5D6E-409C-BE32-E72D297353CC}">
              <c16:uniqueId val="{00000004-C5BA-4495-93D4-AC4CA8674604}"/>
            </c:ext>
          </c:extLst>
        </c:ser>
        <c:ser>
          <c:idx val="8"/>
          <c:order val="5"/>
          <c:tx>
            <c:strRef>
              <c:f>Projections!$A$89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Projections!$G$89:$AF$89</c15:sqref>
                  </c15:fullRef>
                </c:ext>
              </c:extLst>
              <c:f>Projections!$G$89:$T$89</c:f>
              <c:numCache>
                <c:formatCode>#,##0</c:formatCode>
                <c:ptCount val="14"/>
                <c:pt idx="0">
                  <c:v>0.5625</c:v>
                </c:pt>
                <c:pt idx="1">
                  <c:v>1.125</c:v>
                </c:pt>
                <c:pt idx="2">
                  <c:v>2.25</c:v>
                </c:pt>
                <c:pt idx="3">
                  <c:v>4.5</c:v>
                </c:pt>
                <c:pt idx="4">
                  <c:v>9</c:v>
                </c:pt>
                <c:pt idx="5">
                  <c:v>18</c:v>
                </c:pt>
                <c:pt idx="6">
                  <c:v>36</c:v>
                </c:pt>
                <c:pt idx="7">
                  <c:v>72</c:v>
                </c:pt>
                <c:pt idx="8">
                  <c:v>107.99999999999999</c:v>
                </c:pt>
                <c:pt idx="9">
                  <c:v>118.8</c:v>
                </c:pt>
                <c:pt idx="10">
                  <c:v>129.6</c:v>
                </c:pt>
                <c:pt idx="11">
                  <c:v>136.79999999999998</c:v>
                </c:pt>
                <c:pt idx="12">
                  <c:v>140.39999999999998</c:v>
                </c:pt>
                <c:pt idx="13">
                  <c:v>144</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Projections!$G$88:$AF$88</c15:sqref>
                  </c15:fullRef>
                </c:ext>
              </c:extLst>
              <c:f>Projections!$G$88:$T$88</c:f>
              <c:numCache>
                <c:formatCode>#,##0</c:formatCode>
                <c:ptCount val="14"/>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45.791999999999994</c:v>
                </c:pt>
                <c:pt idx="11">
                  <c:v>48.335999999999999</c:v>
                </c:pt>
                <c:pt idx="12">
                  <c:v>49.607999999999997</c:v>
                </c:pt>
                <c:pt idx="13">
                  <c:v>50.879999999999995</c:v>
                </c:pt>
              </c:numCache>
            </c:numRef>
          </c:val>
          <c:smooth val="0"/>
          <c:extLst>
            <c:ext xmlns:c16="http://schemas.microsoft.com/office/drawing/2014/chart" uri="{C3380CC4-5D6E-409C-BE32-E72D297353CC}">
              <c16:uniqueId val="{00000000-5E66-4AF0-A3CA-7CF12153AA8E}"/>
            </c:ext>
          </c:extLst>
        </c:ser>
        <c:ser>
          <c:idx val="5"/>
          <c:order val="1"/>
          <c:tx>
            <c:strRef>
              <c:f>Projections!$A$85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Projections!$G$86:$AF$86</c15:sqref>
                  </c15:fullRef>
                </c:ext>
              </c:extLst>
              <c:f>Projections!$G$86:$T$86</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140.61600000000001</c:v>
                </c:pt>
                <c:pt idx="11">
                  <c:v>148.428</c:v>
                </c:pt>
                <c:pt idx="12">
                  <c:v>152.334</c:v>
                </c:pt>
                <c:pt idx="13">
                  <c:v>156.24</c:v>
                </c:pt>
              </c:numCache>
            </c:numRef>
          </c:val>
          <c:smooth val="0"/>
          <c:extLst>
            <c:ext xmlns:c16="http://schemas.microsoft.com/office/drawing/2014/chart" uri="{C3380CC4-5D6E-409C-BE32-E72D297353CC}">
              <c16:uniqueId val="{00000001-5E66-4AF0-A3CA-7CF12153AA8E}"/>
            </c:ext>
          </c:extLst>
        </c:ser>
        <c:ser>
          <c:idx val="1"/>
          <c:order val="2"/>
          <c:tx>
            <c:strRef>
              <c:f>Projections!$A$81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Projections!$G$82:$AF$82</c15:sqref>
                  </c15:fullRef>
                </c:ext>
              </c:extLst>
              <c:f>Projections!$G$82:$T$82</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37.799999999999997</c:v>
                </c:pt>
                <c:pt idx="11">
                  <c:v>39.9</c:v>
                </c:pt>
                <c:pt idx="12">
                  <c:v>40.949999999999996</c:v>
                </c:pt>
                <c:pt idx="13">
                  <c:v>42</c:v>
                </c:pt>
              </c:numCache>
            </c:numRef>
          </c:val>
          <c:smooth val="0"/>
          <c:extLst>
            <c:ext xmlns:c16="http://schemas.microsoft.com/office/drawing/2014/chart" uri="{C3380CC4-5D6E-409C-BE32-E72D297353CC}">
              <c16:uniqueId val="{00000002-5E66-4AF0-A3CA-7CF12153AA8E}"/>
            </c:ext>
          </c:extLst>
        </c:ser>
        <c:ser>
          <c:idx val="3"/>
          <c:order val="3"/>
          <c:tx>
            <c:strRef>
              <c:f>Projections!$A$83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Projections!$G$84:$AF$84</c15:sqref>
                  </c15:fullRef>
                </c:ext>
              </c:extLst>
              <c:f>Projections!$G$84:$T$84</c:f>
              <c:numCache>
                <c:formatCode>#,##0</c:formatCode>
                <c:ptCount val="14"/>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25.7544</c:v>
                </c:pt>
                <c:pt idx="11">
                  <c:v>27.185200000000002</c:v>
                </c:pt>
                <c:pt idx="12">
                  <c:v>27.900599999999997</c:v>
                </c:pt>
                <c:pt idx="13">
                  <c:v>28.616</c:v>
                </c:pt>
              </c:numCache>
            </c:numRef>
          </c:val>
          <c:smooth val="0"/>
          <c:extLst>
            <c:ext xmlns:c16="http://schemas.microsoft.com/office/drawing/2014/chart" uri="{C3380CC4-5D6E-409C-BE32-E72D297353CC}">
              <c16:uniqueId val="{00000003-5E66-4AF0-A3CA-7CF12153AA8E}"/>
            </c:ext>
          </c:extLst>
        </c:ser>
        <c:ser>
          <c:idx val="9"/>
          <c:order val="4"/>
          <c:tx>
            <c:strRef>
              <c:f>Projections!$A$89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Projections!$G$90:$AF$90</c15:sqref>
                  </c15:fullRef>
                </c:ext>
              </c:extLst>
              <c:f>Projections!$G$90:$T$90</c:f>
              <c:numCache>
                <c:formatCode>#,##0</c:formatCode>
                <c:ptCount val="14"/>
                <c:pt idx="0">
                  <c:v>3.15E-2</c:v>
                </c:pt>
                <c:pt idx="1">
                  <c:v>6.3E-2</c:v>
                </c:pt>
                <c:pt idx="2">
                  <c:v>0.126</c:v>
                </c:pt>
                <c:pt idx="3">
                  <c:v>0.252</c:v>
                </c:pt>
                <c:pt idx="4">
                  <c:v>0.504</c:v>
                </c:pt>
                <c:pt idx="5">
                  <c:v>1.008</c:v>
                </c:pt>
                <c:pt idx="6">
                  <c:v>2.016</c:v>
                </c:pt>
                <c:pt idx="7">
                  <c:v>4.032</c:v>
                </c:pt>
                <c:pt idx="8">
                  <c:v>6.0479999999999992</c:v>
                </c:pt>
                <c:pt idx="9">
                  <c:v>6.6528</c:v>
                </c:pt>
                <c:pt idx="10">
                  <c:v>7.2576000000000001</c:v>
                </c:pt>
                <c:pt idx="11">
                  <c:v>7.6607999999999992</c:v>
                </c:pt>
                <c:pt idx="12">
                  <c:v>7.8623999999999992</c:v>
                </c:pt>
                <c:pt idx="13">
                  <c:v>8.0640000000000001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Projections!$A$26</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Projections!$G$26:$AF$26</c15:sqref>
                  </c15:fullRef>
                </c:ext>
              </c:extLst>
              <c:f>Projections!$G$26:$T$26</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7200</c:v>
                </c:pt>
                <c:pt idx="11">
                  <c:v>7600</c:v>
                </c:pt>
                <c:pt idx="12">
                  <c:v>7800</c:v>
                </c:pt>
                <c:pt idx="13">
                  <c:v>8000</c:v>
                </c:pt>
              </c:numCache>
            </c:numRef>
          </c:val>
          <c:smooth val="0"/>
          <c:extLst>
            <c:ext xmlns:c16="http://schemas.microsoft.com/office/drawing/2014/chart" uri="{C3380CC4-5D6E-409C-BE32-E72D297353CC}">
              <c16:uniqueId val="{00000000-9DE3-43B6-B60B-9B4AA4851702}"/>
            </c:ext>
          </c:extLst>
        </c:ser>
        <c:ser>
          <c:idx val="1"/>
          <c:order val="1"/>
          <c:tx>
            <c:strRef>
              <c:f>Projections!$A$50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Projections!$G$50:$AF$50</c15:sqref>
                  </c15:fullRef>
                </c:ext>
              </c:extLst>
              <c:f>Projections!$G$50:$T$50</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7200</c:v>
                </c:pt>
                <c:pt idx="11" formatCode="#,##0">
                  <c:v>7600</c:v>
                </c:pt>
                <c:pt idx="12" formatCode="#,##0">
                  <c:v>7800</c:v>
                </c:pt>
                <c:pt idx="13"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Projections!$A$40</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Projections!$G$40:$AF$40</c15:sqref>
                  </c15:fullRef>
                </c:ext>
              </c:extLst>
              <c:f>Projections!$G$40:$T$40</c:f>
              <c:numCache>
                <c:formatCode>#,##0_ ;[Red]\-#,##0\ </c:formatCode>
                <c:ptCount val="14"/>
                <c:pt idx="0">
                  <c:v>0.4375</c:v>
                </c:pt>
                <c:pt idx="1">
                  <c:v>0.875</c:v>
                </c:pt>
                <c:pt idx="2">
                  <c:v>1.75</c:v>
                </c:pt>
                <c:pt idx="3">
                  <c:v>3.5</c:v>
                </c:pt>
                <c:pt idx="4">
                  <c:v>7</c:v>
                </c:pt>
                <c:pt idx="5">
                  <c:v>14</c:v>
                </c:pt>
                <c:pt idx="6">
                  <c:v>28</c:v>
                </c:pt>
                <c:pt idx="7">
                  <c:v>56</c:v>
                </c:pt>
                <c:pt idx="8">
                  <c:v>84</c:v>
                </c:pt>
                <c:pt idx="9">
                  <c:v>92.4</c:v>
                </c:pt>
                <c:pt idx="10">
                  <c:v>100.8</c:v>
                </c:pt>
                <c:pt idx="11">
                  <c:v>106.4</c:v>
                </c:pt>
                <c:pt idx="12">
                  <c:v>109.2</c:v>
                </c:pt>
                <c:pt idx="13">
                  <c:v>112</c:v>
                </c:pt>
              </c:numCache>
            </c:numRef>
          </c:val>
          <c:smooth val="0"/>
          <c:extLst>
            <c:ext xmlns:c16="http://schemas.microsoft.com/office/drawing/2014/chart" uri="{C3380CC4-5D6E-409C-BE32-E72D297353CC}">
              <c16:uniqueId val="{00000000-FE1B-4946-A476-7952C5C71231}"/>
            </c:ext>
          </c:extLst>
        </c:ser>
        <c:ser>
          <c:idx val="1"/>
          <c:order val="1"/>
          <c:tx>
            <c:strRef>
              <c:f>Projections!$A$54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Projections!$G$54:$AF$54</c15:sqref>
                  </c15:fullRef>
                </c:ext>
              </c:extLst>
              <c:f>Projections!$G$54:$T$54</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97</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43919.754608101852</c:v>
                </c:pt>
                <c:pt idx="1">
                  <c:v>43922.754608101852</c:v>
                </c:pt>
                <c:pt idx="2">
                  <c:v>43925.754608101852</c:v>
                </c:pt>
                <c:pt idx="3">
                  <c:v>43928.754608101852</c:v>
                </c:pt>
                <c:pt idx="4">
                  <c:v>43931.754608101852</c:v>
                </c:pt>
                <c:pt idx="5">
                  <c:v>43934.754608101852</c:v>
                </c:pt>
                <c:pt idx="6">
                  <c:v>43937.754608101852</c:v>
                </c:pt>
                <c:pt idx="7">
                  <c:v>43940.754608101852</c:v>
                </c:pt>
                <c:pt idx="8">
                  <c:v>43943.754608101852</c:v>
                </c:pt>
                <c:pt idx="9">
                  <c:v>43946.754608101852</c:v>
                </c:pt>
                <c:pt idx="10">
                  <c:v>43949.754608101852</c:v>
                </c:pt>
                <c:pt idx="11">
                  <c:v>43952.754608101852</c:v>
                </c:pt>
                <c:pt idx="12">
                  <c:v>43955.754608101852</c:v>
                </c:pt>
                <c:pt idx="13">
                  <c:v>43958.754608101852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43919.754608101852</c:v>
                </c:pt>
                <c:pt idx="1">
                  <c:v>43922.754608101852</c:v>
                </c:pt>
                <c:pt idx="2">
                  <c:v>43925.754608101852</c:v>
                </c:pt>
                <c:pt idx="3">
                  <c:v>43928.754608101852</c:v>
                </c:pt>
                <c:pt idx="4">
                  <c:v>43931.754608101852</c:v>
                </c:pt>
                <c:pt idx="5">
                  <c:v>43934.754608101852</c:v>
                </c:pt>
                <c:pt idx="6">
                  <c:v>43937.754608101852</c:v>
                </c:pt>
                <c:pt idx="7">
                  <c:v>43940.754608101852</c:v>
                </c:pt>
                <c:pt idx="8">
                  <c:v>43943.754608101852</c:v>
                </c:pt>
                <c:pt idx="9">
                  <c:v>43946.754608101852</c:v>
                </c:pt>
                <c:pt idx="10">
                  <c:v>43949.754608101852</c:v>
                </c:pt>
                <c:pt idx="11">
                  <c:v>43952.754608101852</c:v>
                </c:pt>
                <c:pt idx="12">
                  <c:v>43955.754608101852</c:v>
                </c:pt>
                <c:pt idx="13">
                  <c:v>43958.754608101852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71.428571428571431</c:v>
                </c:pt>
                <c:pt idx="3">
                  <c:v>142.85714285714286</c:v>
                </c:pt>
                <c:pt idx="4">
                  <c:v>262.85714285714289</c:v>
                </c:pt>
                <c:pt idx="5">
                  <c:v>525.71428571428578</c:v>
                </c:pt>
                <c:pt idx="6">
                  <c:v>1051.4285714285716</c:v>
                </c:pt>
                <c:pt idx="7">
                  <c:v>2037.1428571428573</c:v>
                </c:pt>
                <c:pt idx="8">
                  <c:v>4074.2857142857147</c:v>
                </c:pt>
                <c:pt idx="9">
                  <c:v>8148.5714285714294</c:v>
                </c:pt>
                <c:pt idx="10">
                  <c:v>16297.142857142859</c:v>
                </c:pt>
                <c:pt idx="11">
                  <c:v>32594.285714285717</c:v>
                </c:pt>
                <c:pt idx="12">
                  <c:v>65254.285714285725</c:v>
                </c:pt>
                <c:pt idx="13">
                  <c:v>130508.57142857145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43919.754608101852</c:v>
                </c:pt>
                <c:pt idx="1">
                  <c:v>43922.754608101852</c:v>
                </c:pt>
                <c:pt idx="2">
                  <c:v>43925.754608101852</c:v>
                </c:pt>
                <c:pt idx="3">
                  <c:v>43928.754608101852</c:v>
                </c:pt>
                <c:pt idx="4">
                  <c:v>43931.754608101852</c:v>
                </c:pt>
                <c:pt idx="5">
                  <c:v>43934.754608101852</c:v>
                </c:pt>
                <c:pt idx="6">
                  <c:v>43937.754608101852</c:v>
                </c:pt>
                <c:pt idx="7">
                  <c:v>43940.754608101852</c:v>
                </c:pt>
                <c:pt idx="8">
                  <c:v>43943.754608101852</c:v>
                </c:pt>
                <c:pt idx="9">
                  <c:v>43946.754608101852</c:v>
                </c:pt>
                <c:pt idx="10">
                  <c:v>43949.754608101852</c:v>
                </c:pt>
                <c:pt idx="11">
                  <c:v>43952.754608101852</c:v>
                </c:pt>
                <c:pt idx="12">
                  <c:v>43955.754608101852</c:v>
                </c:pt>
                <c:pt idx="13">
                  <c:v>43958.754608101852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22.857142857142858</c:v>
                </c:pt>
                <c:pt idx="5">
                  <c:v>45.714285714285715</c:v>
                </c:pt>
                <c:pt idx="6">
                  <c:v>57.142857142857146</c:v>
                </c:pt>
                <c:pt idx="7">
                  <c:v>114.28571428571429</c:v>
                </c:pt>
                <c:pt idx="8">
                  <c:v>228.57142857142858</c:v>
                </c:pt>
                <c:pt idx="9">
                  <c:v>457.14285714285717</c:v>
                </c:pt>
                <c:pt idx="10">
                  <c:v>914.28571428571433</c:v>
                </c:pt>
                <c:pt idx="11">
                  <c:v>1828.5714285714287</c:v>
                </c:pt>
                <c:pt idx="12">
                  <c:v>3657.1428571428573</c:v>
                </c:pt>
                <c:pt idx="13">
                  <c:v>7314.2857142857147</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43919.754608101852</c:v>
                </c:pt>
                <c:pt idx="1">
                  <c:v>43922.754608101852</c:v>
                </c:pt>
                <c:pt idx="2">
                  <c:v>43925.754608101852</c:v>
                </c:pt>
                <c:pt idx="3">
                  <c:v>43928.754608101852</c:v>
                </c:pt>
                <c:pt idx="4">
                  <c:v>43931.754608101852</c:v>
                </c:pt>
                <c:pt idx="5">
                  <c:v>43934.754608101852</c:v>
                </c:pt>
                <c:pt idx="6">
                  <c:v>43937.754608101852</c:v>
                </c:pt>
                <c:pt idx="7">
                  <c:v>43940.754608101852</c:v>
                </c:pt>
                <c:pt idx="8">
                  <c:v>43943.754608101852</c:v>
                </c:pt>
                <c:pt idx="9">
                  <c:v>43946.754608101852</c:v>
                </c:pt>
                <c:pt idx="10">
                  <c:v>43949.754608101852</c:v>
                </c:pt>
                <c:pt idx="11">
                  <c:v>43952.754608101852</c:v>
                </c:pt>
                <c:pt idx="12">
                  <c:v>43955.754608101852</c:v>
                </c:pt>
                <c:pt idx="13">
                  <c:v>43958.754608101852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34.285714285714285</c:v>
                </c:pt>
                <c:pt idx="7">
                  <c:v>68.571428571428569</c:v>
                </c:pt>
                <c:pt idx="8">
                  <c:v>137.14285714285714</c:v>
                </c:pt>
                <c:pt idx="9">
                  <c:v>274.28571428571428</c:v>
                </c:pt>
                <c:pt idx="10">
                  <c:v>548.57142857142856</c:v>
                </c:pt>
                <c:pt idx="11">
                  <c:v>1097.1428571428571</c:v>
                </c:pt>
                <c:pt idx="12">
                  <c:v>2194.2857142857142</c:v>
                </c:pt>
                <c:pt idx="13">
                  <c:v>4388.5714285714284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43919.754608101852</c:v>
                </c:pt>
                <c:pt idx="1">
                  <c:v>43922.754608101852</c:v>
                </c:pt>
                <c:pt idx="2">
                  <c:v>43925.754608101852</c:v>
                </c:pt>
                <c:pt idx="3">
                  <c:v>43928.754608101852</c:v>
                </c:pt>
                <c:pt idx="4">
                  <c:v>43931.754608101852</c:v>
                </c:pt>
                <c:pt idx="5">
                  <c:v>43934.754608101852</c:v>
                </c:pt>
                <c:pt idx="6">
                  <c:v>43937.754608101852</c:v>
                </c:pt>
                <c:pt idx="7">
                  <c:v>43940.754608101852</c:v>
                </c:pt>
                <c:pt idx="8">
                  <c:v>43943.754608101852</c:v>
                </c:pt>
                <c:pt idx="9">
                  <c:v>43946.754608101852</c:v>
                </c:pt>
                <c:pt idx="10">
                  <c:v>43949.754608101852</c:v>
                </c:pt>
                <c:pt idx="11">
                  <c:v>43952.754608101852</c:v>
                </c:pt>
                <c:pt idx="12">
                  <c:v>43955.754608101852</c:v>
                </c:pt>
                <c:pt idx="13">
                  <c:v>43958.754608101852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88.183421516754848</c:v>
                </c:pt>
                <c:pt idx="1">
                  <c:v>176.3668430335097</c:v>
                </c:pt>
                <c:pt idx="2">
                  <c:v>352.73368606701939</c:v>
                </c:pt>
                <c:pt idx="3">
                  <c:v>705.46737213403878</c:v>
                </c:pt>
                <c:pt idx="4">
                  <c:v>1410.9347442680776</c:v>
                </c:pt>
                <c:pt idx="5">
                  <c:v>2821.8694885361551</c:v>
                </c:pt>
                <c:pt idx="6">
                  <c:v>5643.7389770723103</c:v>
                </c:pt>
                <c:pt idx="7">
                  <c:v>11287.477954144621</c:v>
                </c:pt>
                <c:pt idx="8">
                  <c:v>22574.955908289241</c:v>
                </c:pt>
                <c:pt idx="9">
                  <c:v>45149.911816578482</c:v>
                </c:pt>
                <c:pt idx="10">
                  <c:v>90299.823633156964</c:v>
                </c:pt>
                <c:pt idx="11">
                  <c:v>180599.64726631393</c:v>
                </c:pt>
                <c:pt idx="12">
                  <c:v>361199.29453262786</c:v>
                </c:pt>
                <c:pt idx="13">
                  <c:v>722398.58906525571</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43919.754608101852</c:v>
                </c:pt>
                <c:pt idx="1">
                  <c:v>43922.754608101852</c:v>
                </c:pt>
                <c:pt idx="2">
                  <c:v>43925.754608101852</c:v>
                </c:pt>
                <c:pt idx="3">
                  <c:v>43928.754608101852</c:v>
                </c:pt>
                <c:pt idx="4">
                  <c:v>43931.754608101852</c:v>
                </c:pt>
                <c:pt idx="5">
                  <c:v>43934.754608101852</c:v>
                </c:pt>
                <c:pt idx="6">
                  <c:v>43937.754608101852</c:v>
                </c:pt>
                <c:pt idx="7">
                  <c:v>43940.754608101852</c:v>
                </c:pt>
                <c:pt idx="8">
                  <c:v>43943.754608101852</c:v>
                </c:pt>
                <c:pt idx="9">
                  <c:v>43946.754608101852</c:v>
                </c:pt>
                <c:pt idx="10">
                  <c:v>43949.754608101852</c:v>
                </c:pt>
                <c:pt idx="11">
                  <c:v>43952.754608101852</c:v>
                </c:pt>
                <c:pt idx="12">
                  <c:v>43955.754608101852</c:v>
                </c:pt>
                <c:pt idx="13">
                  <c:v>43958.754608101852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16.754850088183417</c:v>
                </c:pt>
                <c:pt idx="1">
                  <c:v>33.509700176366835</c:v>
                </c:pt>
                <c:pt idx="2">
                  <c:v>67.019400352733669</c:v>
                </c:pt>
                <c:pt idx="3">
                  <c:v>134.03880070546734</c:v>
                </c:pt>
                <c:pt idx="4">
                  <c:v>268.07760141093468</c:v>
                </c:pt>
                <c:pt idx="5">
                  <c:v>536.15520282186935</c:v>
                </c:pt>
                <c:pt idx="6">
                  <c:v>1072.3104056437387</c:v>
                </c:pt>
                <c:pt idx="7">
                  <c:v>2144.6208112874774</c:v>
                </c:pt>
                <c:pt idx="8">
                  <c:v>4289.2416225749548</c:v>
                </c:pt>
                <c:pt idx="9">
                  <c:v>8578.4832451499096</c:v>
                </c:pt>
                <c:pt idx="10">
                  <c:v>17156.966490299819</c:v>
                </c:pt>
                <c:pt idx="11">
                  <c:v>34313.932980599639</c:v>
                </c:pt>
                <c:pt idx="12">
                  <c:v>68627.865961199277</c:v>
                </c:pt>
                <c:pt idx="13">
                  <c:v>137255.73192239855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43919.754608101852</c:v>
                </c:pt>
                <c:pt idx="1">
                  <c:v>43922.754608101852</c:v>
                </c:pt>
                <c:pt idx="2">
                  <c:v>43925.754608101852</c:v>
                </c:pt>
                <c:pt idx="3">
                  <c:v>43928.754608101852</c:v>
                </c:pt>
                <c:pt idx="4">
                  <c:v>43931.754608101852</c:v>
                </c:pt>
                <c:pt idx="5">
                  <c:v>43934.754608101852</c:v>
                </c:pt>
                <c:pt idx="6">
                  <c:v>43937.754608101852</c:v>
                </c:pt>
                <c:pt idx="7">
                  <c:v>43940.754608101852</c:v>
                </c:pt>
                <c:pt idx="8">
                  <c:v>43943.754608101852</c:v>
                </c:pt>
                <c:pt idx="9">
                  <c:v>43946.754608101852</c:v>
                </c:pt>
                <c:pt idx="10">
                  <c:v>43949.754608101852</c:v>
                </c:pt>
                <c:pt idx="11">
                  <c:v>43952.754608101852</c:v>
                </c:pt>
                <c:pt idx="12">
                  <c:v>43955.754608101852</c:v>
                </c:pt>
                <c:pt idx="13">
                  <c:v>43958.754608101852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43919.754608101852</c:v>
                </c:pt>
                <c:pt idx="1">
                  <c:v>43922.754608101852</c:v>
                </c:pt>
                <c:pt idx="2">
                  <c:v>43925.754608101852</c:v>
                </c:pt>
                <c:pt idx="3">
                  <c:v>43928.754608101852</c:v>
                </c:pt>
                <c:pt idx="4">
                  <c:v>43931.754608101852</c:v>
                </c:pt>
                <c:pt idx="5">
                  <c:v>43934.754608101852</c:v>
                </c:pt>
                <c:pt idx="6">
                  <c:v>43937.754608101852</c:v>
                </c:pt>
                <c:pt idx="7">
                  <c:v>43940.754608101852</c:v>
                </c:pt>
                <c:pt idx="8">
                  <c:v>43943.754608101852</c:v>
                </c:pt>
                <c:pt idx="9">
                  <c:v>43946.754608101852</c:v>
                </c:pt>
                <c:pt idx="10">
                  <c:v>43949.754608101852</c:v>
                </c:pt>
                <c:pt idx="11">
                  <c:v>43952.754608101852</c:v>
                </c:pt>
                <c:pt idx="12">
                  <c:v>43955.754608101852</c:v>
                </c:pt>
                <c:pt idx="13">
                  <c:v>43958.754608101852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43919.754608101852</c:v>
                </c:pt>
                <c:pt idx="1">
                  <c:v>43922.754608101852</c:v>
                </c:pt>
                <c:pt idx="2">
                  <c:v>43925.754608101852</c:v>
                </c:pt>
                <c:pt idx="3">
                  <c:v>43928.754608101852</c:v>
                </c:pt>
                <c:pt idx="4">
                  <c:v>43931.754608101852</c:v>
                </c:pt>
                <c:pt idx="5">
                  <c:v>43934.754608101852</c:v>
                </c:pt>
                <c:pt idx="6">
                  <c:v>43937.754608101852</c:v>
                </c:pt>
                <c:pt idx="7">
                  <c:v>43940.754608101852</c:v>
                </c:pt>
                <c:pt idx="8">
                  <c:v>43943.754608101852</c:v>
                </c:pt>
                <c:pt idx="9">
                  <c:v>43946.754608101852</c:v>
                </c:pt>
                <c:pt idx="10">
                  <c:v>43949.754608101852</c:v>
                </c:pt>
                <c:pt idx="11">
                  <c:v>43952.754608101852</c:v>
                </c:pt>
                <c:pt idx="12">
                  <c:v>43955.754608101852</c:v>
                </c:pt>
                <c:pt idx="13">
                  <c:v>43958.754608101852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71.428571428571431</c:v>
                </c:pt>
                <c:pt idx="3">
                  <c:v>142.85714285714286</c:v>
                </c:pt>
                <c:pt idx="4">
                  <c:v>262.85714285714289</c:v>
                </c:pt>
                <c:pt idx="5">
                  <c:v>525.71428571428578</c:v>
                </c:pt>
                <c:pt idx="6">
                  <c:v>1051.4285714285716</c:v>
                </c:pt>
                <c:pt idx="7">
                  <c:v>2037.1428571428573</c:v>
                </c:pt>
                <c:pt idx="8">
                  <c:v>4074.2857142857147</c:v>
                </c:pt>
                <c:pt idx="9">
                  <c:v>8148.5714285714294</c:v>
                </c:pt>
                <c:pt idx="10">
                  <c:v>16297.142857142859</c:v>
                </c:pt>
                <c:pt idx="11">
                  <c:v>32594.285714285717</c:v>
                </c:pt>
                <c:pt idx="12">
                  <c:v>65254.285714285725</c:v>
                </c:pt>
                <c:pt idx="13">
                  <c:v>130508.57142857145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43919.754608101852</c:v>
                </c:pt>
                <c:pt idx="1">
                  <c:v>43922.754608101852</c:v>
                </c:pt>
                <c:pt idx="2">
                  <c:v>43925.754608101852</c:v>
                </c:pt>
                <c:pt idx="3">
                  <c:v>43928.754608101852</c:v>
                </c:pt>
                <c:pt idx="4">
                  <c:v>43931.754608101852</c:v>
                </c:pt>
                <c:pt idx="5">
                  <c:v>43934.754608101852</c:v>
                </c:pt>
                <c:pt idx="6">
                  <c:v>43937.754608101852</c:v>
                </c:pt>
                <c:pt idx="7">
                  <c:v>43940.754608101852</c:v>
                </c:pt>
                <c:pt idx="8">
                  <c:v>43943.754608101852</c:v>
                </c:pt>
                <c:pt idx="9">
                  <c:v>43946.754608101852</c:v>
                </c:pt>
                <c:pt idx="10">
                  <c:v>43949.754608101852</c:v>
                </c:pt>
                <c:pt idx="11">
                  <c:v>43952.754608101852</c:v>
                </c:pt>
                <c:pt idx="12">
                  <c:v>43955.754608101852</c:v>
                </c:pt>
                <c:pt idx="13">
                  <c:v>43958.754608101852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22.857142857142858</c:v>
                </c:pt>
                <c:pt idx="5">
                  <c:v>45.714285714285715</c:v>
                </c:pt>
                <c:pt idx="6">
                  <c:v>57.142857142857146</c:v>
                </c:pt>
                <c:pt idx="7">
                  <c:v>114.28571428571429</c:v>
                </c:pt>
                <c:pt idx="8">
                  <c:v>228.57142857142858</c:v>
                </c:pt>
                <c:pt idx="9">
                  <c:v>457.14285714285717</c:v>
                </c:pt>
                <c:pt idx="10">
                  <c:v>914.28571428571433</c:v>
                </c:pt>
                <c:pt idx="11">
                  <c:v>1828.5714285714287</c:v>
                </c:pt>
                <c:pt idx="12">
                  <c:v>3657.1428571428573</c:v>
                </c:pt>
                <c:pt idx="13">
                  <c:v>7314.2857142857147</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43919.754608101852</c:v>
                </c:pt>
                <c:pt idx="1">
                  <c:v>43922.754608101852</c:v>
                </c:pt>
                <c:pt idx="2">
                  <c:v>43925.754608101852</c:v>
                </c:pt>
                <c:pt idx="3">
                  <c:v>43928.754608101852</c:v>
                </c:pt>
                <c:pt idx="4">
                  <c:v>43931.754608101852</c:v>
                </c:pt>
                <c:pt idx="5">
                  <c:v>43934.754608101852</c:v>
                </c:pt>
                <c:pt idx="6">
                  <c:v>43937.754608101852</c:v>
                </c:pt>
                <c:pt idx="7">
                  <c:v>43940.754608101852</c:v>
                </c:pt>
                <c:pt idx="8">
                  <c:v>43943.754608101852</c:v>
                </c:pt>
                <c:pt idx="9">
                  <c:v>43946.754608101852</c:v>
                </c:pt>
                <c:pt idx="10">
                  <c:v>43949.754608101852</c:v>
                </c:pt>
                <c:pt idx="11">
                  <c:v>43952.754608101852</c:v>
                </c:pt>
                <c:pt idx="12">
                  <c:v>43955.754608101852</c:v>
                </c:pt>
                <c:pt idx="13">
                  <c:v>43958.754608101852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34.285714285714285</c:v>
                </c:pt>
                <c:pt idx="7">
                  <c:v>68.571428571428569</c:v>
                </c:pt>
                <c:pt idx="8">
                  <c:v>137.14285714285714</c:v>
                </c:pt>
                <c:pt idx="9">
                  <c:v>274.28571428571428</c:v>
                </c:pt>
                <c:pt idx="10">
                  <c:v>548.57142857142856</c:v>
                </c:pt>
                <c:pt idx="11">
                  <c:v>1097.1428571428571</c:v>
                </c:pt>
                <c:pt idx="12">
                  <c:v>2194.2857142857142</c:v>
                </c:pt>
                <c:pt idx="13">
                  <c:v>4388.5714285714284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Projections!$A$36</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Projections!$G$36:$AF$36</c15:sqref>
                  </c15:fullRef>
                </c:ext>
              </c:extLst>
              <c:f>Projections!$G$36:$T$36</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574.77618799654329</c:v>
                </c:pt>
                <c:pt idx="9">
                  <c:v>859.05698537255921</c:v>
                </c:pt>
                <c:pt idx="10">
                  <c:v>11213.752420187644</c:v>
                </c:pt>
                <c:pt idx="11">
                  <c:v>2181.5348648467257</c:v>
                </c:pt>
                <c:pt idx="12">
                  <c:v>941.98943379503021</c:v>
                </c:pt>
                <c:pt idx="13">
                  <c:v>713.45778394840875</c:v>
                </c:pt>
              </c:numCache>
            </c:numRef>
          </c:val>
          <c:smooth val="0"/>
          <c:extLst>
            <c:ext xmlns:c16="http://schemas.microsoft.com/office/drawing/2014/chart" uri="{C3380CC4-5D6E-409C-BE32-E72D297353CC}">
              <c16:uniqueId val="{00000003-5231-4BE2-97ED-54F0C3DB105C}"/>
            </c:ext>
          </c:extLst>
        </c:ser>
        <c:ser>
          <c:idx val="2"/>
          <c:order val="1"/>
          <c:tx>
            <c:strRef>
              <c:f>Projections!$A$37</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Projections!$G$37:$AF$37</c15:sqref>
                  </c15:fullRef>
                </c:ext>
              </c:extLst>
              <c:f>Projections!$G$37:$T$37</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489.33133033984944</c:v>
                </c:pt>
                <c:pt idx="9">
                  <c:v>376.35533838085632</c:v>
                </c:pt>
                <c:pt idx="10">
                  <c:v>9246.1323596687616</c:v>
                </c:pt>
                <c:pt idx="11">
                  <c:v>1657.879999325685</c:v>
                </c:pt>
                <c:pt idx="12">
                  <c:v>689.60463565498367</c:v>
                </c:pt>
                <c:pt idx="13">
                  <c:v>0</c:v>
                </c:pt>
              </c:numCache>
            </c:numRef>
          </c:val>
          <c:smooth val="0"/>
          <c:extLst>
            <c:ext xmlns:c16="http://schemas.microsoft.com/office/drawing/2014/chart" uri="{C3380CC4-5D6E-409C-BE32-E72D297353CC}">
              <c16:uniqueId val="{00000002-9381-4A4E-BB43-DCD8EC2F4E00}"/>
            </c:ext>
          </c:extLst>
        </c:ser>
        <c:ser>
          <c:idx val="0"/>
          <c:order val="2"/>
          <c:tx>
            <c:strRef>
              <c:f>Projections!$A$38</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Projections!$G$38:$AF$38</c15:sqref>
                  </c15:fullRef>
                </c:ext>
              </c:extLst>
              <c:f>Projections!$G$38:$T$38</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1967.6200605188817</c:v>
                </c:pt>
                <c:pt idx="11">
                  <c:v>523.65486552104062</c:v>
                </c:pt>
                <c:pt idx="12">
                  <c:v>252.3847981400466</c:v>
                </c:pt>
                <c:pt idx="13">
                  <c:v>438.47366093377912</c:v>
                </c:pt>
              </c:numCache>
            </c:numRef>
          </c:val>
          <c:smooth val="0"/>
          <c:extLst>
            <c:ext xmlns:c16="http://schemas.microsoft.com/office/drawing/2014/chart" uri="{C3380CC4-5D6E-409C-BE32-E72D297353CC}">
              <c16:uniqueId val="{00000000-9381-4A4E-BB43-DCD8EC2F4E00}"/>
            </c:ext>
          </c:extLst>
        </c:ser>
        <c:ser>
          <c:idx val="4"/>
          <c:order val="3"/>
          <c:tx>
            <c:strRef>
              <c:f>Projections!$A$39</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Projections!$G$39:$AF$39</c15:sqref>
                  </c15:fullRef>
                </c:ext>
              </c:extLst>
              <c:f>Projections!$G$39:$T$39</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1967.6200605188817</c:v>
                </c:pt>
                <c:pt idx="11">
                  <c:v>523.65486552104062</c:v>
                </c:pt>
                <c:pt idx="12">
                  <c:v>252.3847981400466</c:v>
                </c:pt>
                <c:pt idx="13">
                  <c:v>0</c:v>
                </c:pt>
              </c:numCache>
            </c:numRef>
          </c:val>
          <c:smooth val="0"/>
          <c:extLst>
            <c:ext xmlns:c16="http://schemas.microsoft.com/office/drawing/2014/chart" uri="{C3380CC4-5D6E-409C-BE32-E72D297353CC}">
              <c16:uniqueId val="{00000003-9381-4A4E-BB43-DCD8EC2F4E00}"/>
            </c:ext>
          </c:extLst>
        </c:ser>
        <c:ser>
          <c:idx val="1"/>
          <c:order val="4"/>
          <c:tx>
            <c:strRef>
              <c:f>Projections!$A$40</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Projections!$G$40:$AF$40</c15:sqref>
                  </c15:fullRef>
                </c:ext>
              </c:extLst>
              <c:f>Projections!$G$40:$T$40</c:f>
              <c:numCache>
                <c:formatCode>#,##0_ ;[Red]\-#,##0\ </c:formatCode>
                <c:ptCount val="14"/>
                <c:pt idx="0">
                  <c:v>0.4375</c:v>
                </c:pt>
                <c:pt idx="1">
                  <c:v>0.875</c:v>
                </c:pt>
                <c:pt idx="2">
                  <c:v>1.75</c:v>
                </c:pt>
                <c:pt idx="3">
                  <c:v>3.5</c:v>
                </c:pt>
                <c:pt idx="4">
                  <c:v>7</c:v>
                </c:pt>
                <c:pt idx="5">
                  <c:v>14</c:v>
                </c:pt>
                <c:pt idx="6">
                  <c:v>28</c:v>
                </c:pt>
                <c:pt idx="7">
                  <c:v>56</c:v>
                </c:pt>
                <c:pt idx="8">
                  <c:v>84</c:v>
                </c:pt>
                <c:pt idx="9">
                  <c:v>92.4</c:v>
                </c:pt>
                <c:pt idx="10">
                  <c:v>100.8</c:v>
                </c:pt>
                <c:pt idx="11">
                  <c:v>106.4</c:v>
                </c:pt>
                <c:pt idx="12">
                  <c:v>109.2</c:v>
                </c:pt>
                <c:pt idx="13">
                  <c:v>112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Projections!$G$58:$AF$58</c15:sqref>
                  </c15:fullRef>
                </c:ext>
              </c:extLst>
              <c:f>Projections!$G$58:$T$58</c:f>
              <c:numCache>
                <c:formatCode>#,##0</c:formatCode>
                <c:ptCount val="14"/>
                <c:pt idx="0">
                  <c:v>1.0593220338983051</c:v>
                </c:pt>
                <c:pt idx="1">
                  <c:v>2.1186440677966103</c:v>
                </c:pt>
                <c:pt idx="2">
                  <c:v>4.2372881355932206</c:v>
                </c:pt>
                <c:pt idx="3">
                  <c:v>8.4745762711864412</c:v>
                </c:pt>
                <c:pt idx="4">
                  <c:v>16.949152542372882</c:v>
                </c:pt>
                <c:pt idx="5">
                  <c:v>33.898305084745765</c:v>
                </c:pt>
                <c:pt idx="6">
                  <c:v>67.79661016949153</c:v>
                </c:pt>
                <c:pt idx="7">
                  <c:v>135.59322033898306</c:v>
                </c:pt>
                <c:pt idx="8">
                  <c:v>203.38983050847457</c:v>
                </c:pt>
                <c:pt idx="9">
                  <c:v>223.72881355932202</c:v>
                </c:pt>
                <c:pt idx="10">
                  <c:v>244.06779661016949</c:v>
                </c:pt>
                <c:pt idx="11">
                  <c:v>257.62711864406782</c:v>
                </c:pt>
                <c:pt idx="12">
                  <c:v>264.40677966101697</c:v>
                </c:pt>
                <c:pt idx="13">
                  <c:v>271.18644067796612</c:v>
                </c:pt>
              </c:numCache>
            </c:numRef>
          </c:val>
          <c:smooth val="0"/>
          <c:extLst>
            <c:ext xmlns:c16="http://schemas.microsoft.com/office/drawing/2014/chart" uri="{C3380CC4-5D6E-409C-BE32-E72D297353CC}">
              <c16:uniqueId val="{00000000-04B6-450D-AD81-6BF382C059D1}"/>
            </c:ext>
          </c:extLst>
        </c:ser>
        <c:ser>
          <c:idx val="2"/>
          <c:order val="1"/>
          <c:tx>
            <c:strRef>
              <c:f>Projections!$A$60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Projections!$G$60:$AF$60</c15:sqref>
                  </c15:fullRef>
                </c:ext>
              </c:extLst>
              <c:f>Projections!$G$60:$T$60</c:f>
              <c:numCache>
                <c:formatCode>#,##0</c:formatCode>
                <c:ptCount val="14"/>
                <c:pt idx="0">
                  <c:v>3.420096852300242</c:v>
                </c:pt>
                <c:pt idx="1">
                  <c:v>6.8401937046004839</c:v>
                </c:pt>
                <c:pt idx="2">
                  <c:v>13.680387409200968</c:v>
                </c:pt>
                <c:pt idx="3">
                  <c:v>27.360774818401936</c:v>
                </c:pt>
                <c:pt idx="4">
                  <c:v>54.721549636803871</c:v>
                </c:pt>
                <c:pt idx="5">
                  <c:v>109.44309927360774</c:v>
                </c:pt>
                <c:pt idx="6">
                  <c:v>218.88619854721549</c:v>
                </c:pt>
                <c:pt idx="7">
                  <c:v>437.77239709443097</c:v>
                </c:pt>
                <c:pt idx="8">
                  <c:v>656.65859564164646</c:v>
                </c:pt>
                <c:pt idx="9">
                  <c:v>722.32445520581109</c:v>
                </c:pt>
                <c:pt idx="10">
                  <c:v>787.99031476997584</c:v>
                </c:pt>
                <c:pt idx="11">
                  <c:v>831.76755447941889</c:v>
                </c:pt>
                <c:pt idx="12">
                  <c:v>853.65617433414047</c:v>
                </c:pt>
                <c:pt idx="13">
                  <c:v>875.54479418886194</c:v>
                </c:pt>
              </c:numCache>
            </c:numRef>
          </c:val>
          <c:smooth val="0"/>
          <c:extLst>
            <c:ext xmlns:c16="http://schemas.microsoft.com/office/drawing/2014/chart" uri="{C3380CC4-5D6E-409C-BE32-E72D297353CC}">
              <c16:uniqueId val="{00000002-04B6-450D-AD81-6BF382C059D1}"/>
            </c:ext>
          </c:extLst>
        </c:ser>
        <c:ser>
          <c:idx val="4"/>
          <c:order val="2"/>
          <c:tx>
            <c:strRef>
              <c:f>Projections!$A$62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Projections!$G$62:$AF$62</c15:sqref>
                  </c15:fullRef>
                </c:ext>
              </c:extLst>
              <c:f>Projections!$G$62:$T$62</c:f>
              <c:numCache>
                <c:formatCode>#,##0</c:formatCode>
                <c:ptCount val="14"/>
                <c:pt idx="0">
                  <c:v>5.2663438256658592</c:v>
                </c:pt>
                <c:pt idx="1">
                  <c:v>10.532687651331718</c:v>
                </c:pt>
                <c:pt idx="2">
                  <c:v>21.065375302663437</c:v>
                </c:pt>
                <c:pt idx="3">
                  <c:v>42.130750605326874</c:v>
                </c:pt>
                <c:pt idx="4">
                  <c:v>84.261501210653748</c:v>
                </c:pt>
                <c:pt idx="5">
                  <c:v>168.5230024213075</c:v>
                </c:pt>
                <c:pt idx="6">
                  <c:v>337.04600484261499</c:v>
                </c:pt>
                <c:pt idx="7">
                  <c:v>674.09200968522998</c:v>
                </c:pt>
                <c:pt idx="8">
                  <c:v>1011.1380145278449</c:v>
                </c:pt>
                <c:pt idx="9">
                  <c:v>1112.2518159806295</c:v>
                </c:pt>
                <c:pt idx="10">
                  <c:v>1213.3656174334139</c:v>
                </c:pt>
                <c:pt idx="11">
                  <c:v>1280.774818401937</c:v>
                </c:pt>
                <c:pt idx="12">
                  <c:v>1314.4794188861983</c:v>
                </c:pt>
                <c:pt idx="13">
                  <c:v>1348.18401937046</c:v>
                </c:pt>
              </c:numCache>
            </c:numRef>
          </c:val>
          <c:smooth val="0"/>
          <c:extLst>
            <c:ext xmlns:c16="http://schemas.microsoft.com/office/drawing/2014/chart" uri="{C3380CC4-5D6E-409C-BE32-E72D297353CC}">
              <c16:uniqueId val="{00000004-04B6-450D-AD81-6BF382C059D1}"/>
            </c:ext>
          </c:extLst>
        </c:ser>
        <c:ser>
          <c:idx val="6"/>
          <c:order val="3"/>
          <c:tx>
            <c:strRef>
              <c:f>Projections!$A$64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Projections!$G$64:$AF$64</c15:sqref>
                  </c15:fullRef>
                </c:ext>
              </c:extLst>
              <c:f>Projections!$G$64:$T$64</c:f>
              <c:numCache>
                <c:formatCode>#,##0</c:formatCode>
                <c:ptCount val="14"/>
                <c:pt idx="0">
                  <c:v>5.0746569814366422</c:v>
                </c:pt>
                <c:pt idx="1">
                  <c:v>10.149313962873284</c:v>
                </c:pt>
                <c:pt idx="2">
                  <c:v>20.298627925746569</c:v>
                </c:pt>
                <c:pt idx="3">
                  <c:v>40.597255851493138</c:v>
                </c:pt>
                <c:pt idx="4">
                  <c:v>81.194511702986276</c:v>
                </c:pt>
                <c:pt idx="5">
                  <c:v>162.38902340597255</c:v>
                </c:pt>
                <c:pt idx="6">
                  <c:v>324.7780468119451</c:v>
                </c:pt>
                <c:pt idx="7">
                  <c:v>649.55609362389021</c:v>
                </c:pt>
                <c:pt idx="8">
                  <c:v>974.33414043583537</c:v>
                </c:pt>
                <c:pt idx="9">
                  <c:v>1071.7675544794188</c:v>
                </c:pt>
                <c:pt idx="10">
                  <c:v>1169.2009685230023</c:v>
                </c:pt>
                <c:pt idx="11">
                  <c:v>1234.1565778853915</c:v>
                </c:pt>
                <c:pt idx="12">
                  <c:v>1266.6343825665858</c:v>
                </c:pt>
                <c:pt idx="13">
                  <c:v>1299.1121872477804</c:v>
                </c:pt>
              </c:numCache>
            </c:numRef>
          </c:val>
          <c:smooth val="0"/>
          <c:extLst>
            <c:ext xmlns:c16="http://schemas.microsoft.com/office/drawing/2014/chart" uri="{C3380CC4-5D6E-409C-BE32-E72D297353CC}">
              <c16:uniqueId val="{00000006-04B6-450D-AD81-6BF382C059D1}"/>
            </c:ext>
          </c:extLst>
        </c:ser>
        <c:ser>
          <c:idx val="8"/>
          <c:order val="4"/>
          <c:tx>
            <c:strRef>
              <c:f>Projections!$A$66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Projections!$G$66:$AF$66</c15:sqref>
                  </c15:fullRef>
                </c:ext>
              </c:extLst>
              <c:f>Projections!$G$66:$T$66</c:f>
              <c:numCache>
                <c:formatCode>#,##0</c:formatCode>
                <c:ptCount val="14"/>
                <c:pt idx="0">
                  <c:v>3.9598466505246162</c:v>
                </c:pt>
                <c:pt idx="1">
                  <c:v>7.9196933010492323</c:v>
                </c:pt>
                <c:pt idx="2">
                  <c:v>15.839386602098465</c:v>
                </c:pt>
                <c:pt idx="3">
                  <c:v>31.678773204196929</c:v>
                </c:pt>
                <c:pt idx="4">
                  <c:v>63.357546408393858</c:v>
                </c:pt>
                <c:pt idx="5">
                  <c:v>126.71509281678772</c:v>
                </c:pt>
                <c:pt idx="6">
                  <c:v>253.43018563357543</c:v>
                </c:pt>
                <c:pt idx="7">
                  <c:v>506.86037126715087</c:v>
                </c:pt>
                <c:pt idx="8">
                  <c:v>760.2905569007263</c:v>
                </c:pt>
                <c:pt idx="9">
                  <c:v>836.31961259079901</c:v>
                </c:pt>
                <c:pt idx="10">
                  <c:v>912.34866828087161</c:v>
                </c:pt>
                <c:pt idx="11">
                  <c:v>963.03470540758667</c:v>
                </c:pt>
                <c:pt idx="12">
                  <c:v>988.3777239709442</c:v>
                </c:pt>
                <c:pt idx="13">
                  <c:v>1013.7207425343017</c:v>
                </c:pt>
              </c:numCache>
            </c:numRef>
          </c:val>
          <c:smooth val="0"/>
          <c:extLst>
            <c:ext xmlns:c16="http://schemas.microsoft.com/office/drawing/2014/chart" uri="{C3380CC4-5D6E-409C-BE32-E72D297353CC}">
              <c16:uniqueId val="{00000008-04B6-450D-AD81-6BF382C059D1}"/>
            </c:ext>
          </c:extLst>
        </c:ser>
        <c:ser>
          <c:idx val="10"/>
          <c:order val="5"/>
          <c:tx>
            <c:strRef>
              <c:f>Projections!$A$68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Projections!$G$68:$AF$68</c15:sqref>
                  </c15:fullRef>
                </c:ext>
              </c:extLst>
              <c:f>Projections!$G$68:$T$68</c:f>
              <c:numCache>
                <c:formatCode>#,##0</c:formatCode>
                <c:ptCount val="14"/>
                <c:pt idx="0">
                  <c:v>4.9485472154963688</c:v>
                </c:pt>
                <c:pt idx="1">
                  <c:v>9.8970944309927376</c:v>
                </c:pt>
                <c:pt idx="2">
                  <c:v>19.794188861985475</c:v>
                </c:pt>
                <c:pt idx="3">
                  <c:v>39.58837772397095</c:v>
                </c:pt>
                <c:pt idx="4">
                  <c:v>79.1767554479419</c:v>
                </c:pt>
                <c:pt idx="5">
                  <c:v>158.3535108958838</c:v>
                </c:pt>
                <c:pt idx="6">
                  <c:v>316.7070217917676</c:v>
                </c:pt>
                <c:pt idx="7">
                  <c:v>633.4140435835352</c:v>
                </c:pt>
                <c:pt idx="8">
                  <c:v>950.12106537530269</c:v>
                </c:pt>
                <c:pt idx="9">
                  <c:v>1045.1331719128329</c:v>
                </c:pt>
                <c:pt idx="10">
                  <c:v>1140.1452784503633</c:v>
                </c:pt>
                <c:pt idx="11">
                  <c:v>1203.4866828087168</c:v>
                </c:pt>
                <c:pt idx="12">
                  <c:v>1235.1573849878935</c:v>
                </c:pt>
                <c:pt idx="13">
                  <c:v>1266.8280871670704</c:v>
                </c:pt>
              </c:numCache>
            </c:numRef>
          </c:val>
          <c:smooth val="0"/>
          <c:extLst>
            <c:ext xmlns:c16="http://schemas.microsoft.com/office/drawing/2014/chart" uri="{C3380CC4-5D6E-409C-BE32-E72D297353CC}">
              <c16:uniqueId val="{0000000A-04B6-450D-AD81-6BF382C059D1}"/>
            </c:ext>
          </c:extLst>
        </c:ser>
        <c:ser>
          <c:idx val="12"/>
          <c:order val="6"/>
          <c:tx>
            <c:strRef>
              <c:f>Projections!$A$70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Projections!$G$70:$AF$70</c15:sqref>
                  </c15:fullRef>
                </c:ext>
              </c:extLst>
              <c:f>Projections!$G$70:$T$70</c:f>
              <c:numCache>
                <c:formatCode>#,##0</c:formatCode>
                <c:ptCount val="14"/>
                <c:pt idx="0">
                  <c:v>6.2197336561743342</c:v>
                </c:pt>
                <c:pt idx="1">
                  <c:v>12.439467312348668</c:v>
                </c:pt>
                <c:pt idx="2">
                  <c:v>24.878934624697337</c:v>
                </c:pt>
                <c:pt idx="3">
                  <c:v>49.757869249394673</c:v>
                </c:pt>
                <c:pt idx="4">
                  <c:v>99.515738498789347</c:v>
                </c:pt>
                <c:pt idx="5">
                  <c:v>199.03147699757869</c:v>
                </c:pt>
                <c:pt idx="6">
                  <c:v>398.06295399515739</c:v>
                </c:pt>
                <c:pt idx="7">
                  <c:v>796.12590799031477</c:v>
                </c:pt>
                <c:pt idx="8">
                  <c:v>1194.1888619854722</c:v>
                </c:pt>
                <c:pt idx="9">
                  <c:v>1313.6077481840193</c:v>
                </c:pt>
                <c:pt idx="10">
                  <c:v>1433.0266343825667</c:v>
                </c:pt>
                <c:pt idx="11">
                  <c:v>1512.639225181598</c:v>
                </c:pt>
                <c:pt idx="12">
                  <c:v>1552.4455205811139</c:v>
                </c:pt>
                <c:pt idx="13">
                  <c:v>1592.2518159806295</c:v>
                </c:pt>
              </c:numCache>
            </c:numRef>
          </c:val>
          <c:smooth val="0"/>
          <c:extLst>
            <c:ext xmlns:c16="http://schemas.microsoft.com/office/drawing/2014/chart" uri="{C3380CC4-5D6E-409C-BE32-E72D297353CC}">
              <c16:uniqueId val="{0000000C-04B6-450D-AD81-6BF382C059D1}"/>
            </c:ext>
          </c:extLst>
        </c:ser>
        <c:ser>
          <c:idx val="14"/>
          <c:order val="7"/>
          <c:tx>
            <c:strRef>
              <c:f>Projections!$A$72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Projections!$G$72:$AF$72</c15:sqref>
                  </c15:fullRef>
                </c:ext>
              </c:extLst>
              <c:f>Projections!$G$72:$T$72</c:f>
              <c:numCache>
                <c:formatCode>#,##0</c:formatCode>
                <c:ptCount val="14"/>
                <c:pt idx="0">
                  <c:v>0.94834543987086362</c:v>
                </c:pt>
                <c:pt idx="1">
                  <c:v>1.8966908797417272</c:v>
                </c:pt>
                <c:pt idx="2">
                  <c:v>3.7933817594834545</c:v>
                </c:pt>
                <c:pt idx="3">
                  <c:v>7.5867635189669089</c:v>
                </c:pt>
                <c:pt idx="4">
                  <c:v>15.173527037933818</c:v>
                </c:pt>
                <c:pt idx="5">
                  <c:v>30.347054075867636</c:v>
                </c:pt>
                <c:pt idx="6">
                  <c:v>60.694108151735271</c:v>
                </c:pt>
                <c:pt idx="7">
                  <c:v>121.38821630347054</c:v>
                </c:pt>
                <c:pt idx="8">
                  <c:v>182.08232445520582</c:v>
                </c:pt>
                <c:pt idx="9">
                  <c:v>200.29055690072641</c:v>
                </c:pt>
                <c:pt idx="10">
                  <c:v>218.49878934624698</c:v>
                </c:pt>
                <c:pt idx="11">
                  <c:v>230.63761097659403</c:v>
                </c:pt>
                <c:pt idx="12">
                  <c:v>236.70702179176757</c:v>
                </c:pt>
                <c:pt idx="13">
                  <c:v>242.77643260694109</c:v>
                </c:pt>
              </c:numCache>
            </c:numRef>
          </c:val>
          <c:smooth val="0"/>
          <c:extLst>
            <c:ext xmlns:c16="http://schemas.microsoft.com/office/drawing/2014/chart" uri="{C3380CC4-5D6E-409C-BE32-E72D297353CC}">
              <c16:uniqueId val="{0000000E-04B6-450D-AD81-6BF382C059D1}"/>
            </c:ext>
          </c:extLst>
        </c:ser>
        <c:ser>
          <c:idx val="16"/>
          <c:order val="8"/>
          <c:tx>
            <c:strRef>
              <c:f>Projections!$A$74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Projections!$G$74:$AF$74</c15:sqref>
                  </c15:fullRef>
                </c:ext>
              </c:extLst>
              <c:f>Projections!$G$74:$T$74</c:f>
              <c:numCache>
                <c:formatCode>#,##0</c:formatCode>
                <c:ptCount val="14"/>
                <c:pt idx="0">
                  <c:v>0.35310734463276838</c:v>
                </c:pt>
                <c:pt idx="1">
                  <c:v>0.70621468926553677</c:v>
                </c:pt>
                <c:pt idx="2">
                  <c:v>1.4124293785310735</c:v>
                </c:pt>
                <c:pt idx="3">
                  <c:v>2.8248587570621471</c:v>
                </c:pt>
                <c:pt idx="4">
                  <c:v>5.6497175141242941</c:v>
                </c:pt>
                <c:pt idx="5">
                  <c:v>11.299435028248588</c:v>
                </c:pt>
                <c:pt idx="6">
                  <c:v>22.598870056497177</c:v>
                </c:pt>
                <c:pt idx="7">
                  <c:v>45.197740112994353</c:v>
                </c:pt>
                <c:pt idx="8">
                  <c:v>67.79661016949153</c:v>
                </c:pt>
                <c:pt idx="9">
                  <c:v>74.576271186440678</c:v>
                </c:pt>
                <c:pt idx="10">
                  <c:v>81.355932203389827</c:v>
                </c:pt>
                <c:pt idx="11">
                  <c:v>85.875706214689259</c:v>
                </c:pt>
                <c:pt idx="12">
                  <c:v>88.13559322033899</c:v>
                </c:pt>
                <c:pt idx="13">
                  <c:v>90.395480225988706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Projections!$G$59:$AF$59</c15:sqref>
                  </c15:fullRef>
                </c:ext>
              </c:extLst>
              <c:f>Projections!$G$59:$T$59</c:f>
              <c:numCache>
                <c:formatCode>#,##0</c:formatCode>
                <c:ptCount val="14"/>
                <c:pt idx="0">
                  <c:v>0.2623083131557708</c:v>
                </c:pt>
                <c:pt idx="1">
                  <c:v>0.5246166263115416</c:v>
                </c:pt>
                <c:pt idx="2">
                  <c:v>1.0492332526230832</c:v>
                </c:pt>
                <c:pt idx="3">
                  <c:v>2.0984665052461664</c:v>
                </c:pt>
                <c:pt idx="4">
                  <c:v>4.1969330104923328</c:v>
                </c:pt>
                <c:pt idx="5">
                  <c:v>8.3938660209846656</c:v>
                </c:pt>
                <c:pt idx="6">
                  <c:v>16.787732041969331</c:v>
                </c:pt>
                <c:pt idx="7">
                  <c:v>33.575464083938662</c:v>
                </c:pt>
                <c:pt idx="8">
                  <c:v>50.36319612590799</c:v>
                </c:pt>
                <c:pt idx="9">
                  <c:v>55.399515738498785</c:v>
                </c:pt>
                <c:pt idx="10">
                  <c:v>60.435835351089594</c:v>
                </c:pt>
                <c:pt idx="11">
                  <c:v>63.793381759483459</c:v>
                </c:pt>
                <c:pt idx="12">
                  <c:v>65.472154963680396</c:v>
                </c:pt>
                <c:pt idx="13">
                  <c:v>67.150928167877325</c:v>
                </c:pt>
              </c:numCache>
            </c:numRef>
          </c:val>
          <c:smooth val="0"/>
          <c:extLst>
            <c:ext xmlns:c16="http://schemas.microsoft.com/office/drawing/2014/chart" uri="{C3380CC4-5D6E-409C-BE32-E72D297353CC}">
              <c16:uniqueId val="{00000001-EBAD-48A5-9277-83F388186C0C}"/>
            </c:ext>
          </c:extLst>
        </c:ser>
        <c:ser>
          <c:idx val="3"/>
          <c:order val="1"/>
          <c:tx>
            <c:strRef>
              <c:f>Projections!$A$60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Projections!$G$61:$AF$61</c15:sqref>
                  </c15:fullRef>
                </c:ext>
              </c:extLst>
              <c:f>Projections!$G$61:$T$61</c:f>
              <c:numCache>
                <c:formatCode>#,##0</c:formatCode>
                <c:ptCount val="14"/>
                <c:pt idx="0">
                  <c:v>0.16646489104116222</c:v>
                </c:pt>
                <c:pt idx="1">
                  <c:v>0.33292978208232443</c:v>
                </c:pt>
                <c:pt idx="2">
                  <c:v>0.66585956416464886</c:v>
                </c:pt>
                <c:pt idx="3">
                  <c:v>1.3317191283292977</c:v>
                </c:pt>
                <c:pt idx="4">
                  <c:v>2.6634382566585955</c:v>
                </c:pt>
                <c:pt idx="5">
                  <c:v>5.3268765133171909</c:v>
                </c:pt>
                <c:pt idx="6">
                  <c:v>10.653753026634382</c:v>
                </c:pt>
                <c:pt idx="7">
                  <c:v>21.307506053268764</c:v>
                </c:pt>
                <c:pt idx="8">
                  <c:v>31.961259079903147</c:v>
                </c:pt>
                <c:pt idx="9">
                  <c:v>35.157384987893458</c:v>
                </c:pt>
                <c:pt idx="10">
                  <c:v>38.35351089588378</c:v>
                </c:pt>
                <c:pt idx="11">
                  <c:v>40.484261501210653</c:v>
                </c:pt>
                <c:pt idx="12">
                  <c:v>41.549636803874094</c:v>
                </c:pt>
                <c:pt idx="13">
                  <c:v>42.615012106537527</c:v>
                </c:pt>
              </c:numCache>
            </c:numRef>
          </c:val>
          <c:smooth val="0"/>
          <c:extLst>
            <c:ext xmlns:c16="http://schemas.microsoft.com/office/drawing/2014/chart" uri="{C3380CC4-5D6E-409C-BE32-E72D297353CC}">
              <c16:uniqueId val="{00000003-EBAD-48A5-9277-83F388186C0C}"/>
            </c:ext>
          </c:extLst>
        </c:ser>
        <c:ser>
          <c:idx val="5"/>
          <c:order val="2"/>
          <c:tx>
            <c:strRef>
              <c:f>Projections!$A$62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Projections!$G$63:$AF$63</c15:sqref>
                  </c15:fullRef>
                </c:ext>
              </c:extLst>
              <c:f>Projections!$G$63:$T$63</c:f>
              <c:numCache>
                <c:formatCode>#,##0</c:formatCode>
                <c:ptCount val="14"/>
                <c:pt idx="0">
                  <c:v>4.5399515738498784E-2</c:v>
                </c:pt>
                <c:pt idx="1">
                  <c:v>9.0799031476997569E-2</c:v>
                </c:pt>
                <c:pt idx="2">
                  <c:v>0.18159806295399514</c:v>
                </c:pt>
                <c:pt idx="3">
                  <c:v>0.36319612590799027</c:v>
                </c:pt>
                <c:pt idx="4">
                  <c:v>0.72639225181598055</c:v>
                </c:pt>
                <c:pt idx="5">
                  <c:v>1.4527845036319611</c:v>
                </c:pt>
                <c:pt idx="6">
                  <c:v>2.9055690072639222</c:v>
                </c:pt>
                <c:pt idx="7">
                  <c:v>5.8111380145278444</c:v>
                </c:pt>
                <c:pt idx="8">
                  <c:v>8.7167070217917662</c:v>
                </c:pt>
                <c:pt idx="9">
                  <c:v>9.5883777239709449</c:v>
                </c:pt>
                <c:pt idx="10">
                  <c:v>10.46004842615012</c:v>
                </c:pt>
                <c:pt idx="11">
                  <c:v>11.041162227602905</c:v>
                </c:pt>
                <c:pt idx="12">
                  <c:v>11.331719128329295</c:v>
                </c:pt>
                <c:pt idx="13">
                  <c:v>11.622276029055689</c:v>
                </c:pt>
              </c:numCache>
            </c:numRef>
          </c:val>
          <c:smooth val="0"/>
          <c:extLst>
            <c:ext xmlns:c16="http://schemas.microsoft.com/office/drawing/2014/chart" uri="{C3380CC4-5D6E-409C-BE32-E72D297353CC}">
              <c16:uniqueId val="{00000005-EBAD-48A5-9277-83F388186C0C}"/>
            </c:ext>
          </c:extLst>
        </c:ser>
        <c:ser>
          <c:idx val="7"/>
          <c:order val="3"/>
          <c:tx>
            <c:strRef>
              <c:f>Projections!$A$64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Projections!$G$65:$AF$65</c15:sqref>
                  </c15:fullRef>
                </c:ext>
              </c:extLst>
              <c:f>Projections!$G$65:$T$65</c:f>
              <c:numCache>
                <c:formatCode>#,##0</c:formatCode>
                <c:ptCount val="14"/>
                <c:pt idx="0">
                  <c:v>1.0088781275221951E-2</c:v>
                </c:pt>
                <c:pt idx="1">
                  <c:v>2.0177562550443902E-2</c:v>
                </c:pt>
                <c:pt idx="2">
                  <c:v>4.0355125100887804E-2</c:v>
                </c:pt>
                <c:pt idx="3">
                  <c:v>8.0710250201775607E-2</c:v>
                </c:pt>
                <c:pt idx="4">
                  <c:v>0.16142050040355121</c:v>
                </c:pt>
                <c:pt idx="5">
                  <c:v>0.32284100080710243</c:v>
                </c:pt>
                <c:pt idx="6">
                  <c:v>0.64568200161420486</c:v>
                </c:pt>
                <c:pt idx="7">
                  <c:v>1.2913640032284097</c:v>
                </c:pt>
                <c:pt idx="8">
                  <c:v>1.9370460048426148</c:v>
                </c:pt>
                <c:pt idx="9">
                  <c:v>2.1307506053268761</c:v>
                </c:pt>
                <c:pt idx="10">
                  <c:v>2.3244552058111374</c:v>
                </c:pt>
                <c:pt idx="11">
                  <c:v>2.4535916061339789</c:v>
                </c:pt>
                <c:pt idx="12">
                  <c:v>2.5181598062953992</c:v>
                </c:pt>
                <c:pt idx="13">
                  <c:v>2.5827280064568194</c:v>
                </c:pt>
              </c:numCache>
            </c:numRef>
          </c:val>
          <c:smooth val="0"/>
          <c:extLst>
            <c:ext xmlns:c16="http://schemas.microsoft.com/office/drawing/2014/chart" uri="{C3380CC4-5D6E-409C-BE32-E72D297353CC}">
              <c16:uniqueId val="{00000007-EBAD-48A5-9277-83F388186C0C}"/>
            </c:ext>
          </c:extLst>
        </c:ser>
        <c:ser>
          <c:idx val="9"/>
          <c:order val="4"/>
          <c:tx>
            <c:strRef>
              <c:f>Projections!$A$66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Projections!$G$67:$AF$67</c15:sqref>
                  </c15:fullRef>
                </c:ext>
              </c:extLst>
              <c:f>Projections!$G$67:$T$67</c:f>
              <c:numCache>
                <c:formatCode>#,##0</c:formatCode>
                <c:ptCount val="14"/>
                <c:pt idx="0">
                  <c:v>5.0443906376109755E-3</c:v>
                </c:pt>
                <c:pt idx="1">
                  <c:v>1.0088781275221951E-2</c:v>
                </c:pt>
                <c:pt idx="2">
                  <c:v>2.0177562550443902E-2</c:v>
                </c:pt>
                <c:pt idx="3">
                  <c:v>4.0355125100887804E-2</c:v>
                </c:pt>
                <c:pt idx="4">
                  <c:v>8.0710250201775607E-2</c:v>
                </c:pt>
                <c:pt idx="5">
                  <c:v>0.16142050040355121</c:v>
                </c:pt>
                <c:pt idx="6">
                  <c:v>0.32284100080710243</c:v>
                </c:pt>
                <c:pt idx="7">
                  <c:v>0.64568200161420486</c:v>
                </c:pt>
                <c:pt idx="8">
                  <c:v>0.96852300242130729</c:v>
                </c:pt>
                <c:pt idx="9">
                  <c:v>1.0653753026634383</c:v>
                </c:pt>
                <c:pt idx="10">
                  <c:v>1.1622276029055689</c:v>
                </c:pt>
                <c:pt idx="11">
                  <c:v>1.2267958030669894</c:v>
                </c:pt>
                <c:pt idx="12">
                  <c:v>1.2590799031476996</c:v>
                </c:pt>
                <c:pt idx="13">
                  <c:v>1.2913640032284097</c:v>
                </c:pt>
              </c:numCache>
            </c:numRef>
          </c:val>
          <c:smooth val="0"/>
          <c:extLst>
            <c:ext xmlns:c16="http://schemas.microsoft.com/office/drawing/2014/chart" uri="{C3380CC4-5D6E-409C-BE32-E72D297353CC}">
              <c16:uniqueId val="{00000009-EBAD-48A5-9277-83F388186C0C}"/>
            </c:ext>
          </c:extLst>
        </c:ser>
        <c:ser>
          <c:idx val="11"/>
          <c:order val="5"/>
          <c:tx>
            <c:strRef>
              <c:f>Projections!$A$68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Projections!$G$69:$AF$69</c15:sqref>
                  </c15:fullRef>
                </c:ext>
              </c:extLst>
              <c:f>Projections!$G$69:$T$69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B-EBAD-48A5-9277-83F388186C0C}"/>
            </c:ext>
          </c:extLst>
        </c:ser>
        <c:ser>
          <c:idx val="13"/>
          <c:order val="6"/>
          <c:tx>
            <c:strRef>
              <c:f>Projections!$A$70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Projections!$G$71:$AF$71</c15:sqref>
                  </c15:fullRef>
                </c:ext>
              </c:extLst>
              <c:f>Projections!$G$71:$T$71</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D-EBAD-48A5-9277-83F388186C0C}"/>
            </c:ext>
          </c:extLst>
        </c:ser>
        <c:ser>
          <c:idx val="15"/>
          <c:order val="7"/>
          <c:tx>
            <c:strRef>
              <c:f>Projections!$A$72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Projections!$G$73:$AF$73</c15:sqref>
                  </c15:fullRef>
                </c:ext>
              </c:extLst>
              <c:f>Projections!$G$73:$T$73</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F-EBAD-48A5-9277-83F388186C0C}"/>
            </c:ext>
          </c:extLst>
        </c:ser>
        <c:ser>
          <c:idx val="17"/>
          <c:order val="8"/>
          <c:tx>
            <c:strRef>
              <c:f>Projections!$A$74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Projections!$G$75:$AF$75</c15:sqref>
                  </c15:fullRef>
                </c:ext>
              </c:extLst>
              <c:f>Projections!$G$75:$T$75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Projections!$G$87:$AF$87</c15:sqref>
                  </c15:fullRef>
                </c:ext>
              </c:extLst>
              <c:f>Projections!$G$87:$T$87</c:f>
              <c:numCache>
                <c:formatCode>#,##0</c:formatCode>
                <c:ptCount val="14"/>
                <c:pt idx="0">
                  <c:v>3.3125</c:v>
                </c:pt>
                <c:pt idx="1">
                  <c:v>6.625</c:v>
                </c:pt>
                <c:pt idx="2">
                  <c:v>13.25</c:v>
                </c:pt>
                <c:pt idx="3">
                  <c:v>26.5</c:v>
                </c:pt>
                <c:pt idx="4">
                  <c:v>53</c:v>
                </c:pt>
                <c:pt idx="5">
                  <c:v>106</c:v>
                </c:pt>
                <c:pt idx="6">
                  <c:v>212</c:v>
                </c:pt>
                <c:pt idx="7">
                  <c:v>424</c:v>
                </c:pt>
                <c:pt idx="8">
                  <c:v>636</c:v>
                </c:pt>
                <c:pt idx="9">
                  <c:v>699.6</c:v>
                </c:pt>
                <c:pt idx="10">
                  <c:v>763.19999999999993</c:v>
                </c:pt>
                <c:pt idx="11">
                  <c:v>805.6</c:v>
                </c:pt>
                <c:pt idx="12">
                  <c:v>826.8</c:v>
                </c:pt>
                <c:pt idx="13">
                  <c:v>848</c:v>
                </c:pt>
              </c:numCache>
            </c:numRef>
          </c:val>
          <c:smooth val="0"/>
          <c:extLst>
            <c:ext xmlns:c16="http://schemas.microsoft.com/office/drawing/2014/chart" uri="{C3380CC4-5D6E-409C-BE32-E72D297353CC}">
              <c16:uniqueId val="{0000001E-05DD-4DD4-A5B5-12D162507280}"/>
            </c:ext>
          </c:extLst>
        </c:ser>
        <c:ser>
          <c:idx val="4"/>
          <c:order val="1"/>
          <c:tx>
            <c:strRef>
              <c:f>Projections!$A$85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Projections!$G$85:$AF$85</c15:sqref>
                  </c15:fullRef>
                </c:ext>
              </c:extLst>
              <c:f>Projections!$G$85:$T$85</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2232</c:v>
                </c:pt>
                <c:pt idx="11">
                  <c:v>2356</c:v>
                </c:pt>
                <c:pt idx="12">
                  <c:v>2418</c:v>
                </c:pt>
                <c:pt idx="13">
                  <c:v>2480</c:v>
                </c:pt>
              </c:numCache>
            </c:numRef>
          </c:val>
          <c:smooth val="0"/>
          <c:extLst>
            <c:ext xmlns:c16="http://schemas.microsoft.com/office/drawing/2014/chart" uri="{C3380CC4-5D6E-409C-BE32-E72D297353CC}">
              <c16:uniqueId val="{0000001C-05DD-4DD4-A5B5-12D162507280}"/>
            </c:ext>
          </c:extLst>
        </c:ser>
        <c:ser>
          <c:idx val="10"/>
          <c:order val="2"/>
          <c:tx>
            <c:strRef>
              <c:f>Projections!$A$91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Projections!$G$91:$AF$91</c15:sqref>
                  </c15:fullRef>
                </c:ext>
              </c:extLst>
              <c:f>Projections!$G$91:$T$91</c:f>
              <c:numCache>
                <c:formatCode>#,##0</c:formatCode>
                <c:ptCount val="14"/>
                <c:pt idx="0">
                  <c:v>4.75</c:v>
                </c:pt>
                <c:pt idx="1">
                  <c:v>9.5</c:v>
                </c:pt>
                <c:pt idx="2">
                  <c:v>19</c:v>
                </c:pt>
                <c:pt idx="3">
                  <c:v>38</c:v>
                </c:pt>
                <c:pt idx="4">
                  <c:v>76</c:v>
                </c:pt>
                <c:pt idx="5">
                  <c:v>152</c:v>
                </c:pt>
                <c:pt idx="6">
                  <c:v>304</c:v>
                </c:pt>
                <c:pt idx="7">
                  <c:v>608</c:v>
                </c:pt>
                <c:pt idx="8">
                  <c:v>912</c:v>
                </c:pt>
                <c:pt idx="9">
                  <c:v>1003.1999999999999</c:v>
                </c:pt>
                <c:pt idx="10">
                  <c:v>1094.3999999999999</c:v>
                </c:pt>
                <c:pt idx="11">
                  <c:v>1155.2</c:v>
                </c:pt>
                <c:pt idx="12">
                  <c:v>1185.5999999999999</c:v>
                </c:pt>
                <c:pt idx="13">
                  <c:v>1216</c:v>
                </c:pt>
              </c:numCache>
            </c:numRef>
          </c:val>
          <c:smooth val="0"/>
          <c:extLst>
            <c:ext xmlns:c16="http://schemas.microsoft.com/office/drawing/2014/chart" uri="{C3380CC4-5D6E-409C-BE32-E72D297353CC}">
              <c16:uniqueId val="{00000022-05DD-4DD4-A5B5-12D162507280}"/>
            </c:ext>
          </c:extLst>
        </c:ser>
        <c:ser>
          <c:idx val="0"/>
          <c:order val="3"/>
          <c:tx>
            <c:strRef>
              <c:f>Projections!$A$81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1.5625</c:v>
                </c:pt>
                <c:pt idx="1">
                  <c:v>3.125</c:v>
                </c:pt>
                <c:pt idx="2">
                  <c:v>6.25</c:v>
                </c:pt>
                <c:pt idx="3">
                  <c:v>12.5</c:v>
                </c:pt>
                <c:pt idx="4">
                  <c:v>25</c:v>
                </c:pt>
                <c:pt idx="5">
                  <c:v>50</c:v>
                </c:pt>
                <c:pt idx="6">
                  <c:v>100</c:v>
                </c:pt>
                <c:pt idx="7">
                  <c:v>200</c:v>
                </c:pt>
                <c:pt idx="8">
                  <c:v>300</c:v>
                </c:pt>
                <c:pt idx="9">
                  <c:v>330</c:v>
                </c:pt>
                <c:pt idx="10">
                  <c:v>360</c:v>
                </c:pt>
                <c:pt idx="11">
                  <c:v>380</c:v>
                </c:pt>
                <c:pt idx="12">
                  <c:v>390</c:v>
                </c:pt>
                <c:pt idx="13">
                  <c:v>400</c:v>
                </c:pt>
              </c:numCache>
            </c:numRef>
          </c:val>
          <c:smooth val="0"/>
          <c:extLst>
            <c:ext xmlns:c16="http://schemas.microsoft.com/office/drawing/2014/chart" uri="{C3380CC4-5D6E-409C-BE32-E72D297353CC}">
              <c16:uniqueId val="{00000018-05DD-4DD4-A5B5-12D162507280}"/>
            </c:ext>
          </c:extLst>
        </c:ser>
        <c:ser>
          <c:idx val="2"/>
          <c:order val="4"/>
          <c:tx>
            <c:strRef>
              <c:f>Projections!$A$83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Projections!$G$83:$AF$83</c15:sqref>
                  </c15:fullRef>
                </c:ext>
              </c:extLst>
              <c:f>Projections!$G$83:$T$83</c:f>
              <c:numCache>
                <c:formatCode>#,##0</c:formatCode>
                <c:ptCount val="14"/>
                <c:pt idx="0">
                  <c:v>1.53125</c:v>
                </c:pt>
                <c:pt idx="1">
                  <c:v>3.0625</c:v>
                </c:pt>
                <c:pt idx="2">
                  <c:v>6.125</c:v>
                </c:pt>
                <c:pt idx="3">
                  <c:v>12.25</c:v>
                </c:pt>
                <c:pt idx="4">
                  <c:v>24.5</c:v>
                </c:pt>
                <c:pt idx="5">
                  <c:v>49</c:v>
                </c:pt>
                <c:pt idx="6">
                  <c:v>98</c:v>
                </c:pt>
                <c:pt idx="7">
                  <c:v>196</c:v>
                </c:pt>
                <c:pt idx="8">
                  <c:v>294</c:v>
                </c:pt>
                <c:pt idx="9">
                  <c:v>323.40000000000003</c:v>
                </c:pt>
                <c:pt idx="10">
                  <c:v>352.8</c:v>
                </c:pt>
                <c:pt idx="11">
                  <c:v>372.40000000000003</c:v>
                </c:pt>
                <c:pt idx="12">
                  <c:v>382.2</c:v>
                </c:pt>
                <c:pt idx="13">
                  <c:v>392</c:v>
                </c:pt>
              </c:numCache>
            </c:numRef>
          </c:val>
          <c:smooth val="0"/>
          <c:extLst>
            <c:ext xmlns:c16="http://schemas.microsoft.com/office/drawing/2014/chart" uri="{C3380CC4-5D6E-409C-BE32-E72D297353CC}">
              <c16:uniqueId val="{0000001A-05DD-4DD4-A5B5-12D162507280}"/>
            </c:ext>
          </c:extLst>
        </c:ser>
        <c:ser>
          <c:idx val="8"/>
          <c:order val="5"/>
          <c:tx>
            <c:strRef>
              <c:f>Projections!$A$89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Projections!$G$89:$AF$89</c15:sqref>
                  </c15:fullRef>
                </c:ext>
              </c:extLst>
              <c:f>Projections!$G$89:$T$89</c:f>
              <c:numCache>
                <c:formatCode>#,##0</c:formatCode>
                <c:ptCount val="14"/>
                <c:pt idx="0">
                  <c:v>0.5625</c:v>
                </c:pt>
                <c:pt idx="1">
                  <c:v>1.125</c:v>
                </c:pt>
                <c:pt idx="2">
                  <c:v>2.25</c:v>
                </c:pt>
                <c:pt idx="3">
                  <c:v>4.5</c:v>
                </c:pt>
                <c:pt idx="4">
                  <c:v>9</c:v>
                </c:pt>
                <c:pt idx="5">
                  <c:v>18</c:v>
                </c:pt>
                <c:pt idx="6">
                  <c:v>36</c:v>
                </c:pt>
                <c:pt idx="7">
                  <c:v>72</c:v>
                </c:pt>
                <c:pt idx="8">
                  <c:v>107.99999999999999</c:v>
                </c:pt>
                <c:pt idx="9">
                  <c:v>118.8</c:v>
                </c:pt>
                <c:pt idx="10">
                  <c:v>129.6</c:v>
                </c:pt>
                <c:pt idx="11">
                  <c:v>136.79999999999998</c:v>
                </c:pt>
                <c:pt idx="12">
                  <c:v>140.39999999999998</c:v>
                </c:pt>
                <c:pt idx="13">
                  <c:v>144</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Projections!$G$88:$AF$88</c15:sqref>
                  </c15:fullRef>
                </c:ext>
              </c:extLst>
              <c:f>Projections!$G$88:$T$88</c:f>
              <c:numCache>
                <c:formatCode>#,##0</c:formatCode>
                <c:ptCount val="14"/>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45.791999999999994</c:v>
                </c:pt>
                <c:pt idx="11">
                  <c:v>48.335999999999999</c:v>
                </c:pt>
                <c:pt idx="12">
                  <c:v>49.607999999999997</c:v>
                </c:pt>
                <c:pt idx="13">
                  <c:v>50.879999999999995</c:v>
                </c:pt>
              </c:numCache>
            </c:numRef>
          </c:val>
          <c:smooth val="0"/>
          <c:extLst>
            <c:ext xmlns:c16="http://schemas.microsoft.com/office/drawing/2014/chart" uri="{C3380CC4-5D6E-409C-BE32-E72D297353CC}">
              <c16:uniqueId val="{00000007-65B4-47F9-9B97-64FB989C8893}"/>
            </c:ext>
          </c:extLst>
        </c:ser>
        <c:ser>
          <c:idx val="5"/>
          <c:order val="1"/>
          <c:tx>
            <c:strRef>
              <c:f>Projections!$A$85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Projections!$G$86:$AF$86</c15:sqref>
                  </c15:fullRef>
                </c:ext>
              </c:extLst>
              <c:f>Projections!$G$86:$T$86</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140.61600000000001</c:v>
                </c:pt>
                <c:pt idx="11">
                  <c:v>148.428</c:v>
                </c:pt>
                <c:pt idx="12">
                  <c:v>152.334</c:v>
                </c:pt>
                <c:pt idx="13">
                  <c:v>156.24</c:v>
                </c:pt>
              </c:numCache>
            </c:numRef>
          </c:val>
          <c:smooth val="0"/>
          <c:extLst>
            <c:ext xmlns:c16="http://schemas.microsoft.com/office/drawing/2014/chart" uri="{C3380CC4-5D6E-409C-BE32-E72D297353CC}">
              <c16:uniqueId val="{00000005-65B4-47F9-9B97-64FB989C8893}"/>
            </c:ext>
          </c:extLst>
        </c:ser>
        <c:ser>
          <c:idx val="1"/>
          <c:order val="2"/>
          <c:tx>
            <c:strRef>
              <c:f>Projections!$A$81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Projections!$G$82:$AF$82</c15:sqref>
                  </c15:fullRef>
                </c:ext>
              </c:extLst>
              <c:f>Projections!$G$82:$T$82</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37.799999999999997</c:v>
                </c:pt>
                <c:pt idx="11">
                  <c:v>39.9</c:v>
                </c:pt>
                <c:pt idx="12">
                  <c:v>40.949999999999996</c:v>
                </c:pt>
                <c:pt idx="13">
                  <c:v>42</c:v>
                </c:pt>
              </c:numCache>
            </c:numRef>
          </c:val>
          <c:smooth val="0"/>
          <c:extLst>
            <c:ext xmlns:c16="http://schemas.microsoft.com/office/drawing/2014/chart" uri="{C3380CC4-5D6E-409C-BE32-E72D297353CC}">
              <c16:uniqueId val="{00000001-65B4-47F9-9B97-64FB989C8893}"/>
            </c:ext>
          </c:extLst>
        </c:ser>
        <c:ser>
          <c:idx val="3"/>
          <c:order val="3"/>
          <c:tx>
            <c:strRef>
              <c:f>Projections!$A$83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Projections!$G$84:$AF$84</c15:sqref>
                  </c15:fullRef>
                </c:ext>
              </c:extLst>
              <c:f>Projections!$G$84:$T$84</c:f>
              <c:numCache>
                <c:formatCode>#,##0</c:formatCode>
                <c:ptCount val="14"/>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25.7544</c:v>
                </c:pt>
                <c:pt idx="11">
                  <c:v>27.185200000000002</c:v>
                </c:pt>
                <c:pt idx="12">
                  <c:v>27.900599999999997</c:v>
                </c:pt>
                <c:pt idx="13">
                  <c:v>28.616</c:v>
                </c:pt>
              </c:numCache>
            </c:numRef>
          </c:val>
          <c:smooth val="0"/>
          <c:extLst>
            <c:ext xmlns:c16="http://schemas.microsoft.com/office/drawing/2014/chart" uri="{C3380CC4-5D6E-409C-BE32-E72D297353CC}">
              <c16:uniqueId val="{00000003-65B4-47F9-9B97-64FB989C8893}"/>
            </c:ext>
          </c:extLst>
        </c:ser>
        <c:ser>
          <c:idx val="9"/>
          <c:order val="4"/>
          <c:tx>
            <c:strRef>
              <c:f>Projections!$A$89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Projections!$G$25:$AF$25</c15:sqref>
                  </c15:fullRef>
                </c:ext>
              </c:extLst>
              <c:f>Projections!$G$25:$T$25</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Projections!$G$90:$AF$90</c15:sqref>
                  </c15:fullRef>
                </c:ext>
              </c:extLst>
              <c:f>Projections!$G$90:$T$90</c:f>
              <c:numCache>
                <c:formatCode>#,##0</c:formatCode>
                <c:ptCount val="14"/>
                <c:pt idx="0">
                  <c:v>3.15E-2</c:v>
                </c:pt>
                <c:pt idx="1">
                  <c:v>6.3E-2</c:v>
                </c:pt>
                <c:pt idx="2">
                  <c:v>0.126</c:v>
                </c:pt>
                <c:pt idx="3">
                  <c:v>0.252</c:v>
                </c:pt>
                <c:pt idx="4">
                  <c:v>0.504</c:v>
                </c:pt>
                <c:pt idx="5">
                  <c:v>1.008</c:v>
                </c:pt>
                <c:pt idx="6">
                  <c:v>2.016</c:v>
                </c:pt>
                <c:pt idx="7">
                  <c:v>4.032</c:v>
                </c:pt>
                <c:pt idx="8">
                  <c:v>6.0479999999999992</c:v>
                </c:pt>
                <c:pt idx="9">
                  <c:v>6.6528</c:v>
                </c:pt>
                <c:pt idx="10">
                  <c:v>7.2576000000000001</c:v>
                </c:pt>
                <c:pt idx="11">
                  <c:v>7.6607999999999992</c:v>
                </c:pt>
                <c:pt idx="12">
                  <c:v>7.8623999999999992</c:v>
                </c:pt>
                <c:pt idx="13">
                  <c:v>8.0640000000000001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34</xdr:col>
      <xdr:colOff>9526</xdr:colOff>
      <xdr:row>12</xdr:row>
      <xdr:rowOff>180975</xdr:rowOff>
    </xdr:from>
    <xdr:to>
      <xdr:col>45</xdr:col>
      <xdr:colOff>600075</xdr:colOff>
      <xdr:row>39</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736455</xdr:colOff>
      <xdr:row>84</xdr:row>
      <xdr:rowOff>5814</xdr:rowOff>
    </xdr:from>
    <xdr:to>
      <xdr:col>46</xdr:col>
      <xdr:colOff>19050</xdr:colOff>
      <xdr:row>107</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3031</xdr:colOff>
      <xdr:row>108</xdr:row>
      <xdr:rowOff>10576</xdr:rowOff>
    </xdr:from>
    <xdr:to>
      <xdr:col>46</xdr:col>
      <xdr:colOff>28575</xdr:colOff>
      <xdr:row>124</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741217</xdr:colOff>
      <xdr:row>125</xdr:row>
      <xdr:rowOff>182025</xdr:rowOff>
    </xdr:from>
    <xdr:to>
      <xdr:col>46</xdr:col>
      <xdr:colOff>38099</xdr:colOff>
      <xdr:row>141</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741219</xdr:colOff>
      <xdr:row>143</xdr:row>
      <xdr:rowOff>10575</xdr:rowOff>
    </xdr:from>
    <xdr:to>
      <xdr:col>46</xdr:col>
      <xdr:colOff>19050</xdr:colOff>
      <xdr:row>162</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738187</xdr:colOff>
      <xdr:row>46</xdr:row>
      <xdr:rowOff>4762</xdr:rowOff>
    </xdr:from>
    <xdr:to>
      <xdr:col>46</xdr:col>
      <xdr:colOff>19050</xdr:colOff>
      <xdr:row>66</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740228</xdr:colOff>
      <xdr:row>67</xdr:row>
      <xdr:rowOff>2721</xdr:rowOff>
    </xdr:from>
    <xdr:to>
      <xdr:col>45</xdr:col>
      <xdr:colOff>590550</xdr:colOff>
      <xdr:row>82</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47</xdr:col>
      <xdr:colOff>1</xdr:colOff>
      <xdr:row>12</xdr:row>
      <xdr:rowOff>180975</xdr:rowOff>
    </xdr:from>
    <xdr:to>
      <xdr:col>59</xdr:col>
      <xdr:colOff>161925</xdr:colOff>
      <xdr:row>39</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46</xdr:col>
      <xdr:colOff>607867</xdr:colOff>
      <xdr:row>83</xdr:row>
      <xdr:rowOff>177264</xdr:rowOff>
    </xdr:from>
    <xdr:to>
      <xdr:col>59</xdr:col>
      <xdr:colOff>209550</xdr:colOff>
      <xdr:row>106</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46</xdr:col>
      <xdr:colOff>598343</xdr:colOff>
      <xdr:row>108</xdr:row>
      <xdr:rowOff>1051</xdr:rowOff>
    </xdr:from>
    <xdr:to>
      <xdr:col>59</xdr:col>
      <xdr:colOff>200025</xdr:colOff>
      <xdr:row>124</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47</xdr:col>
      <xdr:colOff>3029</xdr:colOff>
      <xdr:row>125</xdr:row>
      <xdr:rowOff>182025</xdr:rowOff>
    </xdr:from>
    <xdr:to>
      <xdr:col>59</xdr:col>
      <xdr:colOff>219074</xdr:colOff>
      <xdr:row>141</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47</xdr:col>
      <xdr:colOff>22081</xdr:colOff>
      <xdr:row>143</xdr:row>
      <xdr:rowOff>10575</xdr:rowOff>
    </xdr:from>
    <xdr:to>
      <xdr:col>59</xdr:col>
      <xdr:colOff>228600</xdr:colOff>
      <xdr:row>162</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600074</xdr:colOff>
      <xdr:row>46</xdr:row>
      <xdr:rowOff>14287</xdr:rowOff>
    </xdr:from>
    <xdr:to>
      <xdr:col>59</xdr:col>
      <xdr:colOff>200025</xdr:colOff>
      <xdr:row>66</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46</xdr:col>
      <xdr:colOff>606878</xdr:colOff>
      <xdr:row>67</xdr:row>
      <xdr:rowOff>2721</xdr:rowOff>
    </xdr:from>
    <xdr:to>
      <xdr:col>59</xdr:col>
      <xdr:colOff>161925</xdr:colOff>
      <xdr:row>82</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ourworldindata.org/coronavirus"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162</v>
      </c>
    </row>
    <row r="3" spans="2:2" x14ac:dyDescent="0.25">
      <c r="B3" t="s">
        <v>146</v>
      </c>
    </row>
    <row r="4" spans="2:2" x14ac:dyDescent="0.25">
      <c r="B4" t="s">
        <v>159</v>
      </c>
    </row>
    <row r="5" spans="2:2" x14ac:dyDescent="0.25">
      <c r="B5" t="s">
        <v>163</v>
      </c>
    </row>
    <row r="6" spans="2:2" x14ac:dyDescent="0.25">
      <c r="B6" t="s">
        <v>164</v>
      </c>
    </row>
    <row r="7" spans="2:2" x14ac:dyDescent="0.25">
      <c r="B7" t="s">
        <v>149</v>
      </c>
    </row>
    <row r="11" spans="2:2" x14ac:dyDescent="0.25">
      <c r="B11" t="s">
        <v>171</v>
      </c>
    </row>
    <row r="12" spans="2:2" x14ac:dyDescent="0.25">
      <c r="B12" t="s">
        <v>184</v>
      </c>
    </row>
    <row r="13" spans="2:2" x14ac:dyDescent="0.25">
      <c r="B13" t="s">
        <v>186</v>
      </c>
    </row>
    <row r="14" spans="2:2" x14ac:dyDescent="0.25">
      <c r="B14" t="s">
        <v>185</v>
      </c>
    </row>
    <row r="15" spans="2:2" x14ac:dyDescent="0.25">
      <c r="B15" t="s">
        <v>192</v>
      </c>
    </row>
    <row r="17" spans="1:43" x14ac:dyDescent="0.25">
      <c r="A17" t="s">
        <v>190</v>
      </c>
      <c r="B17" s="115">
        <f>(AP25/E31) /Projections!B14</f>
        <v>88.183421516754848</v>
      </c>
      <c r="C17" s="116"/>
      <c r="D17" s="117"/>
      <c r="E17" s="111">
        <f>B17*2</f>
        <v>176.3668430335097</v>
      </c>
      <c r="F17" s="116"/>
      <c r="G17" s="111"/>
      <c r="H17" s="111">
        <f>E17*2</f>
        <v>352.73368606701939</v>
      </c>
      <c r="I17" s="116"/>
      <c r="J17" s="117"/>
      <c r="K17" s="108">
        <f>H17*2</f>
        <v>705.46737213403878</v>
      </c>
      <c r="L17" s="106"/>
      <c r="M17" s="107"/>
      <c r="N17" s="108">
        <f>K17*2</f>
        <v>1410.9347442680776</v>
      </c>
      <c r="O17" s="106"/>
      <c r="P17" s="107"/>
      <c r="Q17" s="108">
        <f>N17*2</f>
        <v>2821.8694885361551</v>
      </c>
      <c r="R17" s="106"/>
      <c r="S17" s="107"/>
      <c r="T17" s="108">
        <f>Q17*2</f>
        <v>5643.7389770723103</v>
      </c>
      <c r="U17" s="106"/>
      <c r="V17" s="107"/>
      <c r="W17" s="108">
        <f>T17*2</f>
        <v>11287.477954144621</v>
      </c>
      <c r="X17" s="106"/>
      <c r="Y17" s="107"/>
      <c r="Z17" s="108">
        <f>W17*2</f>
        <v>22574.955908289241</v>
      </c>
      <c r="AA17" s="106"/>
      <c r="AB17" s="107"/>
      <c r="AC17" s="108">
        <f>Z17*2</f>
        <v>45149.911816578482</v>
      </c>
      <c r="AD17" s="106"/>
      <c r="AE17" s="107"/>
      <c r="AF17" s="108">
        <f>AC17*2</f>
        <v>90299.823633156964</v>
      </c>
      <c r="AG17" s="106"/>
      <c r="AH17" s="107"/>
      <c r="AI17" s="108">
        <f>AF17*2</f>
        <v>180599.64726631393</v>
      </c>
      <c r="AJ17" s="106"/>
      <c r="AK17" s="107"/>
      <c r="AL17" s="108">
        <f>AI17*2</f>
        <v>361199.29453262786</v>
      </c>
      <c r="AM17" s="106"/>
      <c r="AN17" s="107"/>
      <c r="AO17" s="108">
        <f>AL17*2</f>
        <v>722398.58906525571</v>
      </c>
      <c r="AP17" s="111"/>
      <c r="AQ17" t="s">
        <v>190</v>
      </c>
    </row>
    <row r="18" spans="1:43" s="81" customFormat="1" x14ac:dyDescent="0.25">
      <c r="A18" s="81" t="s">
        <v>276</v>
      </c>
      <c r="B18" s="100">
        <f>B17*$E$34</f>
        <v>16.754850088183417</v>
      </c>
      <c r="C18" s="118"/>
      <c r="D18" s="118"/>
      <c r="E18" s="118">
        <f>E17*$E$34</f>
        <v>33.509700176366835</v>
      </c>
      <c r="F18" s="118"/>
      <c r="G18" s="45"/>
      <c r="H18" s="118">
        <f>H17*$E$34</f>
        <v>67.019400352733669</v>
      </c>
      <c r="I18" s="118"/>
      <c r="J18" s="118"/>
      <c r="K18" s="118">
        <f>K17*$E$34</f>
        <v>134.03880070546734</v>
      </c>
      <c r="L18" s="118"/>
      <c r="M18" s="118"/>
      <c r="N18" s="118">
        <f>N17*$E$34</f>
        <v>268.07760141093468</v>
      </c>
      <c r="O18" s="118"/>
      <c r="P18" s="118"/>
      <c r="Q18" s="118">
        <f>Q17*$E$34</f>
        <v>536.15520282186935</v>
      </c>
      <c r="R18" s="118"/>
      <c r="S18" s="118"/>
      <c r="T18" s="118">
        <f>T17*$E$34</f>
        <v>1072.3104056437387</v>
      </c>
      <c r="U18" s="118"/>
      <c r="V18" s="118"/>
      <c r="W18" s="118">
        <f>W17*$E$34</f>
        <v>2144.6208112874774</v>
      </c>
      <c r="X18" s="118"/>
      <c r="Y18" s="118"/>
      <c r="Z18" s="118">
        <f>Z17*$E$34</f>
        <v>4289.2416225749548</v>
      </c>
      <c r="AA18" s="118"/>
      <c r="AB18" s="118"/>
      <c r="AC18" s="118">
        <f>AC17*$E$34</f>
        <v>8578.4832451499096</v>
      </c>
      <c r="AD18" s="118"/>
      <c r="AE18" s="118"/>
      <c r="AF18" s="118">
        <f>AF17*$E$34</f>
        <v>17156.966490299819</v>
      </c>
      <c r="AG18" s="118"/>
      <c r="AH18" s="118"/>
      <c r="AI18" s="118">
        <f>AI17*$E$34</f>
        <v>34313.932980599639</v>
      </c>
      <c r="AJ18" s="118"/>
      <c r="AK18" s="118"/>
      <c r="AL18" s="118">
        <f>AL17*$E$34</f>
        <v>68627.865961199277</v>
      </c>
      <c r="AM18" s="118"/>
      <c r="AN18" s="118"/>
      <c r="AO18" s="118">
        <f>AO17*$E$34</f>
        <v>137255.73192239855</v>
      </c>
      <c r="AP18" s="45"/>
      <c r="AQ18" s="81" t="s">
        <v>276</v>
      </c>
    </row>
    <row r="19" spans="1:43" s="81" customFormat="1" x14ac:dyDescent="0.25">
      <c r="A19" s="59" t="s">
        <v>278</v>
      </c>
      <c r="B19" s="98">
        <f>B18</f>
        <v>16.754850088183417</v>
      </c>
      <c r="C19" s="99"/>
      <c r="D19" s="99"/>
      <c r="E19" s="99">
        <f>E18</f>
        <v>33.509700176366835</v>
      </c>
      <c r="F19" s="99"/>
      <c r="G19" s="46"/>
      <c r="H19" s="99">
        <f>H18</f>
        <v>67.019400352733669</v>
      </c>
      <c r="I19" s="99"/>
      <c r="J19" s="99"/>
      <c r="K19" s="99">
        <f>K18</f>
        <v>134.03880070546734</v>
      </c>
      <c r="L19" s="99"/>
      <c r="M19" s="99"/>
      <c r="N19" s="99">
        <f>N18</f>
        <v>268.07760141093468</v>
      </c>
      <c r="O19" s="99"/>
      <c r="P19" s="99"/>
      <c r="Q19" s="99">
        <f>Q18</f>
        <v>536.15520282186935</v>
      </c>
      <c r="R19" s="99"/>
      <c r="S19" s="99"/>
      <c r="T19" s="99">
        <f>T18</f>
        <v>1072.3104056437387</v>
      </c>
      <c r="U19" s="99"/>
      <c r="V19" s="99"/>
      <c r="W19" s="135">
        <f>W18-B18</f>
        <v>2127.8659611992939</v>
      </c>
      <c r="X19" s="135"/>
      <c r="Y19" s="135"/>
      <c r="Z19" s="135">
        <f>Z18-E18</f>
        <v>4255.7319223985878</v>
      </c>
      <c r="AA19" s="135"/>
      <c r="AB19" s="135"/>
      <c r="AC19" s="135">
        <f>AC18-H18</f>
        <v>8511.4638447971756</v>
      </c>
      <c r="AD19" s="135"/>
      <c r="AE19" s="135"/>
      <c r="AF19" s="135">
        <f>AF18-K18</f>
        <v>17022.927689594351</v>
      </c>
      <c r="AG19" s="135"/>
      <c r="AH19" s="135"/>
      <c r="AI19" s="135">
        <f>AI18-N18</f>
        <v>34045.855379188702</v>
      </c>
      <c r="AJ19" s="135"/>
      <c r="AK19" s="135"/>
      <c r="AL19" s="135">
        <f>AL18-Q18</f>
        <v>68091.710758377405</v>
      </c>
      <c r="AM19" s="135"/>
      <c r="AN19" s="135"/>
      <c r="AO19" s="135">
        <f>AO18-T18</f>
        <v>136183.42151675481</v>
      </c>
      <c r="AP19" s="136"/>
      <c r="AQ19" s="59" t="s">
        <v>278</v>
      </c>
    </row>
    <row r="20" spans="1:43" s="81" customFormat="1" x14ac:dyDescent="0.25">
      <c r="A20" t="s">
        <v>191</v>
      </c>
      <c r="B20" s="100"/>
      <c r="C20" s="118"/>
      <c r="D20" s="118"/>
      <c r="E20" s="118"/>
      <c r="F20" s="118"/>
      <c r="G20" s="45"/>
      <c r="H20" s="119"/>
      <c r="I20" s="120"/>
      <c r="J20" s="121"/>
      <c r="K20" s="145">
        <f>B17*(1-E34)</f>
        <v>71.428571428571431</v>
      </c>
      <c r="L20" s="142"/>
      <c r="M20" s="143"/>
      <c r="N20" s="144">
        <f>E17*(1-E34)</f>
        <v>142.85714285714286</v>
      </c>
      <c r="O20" s="142"/>
      <c r="P20" s="143"/>
      <c r="Q20" s="144">
        <f>H17*(1-E34)</f>
        <v>285.71428571428572</v>
      </c>
      <c r="R20" s="142"/>
      <c r="S20" s="143"/>
      <c r="T20" s="144">
        <f>K17*(1-E34)</f>
        <v>571.42857142857144</v>
      </c>
      <c r="U20" s="142"/>
      <c r="V20" s="143"/>
      <c r="W20" s="144">
        <f>N17*(1-E34)</f>
        <v>1142.8571428571429</v>
      </c>
      <c r="X20" s="142"/>
      <c r="Y20" s="143"/>
      <c r="Z20" s="144">
        <f>Q17*(1-E34)</f>
        <v>2285.7142857142858</v>
      </c>
      <c r="AA20" s="142"/>
      <c r="AB20" s="143"/>
      <c r="AC20" s="144">
        <f>T17*(1-E34)</f>
        <v>4571.4285714285716</v>
      </c>
      <c r="AD20" s="142"/>
      <c r="AE20" s="143"/>
      <c r="AF20" s="144">
        <f>W17*(1-E34)</f>
        <v>9142.8571428571431</v>
      </c>
      <c r="AG20" s="142"/>
      <c r="AH20" s="143"/>
      <c r="AI20" s="144">
        <f>Z17*(1-E34)</f>
        <v>18285.714285714286</v>
      </c>
      <c r="AJ20" s="142"/>
      <c r="AK20" s="143"/>
      <c r="AL20" s="144">
        <f>AC17*(1-E34)</f>
        <v>36571.428571428572</v>
      </c>
      <c r="AM20" s="142"/>
      <c r="AN20" s="143"/>
      <c r="AO20" s="144">
        <f>AF17*(1-E34)</f>
        <v>73142.857142857145</v>
      </c>
      <c r="AP20" s="91"/>
      <c r="AQ20" t="s">
        <v>191</v>
      </c>
    </row>
    <row r="21" spans="1:43" s="81" customFormat="1" x14ac:dyDescent="0.25">
      <c r="A21" s="81" t="s">
        <v>172</v>
      </c>
      <c r="B21" s="92"/>
      <c r="C21" s="93"/>
      <c r="D21" s="93"/>
      <c r="E21" s="93"/>
      <c r="F21" s="93"/>
      <c r="G21" s="94"/>
      <c r="H21" s="137">
        <f>B17-B18</f>
        <v>71.428571428571431</v>
      </c>
      <c r="I21" s="137"/>
      <c r="J21" s="137"/>
      <c r="K21" s="137">
        <f>E17-E18</f>
        <v>142.85714285714286</v>
      </c>
      <c r="L21" s="137"/>
      <c r="M21" s="137"/>
      <c r="N21" s="137">
        <f>(H17-H18)*$E$35</f>
        <v>262.85714285714289</v>
      </c>
      <c r="O21" s="137"/>
      <c r="P21" s="137"/>
      <c r="Q21" s="137">
        <f>(K17-K18)*$E$35</f>
        <v>525.71428571428578</v>
      </c>
      <c r="R21" s="137"/>
      <c r="S21" s="137"/>
      <c r="T21" s="137">
        <f>(N17-N18)*$E$35</f>
        <v>1051.4285714285716</v>
      </c>
      <c r="U21" s="137"/>
      <c r="V21" s="137"/>
      <c r="W21" s="137">
        <f>((Q17-Q18)*$E$35)-(H21*$E$35)</f>
        <v>2037.1428571428573</v>
      </c>
      <c r="X21" s="137"/>
      <c r="Y21" s="137"/>
      <c r="Z21" s="137">
        <f>((T17-T18)*$E$35)-(K21*$E$35)</f>
        <v>4074.2857142857147</v>
      </c>
      <c r="AA21" s="137"/>
      <c r="AB21" s="137"/>
      <c r="AC21" s="137">
        <f>((W17-W18)*$E$35)-N21</f>
        <v>8148.5714285714294</v>
      </c>
      <c r="AD21" s="137"/>
      <c r="AE21" s="137"/>
      <c r="AF21" s="137">
        <f>((Z17-Z18)*$E$35)-Q21</f>
        <v>16297.142857142859</v>
      </c>
      <c r="AG21" s="137"/>
      <c r="AH21" s="137"/>
      <c r="AI21" s="137">
        <f>((AC17-AC18)*$E$35)-T21</f>
        <v>32594.285714285717</v>
      </c>
      <c r="AJ21" s="137"/>
      <c r="AK21" s="137"/>
      <c r="AL21" s="137">
        <f>((AF17-AF18)*$E$35)-W21</f>
        <v>65254.285714285725</v>
      </c>
      <c r="AM21" s="137"/>
      <c r="AN21" s="137"/>
      <c r="AO21" s="137">
        <f>((AI17-AI18)*$E$35)-Z21</f>
        <v>130508.57142857145</v>
      </c>
      <c r="AP21" s="138"/>
      <c r="AQ21" s="81" t="s">
        <v>172</v>
      </c>
    </row>
    <row r="22" spans="1:43" s="81" customFormat="1" x14ac:dyDescent="0.25">
      <c r="A22" s="81" t="s">
        <v>173</v>
      </c>
      <c r="B22" s="92"/>
      <c r="C22" s="93"/>
      <c r="D22" s="93"/>
      <c r="E22" s="93"/>
      <c r="F22" s="93"/>
      <c r="G22" s="94"/>
      <c r="H22" s="120"/>
      <c r="I22" s="120"/>
      <c r="J22" s="120"/>
      <c r="K22" s="120"/>
      <c r="L22" s="120"/>
      <c r="M22" s="121"/>
      <c r="N22" s="139">
        <f>(H17-H18)*($E$36+$E$37)</f>
        <v>22.857142857142858</v>
      </c>
      <c r="O22" s="139"/>
      <c r="P22" s="139"/>
      <c r="Q22" s="139">
        <f>(K17-K18)*($E$36+$E$37)</f>
        <v>45.714285714285715</v>
      </c>
      <c r="R22" s="139"/>
      <c r="S22" s="139"/>
      <c r="T22" s="139">
        <f>(N17-N18)*$E$36</f>
        <v>57.142857142857146</v>
      </c>
      <c r="U22" s="139"/>
      <c r="V22" s="139"/>
      <c r="W22" s="139">
        <f>(Q17-Q18)*$E$36</f>
        <v>114.28571428571429</v>
      </c>
      <c r="X22" s="139"/>
      <c r="Y22" s="139"/>
      <c r="Z22" s="139">
        <f>(T17-T18)*$E$36</f>
        <v>228.57142857142858</v>
      </c>
      <c r="AA22" s="139"/>
      <c r="AB22" s="139"/>
      <c r="AC22" s="139">
        <f>(W17-W18)*$E$36</f>
        <v>457.14285714285717</v>
      </c>
      <c r="AD22" s="139"/>
      <c r="AE22" s="139"/>
      <c r="AF22" s="139">
        <f>(Z17-Z18)*$E$36</f>
        <v>914.28571428571433</v>
      </c>
      <c r="AG22" s="139"/>
      <c r="AH22" s="139"/>
      <c r="AI22" s="139">
        <f>(AC17-AC18)*$E$36</f>
        <v>1828.5714285714287</v>
      </c>
      <c r="AJ22" s="139"/>
      <c r="AK22" s="139"/>
      <c r="AL22" s="139">
        <f>(AF17-AF18)*$E$36</f>
        <v>3657.1428571428573</v>
      </c>
      <c r="AM22" s="139"/>
      <c r="AN22" s="139"/>
      <c r="AO22" s="139">
        <f>(AI17-AI18)*$E$36</f>
        <v>7314.2857142857147</v>
      </c>
      <c r="AP22" s="140"/>
      <c r="AQ22" s="81" t="s">
        <v>173</v>
      </c>
    </row>
    <row r="23" spans="1:43" s="81" customFormat="1" x14ac:dyDescent="0.25">
      <c r="A23" s="59" t="s">
        <v>174</v>
      </c>
      <c r="B23" s="92"/>
      <c r="C23" s="93"/>
      <c r="D23" s="93"/>
      <c r="E23" s="93"/>
      <c r="F23" s="93"/>
      <c r="G23" s="94"/>
      <c r="H23" s="99"/>
      <c r="I23" s="99"/>
      <c r="J23" s="99"/>
      <c r="K23" s="99"/>
      <c r="L23" s="99"/>
      <c r="M23" s="99"/>
      <c r="N23" s="120"/>
      <c r="O23" s="120"/>
      <c r="P23" s="120"/>
      <c r="Q23" s="120"/>
      <c r="R23" s="120"/>
      <c r="S23" s="121"/>
      <c r="T23" s="52">
        <f>(N17-N18)*$E$37</f>
        <v>34.285714285714285</v>
      </c>
      <c r="U23" s="52"/>
      <c r="V23" s="52"/>
      <c r="W23" s="52">
        <f>(Q17-Q18)*$E$37</f>
        <v>68.571428571428569</v>
      </c>
      <c r="X23" s="52"/>
      <c r="Y23" s="52"/>
      <c r="Z23" s="52">
        <f>(T17-T18)*$E$37</f>
        <v>137.14285714285714</v>
      </c>
      <c r="AA23" s="52"/>
      <c r="AB23" s="52"/>
      <c r="AC23" s="52">
        <f>(W17-W18)*$E$37</f>
        <v>274.28571428571428</v>
      </c>
      <c r="AD23" s="52"/>
      <c r="AE23" s="52"/>
      <c r="AF23" s="52">
        <f>(Z17-Z18)*$E$37</f>
        <v>548.57142857142856</v>
      </c>
      <c r="AG23" s="52"/>
      <c r="AH23" s="52"/>
      <c r="AI23" s="52">
        <f>(AC17-AC18)*$E$37</f>
        <v>1097.1428571428571</v>
      </c>
      <c r="AJ23" s="52"/>
      <c r="AK23" s="52"/>
      <c r="AL23" s="52">
        <f>(AF17-AF18)*$E$37</f>
        <v>2194.2857142857142</v>
      </c>
      <c r="AM23" s="52"/>
      <c r="AN23" s="52"/>
      <c r="AO23" s="52">
        <f>(AI17-AI18)*$E$37</f>
        <v>4388.5714285714284</v>
      </c>
      <c r="AP23" s="141"/>
      <c r="AQ23" s="59" t="s">
        <v>174</v>
      </c>
    </row>
    <row r="24" spans="1:43" s="81" customFormat="1" x14ac:dyDescent="0.25">
      <c r="A24" s="59" t="s">
        <v>179</v>
      </c>
      <c r="B24" s="98"/>
      <c r="C24" s="99"/>
      <c r="D24" s="99"/>
      <c r="E24" s="99"/>
      <c r="F24" s="99"/>
      <c r="G24" s="46"/>
      <c r="H24" s="99"/>
      <c r="I24" s="99"/>
      <c r="J24" s="99"/>
      <c r="K24" s="99"/>
      <c r="L24" s="99"/>
      <c r="M24" s="99"/>
      <c r="N24" s="99"/>
      <c r="O24" s="99"/>
      <c r="P24" s="99"/>
      <c r="Q24" s="99"/>
      <c r="R24" s="99"/>
      <c r="S24" s="99"/>
      <c r="T24" s="120"/>
      <c r="U24" s="121"/>
      <c r="V24" s="122">
        <f>H21*$E$35</f>
        <v>65.714285714285722</v>
      </c>
      <c r="W24" s="122"/>
      <c r="X24" s="122"/>
      <c r="Y24" s="122">
        <f>K21*$E$35</f>
        <v>131.42857142857144</v>
      </c>
      <c r="Z24" s="122"/>
      <c r="AA24" s="122"/>
      <c r="AB24" s="122">
        <f>N21</f>
        <v>262.85714285714289</v>
      </c>
      <c r="AC24" s="122"/>
      <c r="AD24" s="122"/>
      <c r="AE24" s="122">
        <f>Q21</f>
        <v>525.71428571428578</v>
      </c>
      <c r="AF24" s="122"/>
      <c r="AG24" s="122"/>
      <c r="AH24" s="122">
        <f>T21</f>
        <v>1051.4285714285716</v>
      </c>
      <c r="AI24" s="122"/>
      <c r="AJ24" s="122"/>
      <c r="AK24" s="122">
        <f>W21</f>
        <v>2037.1428571428573</v>
      </c>
      <c r="AL24" s="122"/>
      <c r="AM24" s="122"/>
      <c r="AN24" s="122">
        <f>Z21</f>
        <v>4074.2857142857147</v>
      </c>
      <c r="AO24" s="122"/>
      <c r="AP24" s="123"/>
      <c r="AQ24" s="59" t="s">
        <v>179</v>
      </c>
    </row>
    <row r="25" spans="1:43" x14ac:dyDescent="0.25">
      <c r="A25" s="59" t="s">
        <v>168</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168</v>
      </c>
    </row>
    <row r="26" spans="1:43" x14ac:dyDescent="0.25">
      <c r="A26" s="147" t="s">
        <v>196</v>
      </c>
      <c r="B26" s="102">
        <f t="shared" ref="B26:G26" ca="1" si="0">C26-1</f>
        <v>43919.754608101852</v>
      </c>
      <c r="C26" s="103">
        <f t="shared" ca="1" si="0"/>
        <v>43920.754608101852</v>
      </c>
      <c r="D26" s="103">
        <f t="shared" ca="1" si="0"/>
        <v>43921.754608101852</v>
      </c>
      <c r="E26" s="103">
        <f t="shared" ca="1" si="0"/>
        <v>43922.754608101852</v>
      </c>
      <c r="F26" s="103">
        <f t="shared" ca="1" si="0"/>
        <v>43923.754608101852</v>
      </c>
      <c r="G26" s="104">
        <f t="shared" ca="1" si="0"/>
        <v>43924.754608101852</v>
      </c>
      <c r="H26" s="103">
        <f t="shared" ref="H26:U26" ca="1" si="1">I26-1</f>
        <v>43925.754608101852</v>
      </c>
      <c r="I26" s="103">
        <f t="shared" ca="1" si="1"/>
        <v>43926.754608101852</v>
      </c>
      <c r="J26" s="103">
        <f t="shared" ca="1" si="1"/>
        <v>43927.754608101852</v>
      </c>
      <c r="K26" s="103">
        <f t="shared" ca="1" si="1"/>
        <v>43928.754608101852</v>
      </c>
      <c r="L26" s="103">
        <f t="shared" ca="1" si="1"/>
        <v>43929.754608101852</v>
      </c>
      <c r="M26" s="103">
        <f t="shared" ca="1" si="1"/>
        <v>43930.754608101852</v>
      </c>
      <c r="N26" s="104">
        <f t="shared" ca="1" si="1"/>
        <v>43931.754608101852</v>
      </c>
      <c r="O26" s="102">
        <f t="shared" ca="1" si="1"/>
        <v>43932.754608101852</v>
      </c>
      <c r="P26" s="103">
        <f t="shared" ca="1" si="1"/>
        <v>43933.754608101852</v>
      </c>
      <c r="Q26" s="103">
        <f t="shared" ca="1" si="1"/>
        <v>43934.754608101852</v>
      </c>
      <c r="R26" s="103">
        <f t="shared" ca="1" si="1"/>
        <v>43935.754608101852</v>
      </c>
      <c r="S26" s="103">
        <f t="shared" ca="1" si="1"/>
        <v>43936.754608101852</v>
      </c>
      <c r="T26" s="103">
        <f t="shared" ca="1" si="1"/>
        <v>43937.754608101852</v>
      </c>
      <c r="U26" s="104">
        <f t="shared" ca="1" si="1"/>
        <v>43938.754608101852</v>
      </c>
      <c r="V26" s="102">
        <f t="shared" ref="V26:AN26" ca="1" si="2">W26-1</f>
        <v>43939.754608101852</v>
      </c>
      <c r="W26" s="103">
        <f t="shared" ca="1" si="2"/>
        <v>43940.754608101852</v>
      </c>
      <c r="X26" s="103">
        <f t="shared" ca="1" si="2"/>
        <v>43941.754608101852</v>
      </c>
      <c r="Y26" s="103">
        <f t="shared" ca="1" si="2"/>
        <v>43942.754608101852</v>
      </c>
      <c r="Z26" s="103">
        <f t="shared" ca="1" si="2"/>
        <v>43943.754608101852</v>
      </c>
      <c r="AA26" s="103">
        <f t="shared" ca="1" si="2"/>
        <v>43944.754608101852</v>
      </c>
      <c r="AB26" s="104">
        <f t="shared" ca="1" si="2"/>
        <v>43945.754608101852</v>
      </c>
      <c r="AC26" s="102">
        <f t="shared" ca="1" si="2"/>
        <v>43946.754608101852</v>
      </c>
      <c r="AD26" s="103">
        <f t="shared" ca="1" si="2"/>
        <v>43947.754608101852</v>
      </c>
      <c r="AE26" s="103">
        <f t="shared" ca="1" si="2"/>
        <v>43948.754608101852</v>
      </c>
      <c r="AF26" s="103">
        <f t="shared" ca="1" si="2"/>
        <v>43949.754608101852</v>
      </c>
      <c r="AG26" s="103">
        <f t="shared" ca="1" si="2"/>
        <v>43950.754608101852</v>
      </c>
      <c r="AH26" s="103">
        <f t="shared" ca="1" si="2"/>
        <v>43951.754608101852</v>
      </c>
      <c r="AI26" s="104">
        <f t="shared" ca="1" si="2"/>
        <v>43952.754608101852</v>
      </c>
      <c r="AJ26" s="102">
        <f t="shared" ca="1" si="2"/>
        <v>43953.754608101852</v>
      </c>
      <c r="AK26" s="103">
        <f t="shared" ca="1" si="2"/>
        <v>43954.754608101852</v>
      </c>
      <c r="AL26" s="103">
        <f t="shared" ca="1" si="2"/>
        <v>43955.754608101852</v>
      </c>
      <c r="AM26" s="103">
        <f t="shared" ca="1" si="2"/>
        <v>43956.754608101852</v>
      </c>
      <c r="AN26" s="103">
        <f t="shared" ca="1" si="2"/>
        <v>43957.754608101852</v>
      </c>
      <c r="AO26" s="103">
        <f ca="1">AP26-1</f>
        <v>43958.754608101852</v>
      </c>
      <c r="AP26" s="124">
        <f ca="1">NOW()</f>
        <v>43959.754608101852</v>
      </c>
    </row>
    <row r="27" spans="1:43" x14ac:dyDescent="0.25">
      <c r="A27" s="148" t="s">
        <v>197</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198</v>
      </c>
      <c r="B28" s="299" t="s">
        <v>166</v>
      </c>
      <c r="C28" s="300"/>
      <c r="D28" s="300"/>
      <c r="E28" s="300"/>
      <c r="F28" s="300"/>
      <c r="G28" s="301"/>
      <c r="H28" s="305" t="s">
        <v>154</v>
      </c>
      <c r="I28" s="305"/>
      <c r="J28" s="305"/>
      <c r="K28" s="305"/>
      <c r="L28" s="305"/>
      <c r="M28" s="305"/>
      <c r="N28" s="306"/>
      <c r="O28" s="304" t="s">
        <v>155</v>
      </c>
      <c r="P28" s="305"/>
      <c r="Q28" s="305"/>
      <c r="R28" s="305"/>
      <c r="S28" s="305"/>
      <c r="T28" s="305"/>
      <c r="U28" s="306"/>
      <c r="V28" s="304" t="s">
        <v>156</v>
      </c>
      <c r="W28" s="305"/>
      <c r="X28" s="305"/>
      <c r="Y28" s="305"/>
      <c r="Z28" s="305"/>
      <c r="AA28" s="305"/>
      <c r="AB28" s="306"/>
      <c r="AC28" s="304" t="s">
        <v>157</v>
      </c>
      <c r="AD28" s="305"/>
      <c r="AE28" s="305"/>
      <c r="AF28" s="305"/>
      <c r="AG28" s="305"/>
      <c r="AH28" s="305"/>
      <c r="AI28" s="306"/>
      <c r="AJ28" s="304" t="s">
        <v>158</v>
      </c>
      <c r="AK28" s="305"/>
      <c r="AL28" s="305"/>
      <c r="AM28" s="305"/>
      <c r="AN28" s="305"/>
      <c r="AO28" s="305"/>
      <c r="AP28" s="306"/>
    </row>
    <row r="29" spans="1:43" x14ac:dyDescent="0.25">
      <c r="B29" s="63" t="s">
        <v>178</v>
      </c>
      <c r="C29" s="109"/>
      <c r="D29" s="109"/>
      <c r="E29" s="109"/>
      <c r="F29" s="109"/>
      <c r="G29" s="110"/>
      <c r="H29" s="302" t="s">
        <v>165</v>
      </c>
      <c r="I29" s="302"/>
      <c r="J29" s="302"/>
      <c r="K29" s="302"/>
      <c r="L29" s="302"/>
      <c r="M29" s="302"/>
      <c r="N29" s="302"/>
      <c r="O29" s="302"/>
      <c r="P29" s="302"/>
      <c r="Q29" s="302"/>
      <c r="R29" s="302"/>
      <c r="S29" s="302"/>
      <c r="T29" s="302"/>
      <c r="U29" s="302"/>
      <c r="V29" s="302"/>
      <c r="W29" s="302"/>
      <c r="X29" s="302"/>
      <c r="Y29" s="302"/>
      <c r="Z29" s="302"/>
      <c r="AA29" s="302"/>
      <c r="AB29" s="302"/>
      <c r="AC29" s="302"/>
      <c r="AD29" s="302"/>
      <c r="AE29" s="302"/>
      <c r="AF29" s="302"/>
      <c r="AG29" s="302"/>
      <c r="AH29" s="302"/>
      <c r="AI29" s="302"/>
      <c r="AJ29" s="302"/>
      <c r="AK29" s="302"/>
      <c r="AL29" s="302"/>
      <c r="AM29" s="302"/>
      <c r="AN29" s="302"/>
      <c r="AO29" s="302"/>
      <c r="AP29" s="303"/>
    </row>
    <row r="31" spans="1:43" x14ac:dyDescent="0.25">
      <c r="B31" s="69" t="s">
        <v>167</v>
      </c>
      <c r="C31" s="152" t="s">
        <v>290</v>
      </c>
      <c r="D31" s="21"/>
      <c r="E31" s="97">
        <f>VLOOKUP(C31,B43:C54,2,FALSE)</f>
        <v>1.4E-2</v>
      </c>
      <c r="F31" s="21"/>
      <c r="G31" s="21"/>
      <c r="H31" s="21"/>
      <c r="I31" s="17"/>
    </row>
    <row r="32" spans="1:43" x14ac:dyDescent="0.25">
      <c r="B32" s="53" t="s">
        <v>195</v>
      </c>
      <c r="C32" s="28"/>
      <c r="D32" s="28"/>
      <c r="E32" s="153">
        <v>1</v>
      </c>
      <c r="F32" s="28"/>
      <c r="G32" s="28"/>
      <c r="H32" s="28"/>
      <c r="I32" s="29"/>
    </row>
    <row r="33" spans="2:9" x14ac:dyDescent="0.25">
      <c r="B33" s="53" t="s">
        <v>169</v>
      </c>
      <c r="C33" s="28"/>
      <c r="D33" s="28"/>
      <c r="E33" s="28">
        <v>3</v>
      </c>
      <c r="F33" s="28" t="s">
        <v>170</v>
      </c>
      <c r="G33" s="28"/>
      <c r="H33" s="28"/>
      <c r="I33" s="29"/>
    </row>
    <row r="34" spans="2:9" x14ac:dyDescent="0.25">
      <c r="B34" s="53" t="s">
        <v>289</v>
      </c>
      <c r="C34" s="28"/>
      <c r="D34" s="28"/>
      <c r="E34" s="154">
        <f>1-Projections!B14</f>
        <v>0.18999999999999995</v>
      </c>
      <c r="F34" s="28" t="s">
        <v>193</v>
      </c>
      <c r="G34" s="28"/>
      <c r="H34" s="28"/>
      <c r="I34" s="29"/>
    </row>
    <row r="35" spans="2:9" x14ac:dyDescent="0.25">
      <c r="B35" s="53" t="s">
        <v>175</v>
      </c>
      <c r="C35" s="28"/>
      <c r="D35" s="28"/>
      <c r="E35" s="154">
        <v>0.92</v>
      </c>
      <c r="F35" s="28" t="s">
        <v>194</v>
      </c>
      <c r="G35" s="28"/>
      <c r="H35" s="28"/>
      <c r="I35" s="29"/>
    </row>
    <row r="36" spans="2:9" x14ac:dyDescent="0.25">
      <c r="B36" s="53" t="s">
        <v>176</v>
      </c>
      <c r="C36" s="28"/>
      <c r="D36" s="28"/>
      <c r="E36" s="154">
        <v>0.05</v>
      </c>
      <c r="F36" s="28" t="s">
        <v>194</v>
      </c>
      <c r="G36" s="28"/>
      <c r="H36" s="28"/>
      <c r="I36" s="29"/>
    </row>
    <row r="37" spans="2:9" x14ac:dyDescent="0.25">
      <c r="B37" s="53" t="s">
        <v>177</v>
      </c>
      <c r="C37" s="28"/>
      <c r="D37" s="28"/>
      <c r="E37" s="154">
        <v>0.03</v>
      </c>
      <c r="F37" s="28" t="s">
        <v>194</v>
      </c>
      <c r="G37" s="28"/>
      <c r="H37" s="28"/>
      <c r="I37" s="29"/>
    </row>
    <row r="38" spans="2:9" x14ac:dyDescent="0.25">
      <c r="B38" s="53" t="s">
        <v>180</v>
      </c>
      <c r="C38" s="28"/>
      <c r="D38" s="28"/>
      <c r="E38" s="150">
        <v>2</v>
      </c>
      <c r="F38" s="28" t="s">
        <v>181</v>
      </c>
      <c r="G38" s="28"/>
      <c r="H38" s="28"/>
      <c r="I38" s="29"/>
    </row>
    <row r="39" spans="2:9" x14ac:dyDescent="0.25">
      <c r="B39" s="49" t="s">
        <v>182</v>
      </c>
      <c r="C39" s="151"/>
      <c r="D39" s="51"/>
      <c r="E39" s="130">
        <v>4</v>
      </c>
      <c r="F39" s="51" t="s">
        <v>181</v>
      </c>
      <c r="G39" s="51" t="s">
        <v>183</v>
      </c>
      <c r="H39" s="51"/>
      <c r="I39" s="75"/>
    </row>
    <row r="42" spans="2:9" x14ac:dyDescent="0.25">
      <c r="B42" t="s">
        <v>189</v>
      </c>
    </row>
    <row r="43" spans="2:9" x14ac:dyDescent="0.25">
      <c r="B43" s="16" t="s">
        <v>188</v>
      </c>
      <c r="C43" s="129">
        <v>3.5000000000000003E-2</v>
      </c>
    </row>
    <row r="44" spans="2:9" x14ac:dyDescent="0.25">
      <c r="B44" s="53" t="s">
        <v>187</v>
      </c>
      <c r="C44" s="39">
        <v>2.3E-2</v>
      </c>
    </row>
    <row r="45" spans="2:9" x14ac:dyDescent="0.25">
      <c r="B45" s="53" t="s">
        <v>290</v>
      </c>
      <c r="C45" s="39">
        <f>Projections!B21</f>
        <v>1.4E-2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J94"/>
  <sheetViews>
    <sheetView tabSelected="1" zoomScaleNormal="100" workbookViewId="0">
      <selection activeCell="U11" sqref="U11"/>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1.28515625" customWidth="1"/>
    <col min="7" max="7" width="10.7109375" customWidth="1"/>
    <col min="8" max="8" width="10.85546875" bestFit="1" customWidth="1"/>
    <col min="9" max="9" width="10.7109375" bestFit="1" customWidth="1"/>
    <col min="10" max="11" width="10.85546875" bestFit="1" customWidth="1"/>
    <col min="12" max="12" width="10.5703125" customWidth="1"/>
    <col min="13" max="13" width="11.28515625" bestFit="1" customWidth="1"/>
    <col min="14" max="19" width="11" customWidth="1"/>
    <col min="20" max="20" width="10.7109375" customWidth="1"/>
    <col min="21" max="22" width="10.85546875" bestFit="1" customWidth="1"/>
    <col min="23" max="23" width="10.85546875" customWidth="1"/>
    <col min="24" max="24" width="10.7109375" bestFit="1" customWidth="1"/>
    <col min="25" max="25" width="10.85546875" bestFit="1" customWidth="1"/>
    <col min="26" max="26" width="11.28515625" customWidth="1"/>
    <col min="27" max="28" width="10.7109375" bestFit="1" customWidth="1"/>
    <col min="29" max="29" width="10.7109375" customWidth="1"/>
    <col min="30" max="30" width="11.28515625" customWidth="1"/>
    <col min="31" max="31" width="10.85546875" bestFit="1" customWidth="1"/>
    <col min="32" max="32" width="11.28515625" bestFit="1" customWidth="1"/>
    <col min="33" max="33" width="10.5703125" style="81" bestFit="1" customWidth="1"/>
    <col min="34" max="34" width="11.140625" bestFit="1" customWidth="1"/>
    <col min="35" max="35" width="12.140625" bestFit="1" customWidth="1"/>
  </cols>
  <sheetData>
    <row r="1" spans="1:19" x14ac:dyDescent="0.25">
      <c r="D1" t="s">
        <v>220</v>
      </c>
    </row>
    <row r="2" spans="1:19" x14ac:dyDescent="0.25">
      <c r="D2" s="173">
        <v>43862</v>
      </c>
      <c r="E2" s="174" t="s">
        <v>267</v>
      </c>
      <c r="F2" s="173">
        <f>D2+14</f>
        <v>43876</v>
      </c>
    </row>
    <row r="3" spans="1:19" x14ac:dyDescent="0.25">
      <c r="F3" s="173">
        <v>43891</v>
      </c>
      <c r="G3" s="174" t="s">
        <v>268</v>
      </c>
      <c r="H3" s="174"/>
      <c r="I3" s="174"/>
      <c r="J3" s="173">
        <f>F3+14</f>
        <v>43905</v>
      </c>
    </row>
    <row r="4" spans="1:19" x14ac:dyDescent="0.25">
      <c r="G4" s="173">
        <v>43895</v>
      </c>
      <c r="H4" s="174" t="s">
        <v>269</v>
      </c>
      <c r="I4" s="174"/>
      <c r="J4" s="174"/>
      <c r="K4" s="173">
        <f>G4+14</f>
        <v>43909</v>
      </c>
    </row>
    <row r="5" spans="1:19" x14ac:dyDescent="0.25">
      <c r="I5" s="173">
        <v>43901</v>
      </c>
      <c r="J5" s="174" t="s">
        <v>272</v>
      </c>
      <c r="K5" s="174"/>
      <c r="L5" s="174"/>
      <c r="M5" s="173">
        <f>I5+14</f>
        <v>43915</v>
      </c>
    </row>
    <row r="6" spans="1:19" x14ac:dyDescent="0.25">
      <c r="J6" s="173">
        <v>43906</v>
      </c>
      <c r="K6" s="174" t="s">
        <v>270</v>
      </c>
      <c r="L6" s="174"/>
      <c r="M6" s="174"/>
      <c r="N6" s="173">
        <f>J6+14</f>
        <v>43920</v>
      </c>
      <c r="O6" s="181"/>
    </row>
    <row r="7" spans="1:19" x14ac:dyDescent="0.25">
      <c r="K7" s="173">
        <v>43908</v>
      </c>
      <c r="L7" s="207" t="s">
        <v>271</v>
      </c>
      <c r="M7" s="207"/>
      <c r="N7" s="173">
        <f>K7+14</f>
        <v>43922</v>
      </c>
      <c r="O7" s="181"/>
    </row>
    <row r="8" spans="1:19" x14ac:dyDescent="0.25">
      <c r="K8" s="173">
        <v>43909</v>
      </c>
      <c r="L8" s="174" t="s">
        <v>292</v>
      </c>
      <c r="M8" s="174"/>
      <c r="N8" s="173">
        <v>43923</v>
      </c>
    </row>
    <row r="9" spans="1:19" x14ac:dyDescent="0.25">
      <c r="L9" s="173">
        <v>43911</v>
      </c>
      <c r="M9" s="174" t="s">
        <v>295</v>
      </c>
      <c r="N9" s="173">
        <f>L9+14</f>
        <v>43925</v>
      </c>
      <c r="O9" s="181"/>
      <c r="P9" s="181"/>
      <c r="Q9" s="181"/>
      <c r="R9" s="181"/>
    </row>
    <row r="10" spans="1:19" x14ac:dyDescent="0.25">
      <c r="L10" s="173">
        <v>43913</v>
      </c>
      <c r="M10" s="174" t="s">
        <v>217</v>
      </c>
      <c r="N10" s="173">
        <f>L10+14</f>
        <v>43927</v>
      </c>
      <c r="O10" s="181"/>
      <c r="P10" s="181"/>
      <c r="Q10" s="181"/>
      <c r="R10" s="181"/>
      <c r="S10" s="181"/>
    </row>
    <row r="11" spans="1:19" x14ac:dyDescent="0.25">
      <c r="M11" s="175">
        <v>43914</v>
      </c>
      <c r="N11" s="207" t="s">
        <v>293</v>
      </c>
      <c r="O11" s="175">
        <v>43928</v>
      </c>
      <c r="S11" s="181"/>
    </row>
    <row r="12" spans="1:19" x14ac:dyDescent="0.25">
      <c r="L12" s="28"/>
      <c r="M12" s="175">
        <v>43915</v>
      </c>
      <c r="N12" s="207" t="s">
        <v>294</v>
      </c>
      <c r="O12" s="175">
        <v>43929</v>
      </c>
      <c r="S12" s="181"/>
    </row>
    <row r="13" spans="1:19" x14ac:dyDescent="0.25">
      <c r="A13" s="16" t="s">
        <v>0</v>
      </c>
      <c r="B13" s="169">
        <v>25634000</v>
      </c>
      <c r="C13" t="s">
        <v>151</v>
      </c>
      <c r="M13" s="175">
        <v>43915</v>
      </c>
      <c r="N13" s="207" t="s">
        <v>218</v>
      </c>
      <c r="O13" s="175">
        <f>M13+14</f>
        <v>43929</v>
      </c>
      <c r="P13" s="81"/>
      <c r="Q13" s="81"/>
      <c r="R13" s="81"/>
      <c r="S13" s="181"/>
    </row>
    <row r="14" spans="1:19" x14ac:dyDescent="0.25">
      <c r="A14" s="16" t="s">
        <v>214</v>
      </c>
      <c r="B14" s="170">
        <v>0.81</v>
      </c>
      <c r="C14" t="s">
        <v>213</v>
      </c>
      <c r="N14" s="173">
        <v>43920</v>
      </c>
      <c r="O14" s="174" t="s">
        <v>219</v>
      </c>
      <c r="P14" s="173">
        <f>N14+14</f>
        <v>43934</v>
      </c>
      <c r="Q14" s="181"/>
      <c r="R14" s="181"/>
      <c r="S14" s="81"/>
    </row>
    <row r="15" spans="1:19" x14ac:dyDescent="0.25">
      <c r="A15" s="49" t="s">
        <v>216</v>
      </c>
      <c r="B15" s="128">
        <v>0.2</v>
      </c>
      <c r="P15" s="278">
        <v>43948</v>
      </c>
      <c r="Q15" t="s">
        <v>299</v>
      </c>
      <c r="S15" s="181"/>
    </row>
    <row r="16" spans="1:19" x14ac:dyDescent="0.25">
      <c r="A16" s="53" t="s">
        <v>144</v>
      </c>
      <c r="B16" s="125">
        <v>2.6</v>
      </c>
      <c r="C16" s="76">
        <f>(B13/1000)*B16</f>
        <v>66648.400000000009</v>
      </c>
      <c r="L16" s="164"/>
      <c r="M16" s="59"/>
      <c r="N16" s="59"/>
      <c r="O16" s="59"/>
      <c r="P16" s="164">
        <v>43949</v>
      </c>
      <c r="Q16" s="59" t="s">
        <v>300</v>
      </c>
      <c r="R16" s="59"/>
    </row>
    <row r="17" spans="1:36" x14ac:dyDescent="0.25">
      <c r="A17" s="53" t="s">
        <v>145</v>
      </c>
      <c r="B17" s="125">
        <v>7.4</v>
      </c>
      <c r="C17" s="73">
        <f>(B13/100000)*B17</f>
        <v>1896.9159999999999</v>
      </c>
      <c r="P17" s="278">
        <v>43959</v>
      </c>
      <c r="Q17" t="s">
        <v>307</v>
      </c>
      <c r="X17" s="134"/>
      <c r="Y17" s="278"/>
    </row>
    <row r="18" spans="1:36" x14ac:dyDescent="0.25">
      <c r="A18" s="16" t="s">
        <v>172</v>
      </c>
      <c r="B18" s="126">
        <v>0.92</v>
      </c>
      <c r="C18" s="2" t="s">
        <v>287</v>
      </c>
      <c r="O18" s="278"/>
      <c r="P18" s="278"/>
      <c r="W18" s="278"/>
      <c r="X18" s="134"/>
      <c r="AA18" s="278"/>
    </row>
    <row r="19" spans="1:36" x14ac:dyDescent="0.25">
      <c r="A19" s="53" t="s">
        <v>173</v>
      </c>
      <c r="B19" s="127">
        <v>0.05</v>
      </c>
      <c r="C19" s="2" t="s">
        <v>286</v>
      </c>
      <c r="X19" s="134"/>
      <c r="Y19" s="278"/>
      <c r="Z19" s="278"/>
    </row>
    <row r="20" spans="1:36" x14ac:dyDescent="0.25">
      <c r="A20" s="49" t="s">
        <v>209</v>
      </c>
      <c r="B20" s="128">
        <v>0.03</v>
      </c>
      <c r="C20" s="2" t="s">
        <v>285</v>
      </c>
      <c r="D20" s="233" t="s">
        <v>280</v>
      </c>
      <c r="K20" s="164"/>
      <c r="S20" s="59"/>
      <c r="T20" s="81"/>
      <c r="U20" s="81"/>
      <c r="AE20" s="191"/>
    </row>
    <row r="21" spans="1:36" x14ac:dyDescent="0.25">
      <c r="A21" s="49" t="s">
        <v>215</v>
      </c>
      <c r="B21" s="77">
        <v>1.4E-2</v>
      </c>
      <c r="C21" s="2"/>
      <c r="D21" s="194" t="s">
        <v>266</v>
      </c>
      <c r="K21" s="164"/>
      <c r="L21" s="59"/>
      <c r="M21" s="59"/>
      <c r="N21" s="59"/>
      <c r="P21" s="59"/>
      <c r="Q21" s="59"/>
      <c r="R21" s="59"/>
      <c r="S21" s="164"/>
      <c r="T21" s="81"/>
      <c r="U21" s="81"/>
      <c r="AD21" s="192"/>
    </row>
    <row r="22" spans="1:36" x14ac:dyDescent="0.25">
      <c r="A22" s="167" t="s">
        <v>202</v>
      </c>
      <c r="B22" s="168">
        <v>43855</v>
      </c>
      <c r="C22" s="2"/>
      <c r="D22" s="251">
        <f>(AD25-G25)/(LOG(AD26/G26)/LOG(2))</f>
        <v>71.777777777777771</v>
      </c>
      <c r="E22" s="191"/>
      <c r="J22" s="28"/>
      <c r="K22" s="59"/>
      <c r="L22" s="59"/>
      <c r="M22" s="59"/>
      <c r="N22" s="59"/>
      <c r="O22" s="59" t="s">
        <v>281</v>
      </c>
      <c r="P22" s="59"/>
      <c r="Q22" s="59"/>
      <c r="R22" s="59"/>
      <c r="S22" s="59"/>
      <c r="T22" s="81"/>
      <c r="U22" s="81"/>
    </row>
    <row r="23" spans="1:36" x14ac:dyDescent="0.25">
      <c r="A23" s="28"/>
      <c r="B23" s="62" t="s">
        <v>150</v>
      </c>
      <c r="C23" s="22"/>
      <c r="D23" s="28"/>
      <c r="E23" s="28"/>
      <c r="F23" s="28"/>
      <c r="G23" s="28"/>
      <c r="H23" s="28"/>
      <c r="I23" s="28"/>
      <c r="J23" s="28"/>
      <c r="K23" s="59"/>
      <c r="L23" s="59"/>
      <c r="M23" t="s">
        <v>297</v>
      </c>
      <c r="N23" s="59"/>
      <c r="P23" s="59"/>
      <c r="Q23" s="59" t="s">
        <v>298</v>
      </c>
      <c r="R23" s="59"/>
      <c r="S23" s="59"/>
      <c r="T23" s="59"/>
      <c r="U23" s="59"/>
      <c r="V23" s="28"/>
      <c r="W23" s="28"/>
      <c r="X23" s="28"/>
      <c r="Y23" s="28"/>
      <c r="Z23" s="28"/>
      <c r="AA23" s="28"/>
      <c r="AB23" s="28"/>
      <c r="AC23" s="28"/>
      <c r="AD23" s="233" t="s">
        <v>282</v>
      </c>
      <c r="AG23" s="166"/>
    </row>
    <row r="24" spans="1:36" x14ac:dyDescent="0.25">
      <c r="A24" s="65" t="s">
        <v>133</v>
      </c>
      <c r="B24" s="206">
        <v>43892</v>
      </c>
      <c r="C24" s="206">
        <v>43908</v>
      </c>
      <c r="D24" s="206">
        <v>43914</v>
      </c>
      <c r="E24" s="206">
        <v>43919</v>
      </c>
      <c r="F24" s="206"/>
      <c r="G24" s="147" t="s">
        <v>161</v>
      </c>
      <c r="H24" s="28"/>
      <c r="I24" s="28"/>
      <c r="J24" s="28"/>
      <c r="K24" s="59"/>
      <c r="L24" s="59"/>
      <c r="M24" s="59"/>
      <c r="N24" s="285"/>
      <c r="O24" s="286" t="s">
        <v>296</v>
      </c>
      <c r="P24" s="197"/>
      <c r="Q24" s="197"/>
      <c r="R24" s="197"/>
      <c r="S24" s="28"/>
      <c r="T24" s="28"/>
      <c r="U24" s="28"/>
      <c r="W24" s="28"/>
      <c r="AA24" s="28"/>
      <c r="AB24" s="28"/>
      <c r="AC24" s="28"/>
      <c r="AG24" s="247" t="s">
        <v>288</v>
      </c>
    </row>
    <row r="25" spans="1:36" x14ac:dyDescent="0.25">
      <c r="A25" s="16" t="s">
        <v>12</v>
      </c>
      <c r="B25" s="171">
        <v>4</v>
      </c>
      <c r="C25" s="172">
        <v>3</v>
      </c>
      <c r="D25" s="96">
        <v>5</v>
      </c>
      <c r="E25" s="21">
        <v>115</v>
      </c>
      <c r="F25" s="21"/>
      <c r="G25" s="279">
        <v>43892</v>
      </c>
      <c r="H25" s="280">
        <f>G25+HLOOKUP(G25+1, $B$24:$F$25,2,TRUE)</f>
        <v>43896</v>
      </c>
      <c r="I25" s="280">
        <f t="shared" ref="I25:AC25" si="0">H25+HLOOKUP(H25+1, $B$24:$F$25,2,TRUE)</f>
        <v>43900</v>
      </c>
      <c r="J25" s="280">
        <f t="shared" si="0"/>
        <v>43904</v>
      </c>
      <c r="K25" s="280">
        <f t="shared" si="0"/>
        <v>43908</v>
      </c>
      <c r="L25" s="281">
        <f t="shared" si="0"/>
        <v>43911</v>
      </c>
      <c r="M25" s="281">
        <f t="shared" si="0"/>
        <v>43914</v>
      </c>
      <c r="N25" s="282">
        <f t="shared" si="0"/>
        <v>43919</v>
      </c>
      <c r="O25" s="284">
        <f>$N$25+(($T$25-$N$25)*(0.09))</f>
        <v>43929.35</v>
      </c>
      <c r="P25" s="283">
        <f>$N$25+(($T$25-$N$25)*0.19)</f>
        <v>43940.85</v>
      </c>
      <c r="Q25" s="287">
        <f>$N$25+(($T$25-$N$25)*0.5)</f>
        <v>43976.5</v>
      </c>
      <c r="R25" s="287">
        <f>$N$25+(($T$25-$N$25)*0.75)</f>
        <v>44005.25</v>
      </c>
      <c r="S25" s="287">
        <f>$N$25+(($T$25-$N$25)*0.9)</f>
        <v>44022.5</v>
      </c>
      <c r="T25" s="288">
        <f>N25+HLOOKUP(N25+1, $B$24:$F$25,2,TRUE)</f>
        <v>44034</v>
      </c>
      <c r="U25" s="288">
        <f t="shared" si="0"/>
        <v>44149</v>
      </c>
      <c r="V25" s="288">
        <f t="shared" si="0"/>
        <v>44264</v>
      </c>
      <c r="W25" s="288">
        <f t="shared" si="0"/>
        <v>44379</v>
      </c>
      <c r="X25" s="288">
        <f t="shared" si="0"/>
        <v>44494</v>
      </c>
      <c r="Y25" s="288">
        <f t="shared" si="0"/>
        <v>44609</v>
      </c>
      <c r="Z25" s="288">
        <f t="shared" si="0"/>
        <v>44724</v>
      </c>
      <c r="AA25" s="288">
        <f t="shared" si="0"/>
        <v>44839</v>
      </c>
      <c r="AB25" s="288">
        <f t="shared" si="0"/>
        <v>44954</v>
      </c>
      <c r="AC25" s="288">
        <f t="shared" si="0"/>
        <v>45069</v>
      </c>
      <c r="AD25" s="289">
        <f>AC25+HLOOKUP(AC25+1, $B$24:$F$25,2,TRUE)</f>
        <v>45184</v>
      </c>
      <c r="AE25" s="290">
        <f>AD25+HLOOKUP(AD25+1, $B$24:$F$25,2,TRUE)</f>
        <v>45299</v>
      </c>
      <c r="AF25" s="291">
        <f>AE25+HLOOKUP(AE25+1, $B$24:$F$25,2,TRUE)</f>
        <v>45414</v>
      </c>
      <c r="AG25" s="248">
        <f>AF25+(7*8)</f>
        <v>45470</v>
      </c>
      <c r="AH25" s="82"/>
      <c r="AI25" s="82"/>
      <c r="AJ25" s="81"/>
    </row>
    <row r="26" spans="1:36" x14ac:dyDescent="0.25">
      <c r="A26" s="53" t="s">
        <v>207</v>
      </c>
      <c r="B26" s="28"/>
      <c r="C26" s="28"/>
      <c r="D26" s="28"/>
      <c r="E26" s="28"/>
      <c r="F26" s="28"/>
      <c r="G26" s="274">
        <v>31.25</v>
      </c>
      <c r="H26" s="275">
        <f>G26*2</f>
        <v>62.5</v>
      </c>
      <c r="I26" s="275">
        <f t="shared" ref="I26:AB26" si="1">H26*2</f>
        <v>125</v>
      </c>
      <c r="J26" s="275">
        <f t="shared" si="1"/>
        <v>250</v>
      </c>
      <c r="K26" s="276">
        <f t="shared" si="1"/>
        <v>500</v>
      </c>
      <c r="L26" s="277">
        <f t="shared" si="1"/>
        <v>1000</v>
      </c>
      <c r="M26" s="275">
        <f t="shared" si="1"/>
        <v>2000</v>
      </c>
      <c r="N26" s="275">
        <f t="shared" si="1"/>
        <v>4000</v>
      </c>
      <c r="O26" s="277">
        <f>$N$26+(($T$26-$N$26)*0.5)</f>
        <v>6000</v>
      </c>
      <c r="P26" s="275">
        <f>$N$26+(($T$26-$N$26)*0.65)</f>
        <v>6600</v>
      </c>
      <c r="Q26" s="275">
        <f>$N$26+(($T$26-$N$26)*0.8)</f>
        <v>7200</v>
      </c>
      <c r="R26" s="275">
        <f>$N$26+(($T$26-$N$26)*0.9)</f>
        <v>7600</v>
      </c>
      <c r="S26" s="275">
        <f>$N$26+(($T$26-$N$26)*0.95)</f>
        <v>7800</v>
      </c>
      <c r="T26" s="277">
        <f>N26*2</f>
        <v>8000</v>
      </c>
      <c r="U26" s="275">
        <f>T26*2</f>
        <v>16000</v>
      </c>
      <c r="V26" s="275">
        <f>U26*2</f>
        <v>32000</v>
      </c>
      <c r="W26" s="275">
        <f>V26*2</f>
        <v>64000</v>
      </c>
      <c r="X26" s="275">
        <f>W26*2</f>
        <v>128000</v>
      </c>
      <c r="Y26" s="275">
        <f t="shared" si="1"/>
        <v>256000</v>
      </c>
      <c r="Z26" s="275">
        <f t="shared" si="1"/>
        <v>512000</v>
      </c>
      <c r="AA26" s="275">
        <f t="shared" si="1"/>
        <v>1024000</v>
      </c>
      <c r="AB26" s="275">
        <f t="shared" si="1"/>
        <v>2048000</v>
      </c>
      <c r="AC26" s="275">
        <f>AB26*2</f>
        <v>4096000</v>
      </c>
      <c r="AD26" s="276">
        <f>AC26*2</f>
        <v>8192000</v>
      </c>
      <c r="AE26" s="265">
        <f>AD26*2</f>
        <v>16384000</v>
      </c>
      <c r="AF26" s="222">
        <f>B13</f>
        <v>25634000</v>
      </c>
      <c r="AG26" s="241">
        <f>B13*AG27</f>
        <v>5126800</v>
      </c>
      <c r="AH26" s="57"/>
      <c r="AI26" s="57"/>
      <c r="AJ26" s="81"/>
    </row>
    <row r="27" spans="1:36" x14ac:dyDescent="0.25">
      <c r="A27" s="53" t="s">
        <v>208</v>
      </c>
      <c r="B27" s="28"/>
      <c r="C27" s="28"/>
      <c r="D27" s="28"/>
      <c r="E27" s="28"/>
      <c r="F27" s="28"/>
      <c r="G27" s="210">
        <f t="shared" ref="G27:AB27" si="2">G26/$B$13</f>
        <v>1.2190840290239525E-6</v>
      </c>
      <c r="H27" s="211">
        <f t="shared" si="2"/>
        <v>2.438168058047905E-6</v>
      </c>
      <c r="I27" s="78">
        <f t="shared" si="2"/>
        <v>4.87633611609581E-6</v>
      </c>
      <c r="J27" s="48">
        <f t="shared" si="2"/>
        <v>9.7526722321916199E-6</v>
      </c>
      <c r="K27" s="209">
        <f t="shared" si="2"/>
        <v>1.950534446438324E-5</v>
      </c>
      <c r="L27" s="101">
        <f t="shared" si="2"/>
        <v>3.901068892876648E-5</v>
      </c>
      <c r="M27" s="48">
        <f t="shared" si="2"/>
        <v>7.8021377857532959E-5</v>
      </c>
      <c r="N27" s="48">
        <f t="shared" si="2"/>
        <v>1.5604275571506592E-4</v>
      </c>
      <c r="O27" s="101">
        <f t="shared" ref="O27:S27" si="3">O26/$B$13</f>
        <v>2.3406413357259889E-4</v>
      </c>
      <c r="P27" s="48">
        <f t="shared" si="3"/>
        <v>2.5747054692985876E-4</v>
      </c>
      <c r="Q27" s="48">
        <f t="shared" ref="Q27:R27" si="4">Q26/$B$13</f>
        <v>2.8087696028711865E-4</v>
      </c>
      <c r="R27" s="48">
        <f t="shared" si="4"/>
        <v>2.9648123585862524E-4</v>
      </c>
      <c r="S27" s="48">
        <f t="shared" si="3"/>
        <v>3.0428337364437854E-4</v>
      </c>
      <c r="T27" s="18">
        <f t="shared" si="2"/>
        <v>3.1208551143013184E-4</v>
      </c>
      <c r="U27" s="26">
        <f>U26/$B$13</f>
        <v>6.2417102286026367E-4</v>
      </c>
      <c r="V27" s="26">
        <f>V26/$B$13</f>
        <v>1.2483420457205273E-3</v>
      </c>
      <c r="W27" s="26">
        <f>W26/$B$13</f>
        <v>2.4966840914410547E-3</v>
      </c>
      <c r="X27" s="27">
        <f>X26/$B$13</f>
        <v>4.9933681828821094E-3</v>
      </c>
      <c r="Y27" s="87">
        <f t="shared" si="2"/>
        <v>9.9867363657642188E-3</v>
      </c>
      <c r="Z27" s="87">
        <f t="shared" si="2"/>
        <v>1.9973472731528438E-2</v>
      </c>
      <c r="AA27" s="87">
        <f t="shared" si="2"/>
        <v>3.9946945463056875E-2</v>
      </c>
      <c r="AB27" s="87">
        <f t="shared" si="2"/>
        <v>7.989389092611375E-2</v>
      </c>
      <c r="AC27" s="87">
        <f>AC26/$B$13</f>
        <v>0.1597877818522275</v>
      </c>
      <c r="AD27" s="269">
        <f>AD26/$B$13</f>
        <v>0.319575563704455</v>
      </c>
      <c r="AE27" s="266">
        <f>AE26/$B$13</f>
        <v>0.63915112740891</v>
      </c>
      <c r="AF27" s="193">
        <f>AF26/$B$13</f>
        <v>1</v>
      </c>
      <c r="AG27" s="242">
        <f>B15</f>
        <v>0.2</v>
      </c>
      <c r="AH27" s="37"/>
      <c r="AI27" s="37"/>
      <c r="AJ27" s="81"/>
    </row>
    <row r="28" spans="1:36" x14ac:dyDescent="0.25">
      <c r="A28" s="53" t="s">
        <v>262</v>
      </c>
      <c r="B28" s="28"/>
      <c r="C28" s="28"/>
      <c r="D28" s="28"/>
      <c r="E28" s="28"/>
      <c r="F28" s="28"/>
      <c r="G28" s="252">
        <f t="shared" ref="G28:U28" si="5">MAX(G26-(G34-G35)-(G36-G37)-(G38-G39),0)</f>
        <v>23.164089590657923</v>
      </c>
      <c r="H28" s="253">
        <f t="shared" si="5"/>
        <v>50.699712342982444</v>
      </c>
      <c r="I28" s="253">
        <f t="shared" si="5"/>
        <v>107.77908340074089</v>
      </c>
      <c r="J28" s="253">
        <f t="shared" si="5"/>
        <v>224.86841192873166</v>
      </c>
      <c r="K28" s="254">
        <f t="shared" si="5"/>
        <v>464.13626956465896</v>
      </c>
      <c r="L28" s="252">
        <f t="shared" si="5"/>
        <v>933.37965322963009</v>
      </c>
      <c r="M28" s="253">
        <f t="shared" si="5"/>
        <v>1895.6439393939395</v>
      </c>
      <c r="N28" s="253">
        <f t="shared" si="5"/>
        <v>3736.0594121267809</v>
      </c>
      <c r="O28" s="252">
        <f t="shared" ref="O28:S28" si="6">MAX(O26-(O34-O35)-(O36-O37)-(O38-O39),0)</f>
        <v>3294.2461742046949</v>
      </c>
      <c r="P28" s="253">
        <f t="shared" si="6"/>
        <v>45.298353008297113</v>
      </c>
      <c r="Q28" s="253">
        <f t="shared" ref="Q28:R28" si="7">MAX(Q26-(Q34-Q35)-(Q36-Q37)-(Q38-Q39),0)</f>
        <v>0</v>
      </c>
      <c r="R28" s="253">
        <f t="shared" si="7"/>
        <v>84.34513447895938</v>
      </c>
      <c r="S28" s="253">
        <f t="shared" si="6"/>
        <v>371.61520185995346</v>
      </c>
      <c r="T28" s="252">
        <f>MAX(T26-(T34-T35)-(T36-T37)-(T38-T39),0)</f>
        <v>0</v>
      </c>
      <c r="U28" s="253">
        <f t="shared" si="5"/>
        <v>0</v>
      </c>
      <c r="V28" s="253">
        <f>MAX(V26-(V34-V35)-(V36-V37)-(V38-V39),0)</f>
        <v>0</v>
      </c>
      <c r="W28" s="253">
        <f t="shared" ref="W28:AF28" si="8">MAX(W26-(W34-W35)-(W36-W37)-(W38-W39),0)</f>
        <v>0</v>
      </c>
      <c r="X28" s="253">
        <f t="shared" si="8"/>
        <v>0</v>
      </c>
      <c r="Y28" s="253">
        <f t="shared" si="8"/>
        <v>0</v>
      </c>
      <c r="Z28" s="253">
        <f t="shared" si="8"/>
        <v>0</v>
      </c>
      <c r="AA28" s="253">
        <f t="shared" si="8"/>
        <v>0</v>
      </c>
      <c r="AB28" s="253">
        <f t="shared" si="8"/>
        <v>0</v>
      </c>
      <c r="AC28" s="253">
        <f t="shared" si="8"/>
        <v>0</v>
      </c>
      <c r="AD28" s="254">
        <f t="shared" si="8"/>
        <v>0</v>
      </c>
      <c r="AE28" s="267">
        <f t="shared" si="8"/>
        <v>0</v>
      </c>
      <c r="AF28" s="215">
        <f t="shared" si="8"/>
        <v>0</v>
      </c>
      <c r="AG28" s="243"/>
      <c r="AH28" s="57"/>
      <c r="AI28" s="57"/>
      <c r="AJ28" s="81"/>
    </row>
    <row r="29" spans="1:36" x14ac:dyDescent="0.25">
      <c r="A29" s="53" t="s">
        <v>283</v>
      </c>
      <c r="B29" s="28"/>
      <c r="C29" s="28"/>
      <c r="D29" s="28"/>
      <c r="E29" s="28"/>
      <c r="F29" s="28"/>
      <c r="G29" s="98">
        <f>G26-G28</f>
        <v>8.0859104093420768</v>
      </c>
      <c r="H29" s="99">
        <f t="shared" ref="H29:AF29" si="9">H26-H28</f>
        <v>11.800287657017556</v>
      </c>
      <c r="I29" s="99">
        <f t="shared" si="9"/>
        <v>17.220916599259112</v>
      </c>
      <c r="J29" s="99">
        <f t="shared" si="9"/>
        <v>25.131588071268339</v>
      </c>
      <c r="K29" s="136">
        <f t="shared" si="9"/>
        <v>35.86373043534104</v>
      </c>
      <c r="L29" s="270">
        <f t="shared" si="9"/>
        <v>66.620346770369906</v>
      </c>
      <c r="M29" s="135">
        <f t="shared" si="9"/>
        <v>104.35606060606051</v>
      </c>
      <c r="N29" s="135">
        <f t="shared" si="9"/>
        <v>263.9405878732191</v>
      </c>
      <c r="O29" s="270">
        <f t="shared" ref="O29:S29" si="10">O26-O28</f>
        <v>2705.7538257953051</v>
      </c>
      <c r="P29" s="135">
        <f t="shared" si="10"/>
        <v>6554.7016469917025</v>
      </c>
      <c r="Q29" s="135">
        <f t="shared" ref="Q29:R29" si="11">Q26-Q28</f>
        <v>7200</v>
      </c>
      <c r="R29" s="135">
        <f t="shared" si="11"/>
        <v>7515.6548655210408</v>
      </c>
      <c r="S29" s="135">
        <f t="shared" si="10"/>
        <v>7428.3847981400468</v>
      </c>
      <c r="T29" s="270">
        <f>T26-T28</f>
        <v>8000</v>
      </c>
      <c r="U29" s="135">
        <f t="shared" si="9"/>
        <v>16000</v>
      </c>
      <c r="V29" s="135">
        <f t="shared" si="9"/>
        <v>32000</v>
      </c>
      <c r="W29" s="135">
        <f t="shared" si="9"/>
        <v>64000</v>
      </c>
      <c r="X29" s="135">
        <f t="shared" si="9"/>
        <v>128000</v>
      </c>
      <c r="Y29" s="135">
        <f t="shared" si="9"/>
        <v>256000</v>
      </c>
      <c r="Z29" s="135">
        <f t="shared" si="9"/>
        <v>512000</v>
      </c>
      <c r="AA29" s="135">
        <f t="shared" si="9"/>
        <v>1024000</v>
      </c>
      <c r="AB29" s="135">
        <f t="shared" si="9"/>
        <v>2048000</v>
      </c>
      <c r="AC29" s="135">
        <f t="shared" si="9"/>
        <v>4096000</v>
      </c>
      <c r="AD29" s="136">
        <f t="shared" si="9"/>
        <v>8192000</v>
      </c>
      <c r="AE29" s="235">
        <f t="shared" si="9"/>
        <v>16384000</v>
      </c>
      <c r="AF29" s="234">
        <f t="shared" si="9"/>
        <v>25634000</v>
      </c>
      <c r="AG29" s="244"/>
      <c r="AH29" s="37"/>
      <c r="AI29" s="37"/>
      <c r="AJ29" s="81"/>
    </row>
    <row r="30" spans="1:36" x14ac:dyDescent="0.25">
      <c r="A30" s="16" t="s">
        <v>275</v>
      </c>
      <c r="B30" s="21"/>
      <c r="C30" s="21"/>
      <c r="D30" s="21"/>
      <c r="E30" s="21"/>
      <c r="F30" s="21"/>
      <c r="G30" s="231">
        <f t="shared" ref="G30:AD30" si="12">G26/$B$14</f>
        <v>38.580246913580247</v>
      </c>
      <c r="H30" s="232">
        <f t="shared" si="12"/>
        <v>77.160493827160494</v>
      </c>
      <c r="I30" s="232">
        <f t="shared" si="12"/>
        <v>154.32098765432099</v>
      </c>
      <c r="J30" s="232">
        <f t="shared" si="12"/>
        <v>308.64197530864197</v>
      </c>
      <c r="K30" s="232">
        <f t="shared" si="12"/>
        <v>617.28395061728395</v>
      </c>
      <c r="L30" s="231">
        <f t="shared" si="12"/>
        <v>1234.5679012345679</v>
      </c>
      <c r="M30" s="232">
        <f t="shared" si="12"/>
        <v>2469.1358024691358</v>
      </c>
      <c r="N30" s="232">
        <f t="shared" si="12"/>
        <v>4938.2716049382716</v>
      </c>
      <c r="O30" s="231">
        <f t="shared" ref="O30:S30" si="13">O26/$B$14</f>
        <v>7407.4074074074069</v>
      </c>
      <c r="P30" s="232">
        <f t="shared" si="13"/>
        <v>8148.1481481481478</v>
      </c>
      <c r="Q30" s="232">
        <f t="shared" ref="Q30:R30" si="14">Q26/$B$14</f>
        <v>8888.8888888888887</v>
      </c>
      <c r="R30" s="232">
        <f t="shared" si="14"/>
        <v>9382.7160493827159</v>
      </c>
      <c r="S30" s="232">
        <f t="shared" si="13"/>
        <v>9629.6296296296296</v>
      </c>
      <c r="T30" s="231">
        <f t="shared" si="12"/>
        <v>9876.5432098765432</v>
      </c>
      <c r="U30" s="232">
        <f t="shared" si="12"/>
        <v>19753.086419753086</v>
      </c>
      <c r="V30" s="232">
        <f t="shared" si="12"/>
        <v>39506.172839506173</v>
      </c>
      <c r="W30" s="232">
        <f t="shared" si="12"/>
        <v>79012.345679012345</v>
      </c>
      <c r="X30" s="232">
        <f t="shared" si="12"/>
        <v>158024.69135802469</v>
      </c>
      <c r="Y30" s="232">
        <f t="shared" si="12"/>
        <v>316049.38271604938</v>
      </c>
      <c r="Z30" s="232">
        <f t="shared" si="12"/>
        <v>632098.76543209876</v>
      </c>
      <c r="AA30" s="232">
        <f t="shared" si="12"/>
        <v>1264197.5308641975</v>
      </c>
      <c r="AB30" s="232">
        <f t="shared" si="12"/>
        <v>2528395.0617283951</v>
      </c>
      <c r="AC30" s="232">
        <f t="shared" si="12"/>
        <v>5056790.1234567901</v>
      </c>
      <c r="AD30" s="240">
        <f t="shared" si="12"/>
        <v>10113580.24691358</v>
      </c>
      <c r="AE30" s="267">
        <f>AE26/$B$14</f>
        <v>20227160.49382716</v>
      </c>
      <c r="AF30" s="215">
        <f>AF26</f>
        <v>25634000</v>
      </c>
      <c r="AG30" s="243">
        <f>($B$13*$B$15)/$B$14</f>
        <v>6329382.7160493825</v>
      </c>
      <c r="AH30" s="37"/>
      <c r="AI30" s="37"/>
      <c r="AJ30" s="81"/>
    </row>
    <row r="31" spans="1:36" x14ac:dyDescent="0.25">
      <c r="A31" s="53" t="s">
        <v>212</v>
      </c>
      <c r="B31" s="28"/>
      <c r="C31" s="28"/>
      <c r="D31" s="28"/>
      <c r="E31" s="28"/>
      <c r="F31" s="28"/>
      <c r="G31" s="210">
        <f>G30/$B$13</f>
        <v>1.5050420111406822E-6</v>
      </c>
      <c r="H31" s="78">
        <f t="shared" ref="H31:AD31" si="15">H30/$B$13</f>
        <v>3.0100840222813645E-6</v>
      </c>
      <c r="I31" s="78">
        <f t="shared" si="15"/>
        <v>6.020168044562729E-6</v>
      </c>
      <c r="J31" s="48">
        <f t="shared" si="15"/>
        <v>1.2040336089125458E-5</v>
      </c>
      <c r="K31" s="48">
        <f t="shared" si="15"/>
        <v>2.4080672178250916E-5</v>
      </c>
      <c r="L31" s="101">
        <f t="shared" si="15"/>
        <v>4.8161344356501832E-5</v>
      </c>
      <c r="M31" s="48">
        <f t="shared" si="15"/>
        <v>9.6322688713003664E-5</v>
      </c>
      <c r="N31" s="26">
        <f t="shared" si="15"/>
        <v>1.9264537742600733E-4</v>
      </c>
      <c r="O31" s="18">
        <f t="shared" ref="O31:S31" si="16">O30/$B$13</f>
        <v>2.8896806613901095E-4</v>
      </c>
      <c r="P31" s="26">
        <f t="shared" si="16"/>
        <v>3.1786487275291205E-4</v>
      </c>
      <c r="Q31" s="26">
        <f t="shared" ref="Q31:R31" si="17">Q30/$B$13</f>
        <v>3.4676167936681314E-4</v>
      </c>
      <c r="R31" s="26">
        <f t="shared" si="17"/>
        <v>3.6602621710941392E-4</v>
      </c>
      <c r="S31" s="26">
        <f t="shared" si="16"/>
        <v>3.7565848598071429E-4</v>
      </c>
      <c r="T31" s="20">
        <f t="shared" si="15"/>
        <v>3.8529075485201465E-4</v>
      </c>
      <c r="U31" s="27">
        <f t="shared" si="15"/>
        <v>7.7058150970402931E-4</v>
      </c>
      <c r="V31" s="27">
        <f t="shared" si="15"/>
        <v>1.5411630194080586E-3</v>
      </c>
      <c r="W31" s="27">
        <f t="shared" si="15"/>
        <v>3.0823260388161172E-3</v>
      </c>
      <c r="X31" s="27">
        <f t="shared" si="15"/>
        <v>6.1646520776322345E-3</v>
      </c>
      <c r="Y31" s="87">
        <f t="shared" si="15"/>
        <v>1.2329304155264469E-2</v>
      </c>
      <c r="Z31" s="87">
        <f t="shared" si="15"/>
        <v>2.4658608310528938E-2</v>
      </c>
      <c r="AA31" s="87">
        <f t="shared" si="15"/>
        <v>4.9317216621057876E-2</v>
      </c>
      <c r="AB31" s="87">
        <f t="shared" si="15"/>
        <v>9.8634433242115752E-2</v>
      </c>
      <c r="AC31" s="87">
        <f t="shared" si="15"/>
        <v>0.1972688664842315</v>
      </c>
      <c r="AD31" s="269">
        <f t="shared" si="15"/>
        <v>0.39453773296846301</v>
      </c>
      <c r="AE31" s="266">
        <f>AE30/$B$13</f>
        <v>0.78907546593692601</v>
      </c>
      <c r="AF31" s="193">
        <v>1</v>
      </c>
      <c r="AG31" s="242">
        <f>AG30/B13</f>
        <v>0.24691358024691357</v>
      </c>
      <c r="AH31" s="37"/>
      <c r="AI31" s="37"/>
      <c r="AJ31" s="81"/>
    </row>
    <row r="32" spans="1:36" x14ac:dyDescent="0.25">
      <c r="A32" s="53" t="s">
        <v>273</v>
      </c>
      <c r="B32" s="28"/>
      <c r="C32" s="28"/>
      <c r="D32" s="28"/>
      <c r="E32" s="28"/>
      <c r="F32" s="28"/>
      <c r="G32" s="212">
        <f t="shared" ref="G32:AD32" si="18">G30-G26</f>
        <v>7.3302469135802468</v>
      </c>
      <c r="H32" s="213">
        <f t="shared" si="18"/>
        <v>14.660493827160494</v>
      </c>
      <c r="I32" s="213">
        <f t="shared" si="18"/>
        <v>29.320987654320987</v>
      </c>
      <c r="J32" s="213">
        <f t="shared" si="18"/>
        <v>58.641975308641975</v>
      </c>
      <c r="K32" s="213">
        <f t="shared" si="18"/>
        <v>117.28395061728395</v>
      </c>
      <c r="L32" s="212">
        <f t="shared" si="18"/>
        <v>234.5679012345679</v>
      </c>
      <c r="M32" s="213">
        <f t="shared" si="18"/>
        <v>469.1358024691358</v>
      </c>
      <c r="N32" s="213">
        <f t="shared" si="18"/>
        <v>938.27160493827159</v>
      </c>
      <c r="O32" s="212">
        <f t="shared" ref="O32:S32" si="19">O30-O26</f>
        <v>1407.4074074074069</v>
      </c>
      <c r="P32" s="213">
        <f t="shared" si="19"/>
        <v>1548.1481481481478</v>
      </c>
      <c r="Q32" s="213">
        <f t="shared" ref="Q32:R32" si="20">Q30-Q26</f>
        <v>1688.8888888888887</v>
      </c>
      <c r="R32" s="213">
        <f t="shared" si="20"/>
        <v>1782.7160493827159</v>
      </c>
      <c r="S32" s="213">
        <f t="shared" si="19"/>
        <v>1829.6296296296296</v>
      </c>
      <c r="T32" s="212">
        <f t="shared" si="18"/>
        <v>1876.5432098765432</v>
      </c>
      <c r="U32" s="213">
        <f t="shared" si="18"/>
        <v>3753.0864197530864</v>
      </c>
      <c r="V32" s="213">
        <f t="shared" si="18"/>
        <v>7506.1728395061727</v>
      </c>
      <c r="W32" s="213">
        <f t="shared" si="18"/>
        <v>15012.345679012345</v>
      </c>
      <c r="X32" s="213">
        <f>X30-X26</f>
        <v>30024.691358024691</v>
      </c>
      <c r="Y32" s="213">
        <f t="shared" si="18"/>
        <v>60049.382716049382</v>
      </c>
      <c r="Z32" s="213">
        <f t="shared" si="18"/>
        <v>120098.76543209876</v>
      </c>
      <c r="AA32" s="213">
        <f t="shared" si="18"/>
        <v>240197.53086419753</v>
      </c>
      <c r="AB32" s="213">
        <f t="shared" si="18"/>
        <v>480395.06172839506</v>
      </c>
      <c r="AC32" s="213">
        <f t="shared" si="18"/>
        <v>960790.12345679011</v>
      </c>
      <c r="AD32" s="214">
        <f t="shared" si="18"/>
        <v>1921580.2469135802</v>
      </c>
      <c r="AE32" s="267">
        <f>AE30</f>
        <v>20227160.49382716</v>
      </c>
      <c r="AF32" s="215">
        <f>AF30</f>
        <v>25634000</v>
      </c>
      <c r="AG32" s="245">
        <f>AG30-AG26</f>
        <v>1202582.7160493825</v>
      </c>
      <c r="AH32" s="37"/>
      <c r="AI32" s="37"/>
      <c r="AJ32" s="81"/>
    </row>
    <row r="33" spans="1:36" x14ac:dyDescent="0.25">
      <c r="A33" s="49" t="s">
        <v>274</v>
      </c>
      <c r="B33" s="51"/>
      <c r="C33" s="51"/>
      <c r="D33" s="51"/>
      <c r="E33" s="51"/>
      <c r="F33" s="51"/>
      <c r="G33" s="216">
        <f>MIN((1/$B$14)*(2^(((G25 - 14) - $B$22)/$G$51)),G32)</f>
        <v>7.3302469135802468</v>
      </c>
      <c r="H33" s="217">
        <f>MIN((1/$B$14)*(2^(((H25 - 14) - $B$22)/$G$51)),H32)</f>
        <v>14.660493827160494</v>
      </c>
      <c r="I33" s="217">
        <f t="shared" ref="I33:J33" si="21">MIN((1/$B$14)*(2^(((I25 - 14) - $B$22)/$G$51)),I32)</f>
        <v>23.10912050356831</v>
      </c>
      <c r="J33" s="217">
        <f t="shared" si="21"/>
        <v>33.72462167373638</v>
      </c>
      <c r="K33" s="219">
        <f t="shared" ref="K33:AF33" si="22">MIN(($G$26/$B$14)*(2^(((K25 - 14) - $G$25)/HLOOKUP((K25-14)-$B$22,$G$49:$AG$51,3,TRUE))),K32)</f>
        <v>46.606537277896066</v>
      </c>
      <c r="L33" s="220">
        <f t="shared" si="22"/>
        <v>86.576149149278706</v>
      </c>
      <c r="M33" s="219">
        <f t="shared" si="22"/>
        <v>135.61541339319115</v>
      </c>
      <c r="N33" s="219">
        <f t="shared" si="22"/>
        <v>343.00271328553481</v>
      </c>
      <c r="O33" s="220">
        <f t="shared" si="22"/>
        <v>1407.4074074074069</v>
      </c>
      <c r="P33" s="219">
        <f t="shared" si="22"/>
        <v>1548.1481481481478</v>
      </c>
      <c r="Q33" s="219">
        <f t="shared" si="22"/>
        <v>1688.8888888888887</v>
      </c>
      <c r="R33" s="219">
        <f t="shared" si="22"/>
        <v>1782.7160493827159</v>
      </c>
      <c r="S33" s="219">
        <f t="shared" si="22"/>
        <v>1829.6296296296296</v>
      </c>
      <c r="T33" s="220">
        <f t="shared" si="22"/>
        <v>1876.5432098765432</v>
      </c>
      <c r="U33" s="219">
        <f t="shared" si="22"/>
        <v>3753.0864197530864</v>
      </c>
      <c r="V33" s="219">
        <f t="shared" si="22"/>
        <v>7506.1728395061727</v>
      </c>
      <c r="W33" s="219">
        <f t="shared" si="22"/>
        <v>15012.345679012345</v>
      </c>
      <c r="X33" s="219">
        <f t="shared" si="22"/>
        <v>30024.691358024691</v>
      </c>
      <c r="Y33" s="219">
        <f t="shared" si="22"/>
        <v>60049.382716049382</v>
      </c>
      <c r="Z33" s="219">
        <f t="shared" si="22"/>
        <v>120098.76543209876</v>
      </c>
      <c r="AA33" s="219">
        <f t="shared" si="22"/>
        <v>240197.53086419753</v>
      </c>
      <c r="AB33" s="219">
        <f t="shared" si="22"/>
        <v>480395.06172839506</v>
      </c>
      <c r="AC33" s="219">
        <f t="shared" si="22"/>
        <v>960790.12345679011</v>
      </c>
      <c r="AD33" s="218">
        <f t="shared" si="22"/>
        <v>1921580.2469135802</v>
      </c>
      <c r="AE33" s="267">
        <f t="shared" si="22"/>
        <v>20227160.49382716</v>
      </c>
      <c r="AF33" s="221">
        <f t="shared" si="22"/>
        <v>25634000</v>
      </c>
      <c r="AG33" s="245"/>
      <c r="AH33" s="37"/>
      <c r="AI33" s="37"/>
      <c r="AJ33" s="81"/>
    </row>
    <row r="34" spans="1:36" x14ac:dyDescent="0.25">
      <c r="A34" s="53" t="s">
        <v>265</v>
      </c>
      <c r="B34" s="28"/>
      <c r="C34" s="28"/>
      <c r="D34" s="28"/>
      <c r="E34" s="28"/>
      <c r="F34" s="28"/>
      <c r="G34" s="236">
        <f t="shared" ref="G34:AF34" si="23">G26*$B$18</f>
        <v>28.75</v>
      </c>
      <c r="H34" s="237">
        <f t="shared" si="23"/>
        <v>57.5</v>
      </c>
      <c r="I34" s="237">
        <f t="shared" si="23"/>
        <v>115</v>
      </c>
      <c r="J34" s="237">
        <f t="shared" si="23"/>
        <v>230</v>
      </c>
      <c r="K34" s="237">
        <f t="shared" si="23"/>
        <v>460</v>
      </c>
      <c r="L34" s="236">
        <f t="shared" si="23"/>
        <v>920</v>
      </c>
      <c r="M34" s="237">
        <f t="shared" si="23"/>
        <v>1840</v>
      </c>
      <c r="N34" s="237">
        <f t="shared" si="23"/>
        <v>3680</v>
      </c>
      <c r="O34" s="236">
        <f t="shared" ref="O34:S34" si="24">O26*$B$18</f>
        <v>5520</v>
      </c>
      <c r="P34" s="237">
        <f t="shared" si="24"/>
        <v>6072</v>
      </c>
      <c r="Q34" s="237">
        <f t="shared" ref="Q34:R34" si="25">Q26*$B$18</f>
        <v>6624</v>
      </c>
      <c r="R34" s="237">
        <f t="shared" si="25"/>
        <v>6992</v>
      </c>
      <c r="S34" s="237">
        <f t="shared" si="24"/>
        <v>7176</v>
      </c>
      <c r="T34" s="236">
        <f t="shared" si="23"/>
        <v>7360</v>
      </c>
      <c r="U34" s="237">
        <f t="shared" si="23"/>
        <v>14720</v>
      </c>
      <c r="V34" s="237">
        <f t="shared" si="23"/>
        <v>29440</v>
      </c>
      <c r="W34" s="237">
        <f t="shared" si="23"/>
        <v>58880</v>
      </c>
      <c r="X34" s="237">
        <f t="shared" si="23"/>
        <v>117760</v>
      </c>
      <c r="Y34" s="237">
        <f t="shared" si="23"/>
        <v>235520</v>
      </c>
      <c r="Z34" s="237">
        <f t="shared" si="23"/>
        <v>471040</v>
      </c>
      <c r="AA34" s="237">
        <f t="shared" si="23"/>
        <v>942080</v>
      </c>
      <c r="AB34" s="237">
        <f t="shared" si="23"/>
        <v>1884160</v>
      </c>
      <c r="AC34" s="237">
        <f t="shared" si="23"/>
        <v>3768320</v>
      </c>
      <c r="AD34" s="271">
        <f t="shared" si="23"/>
        <v>7536640</v>
      </c>
      <c r="AE34" s="265">
        <f t="shared" si="23"/>
        <v>15073280</v>
      </c>
      <c r="AF34" s="215">
        <f t="shared" si="23"/>
        <v>23583280</v>
      </c>
      <c r="AG34" s="245">
        <f>AG26*B18</f>
        <v>4716656</v>
      </c>
      <c r="AH34" s="37"/>
      <c r="AI34" s="37"/>
      <c r="AJ34" s="81"/>
    </row>
    <row r="35" spans="1:36" x14ac:dyDescent="0.25">
      <c r="A35" s="53" t="s">
        <v>284</v>
      </c>
      <c r="B35" s="28"/>
      <c r="C35" s="28"/>
      <c r="D35" s="28"/>
      <c r="E35" s="28"/>
      <c r="F35" s="28"/>
      <c r="G35" s="216">
        <f>G34-(1*$B$18)*(2^(((G25 - 14) - $B$22)/$G$51))</f>
        <v>20.664089590657923</v>
      </c>
      <c r="H35" s="217">
        <f>H34-(1*$B$18)*(2^(((H25 - 14) - $B$22)/$G$51))</f>
        <v>45.699712342982444</v>
      </c>
      <c r="I35" s="217">
        <f>I34-(1*$B$18)*(2^(((I25 - 14) - $B$22)/$G$51))</f>
        <v>97.779083400740888</v>
      </c>
      <c r="J35" s="217">
        <f>J34-(1*$B$18)*(2^(((J25 - 14) - $B$22)/$G$51))</f>
        <v>204.86841192873166</v>
      </c>
      <c r="K35" s="223">
        <f t="shared" ref="K35:AF35" si="26">MAX(K34-(($G$26*$B$18)*(2^(((K25 -14) - $G$25)/HLOOKUP((K25-14)-$B$22,$G$49:$AG$51,3,TRUE)))),0)</f>
        <v>425.26880842051185</v>
      </c>
      <c r="L35" s="224">
        <f t="shared" si="26"/>
        <v>855.48345365395755</v>
      </c>
      <c r="M35" s="223">
        <f t="shared" si="26"/>
        <v>1738.939393939394</v>
      </c>
      <c r="N35" s="223">
        <f t="shared" si="26"/>
        <v>3424.3943780596196</v>
      </c>
      <c r="O35" s="224">
        <f t="shared" si="26"/>
        <v>2899.6910318613886</v>
      </c>
      <c r="P35" s="223">
        <f t="shared" si="26"/>
        <v>0</v>
      </c>
      <c r="Q35" s="223">
        <f t="shared" si="26"/>
        <v>0</v>
      </c>
      <c r="R35" s="223">
        <f t="shared" si="26"/>
        <v>0</v>
      </c>
      <c r="S35" s="223">
        <f t="shared" si="26"/>
        <v>0</v>
      </c>
      <c r="T35" s="224">
        <f t="shared" si="26"/>
        <v>0</v>
      </c>
      <c r="U35" s="223">
        <f t="shared" si="26"/>
        <v>0</v>
      </c>
      <c r="V35" s="223">
        <f t="shared" si="26"/>
        <v>0</v>
      </c>
      <c r="W35" s="223">
        <f t="shared" si="26"/>
        <v>0</v>
      </c>
      <c r="X35" s="223">
        <f t="shared" si="26"/>
        <v>0</v>
      </c>
      <c r="Y35" s="223">
        <f t="shared" si="26"/>
        <v>0</v>
      </c>
      <c r="Z35" s="223">
        <f t="shared" si="26"/>
        <v>0</v>
      </c>
      <c r="AA35" s="223">
        <f t="shared" si="26"/>
        <v>0</v>
      </c>
      <c r="AB35" s="223">
        <f t="shared" si="26"/>
        <v>0</v>
      </c>
      <c r="AC35" s="223">
        <f t="shared" si="26"/>
        <v>0</v>
      </c>
      <c r="AD35" s="238">
        <f t="shared" si="26"/>
        <v>0</v>
      </c>
      <c r="AE35" s="268">
        <f t="shared" si="26"/>
        <v>0</v>
      </c>
      <c r="AF35" s="221">
        <f t="shared" si="26"/>
        <v>0</v>
      </c>
      <c r="AG35" s="243"/>
      <c r="AH35" s="37"/>
      <c r="AI35" s="37"/>
      <c r="AJ35" s="81"/>
    </row>
    <row r="36" spans="1:36" x14ac:dyDescent="0.25">
      <c r="A36" s="74" t="s">
        <v>210</v>
      </c>
      <c r="B36" s="21"/>
      <c r="C36" s="21"/>
      <c r="D36" s="21"/>
      <c r="E36" s="21"/>
      <c r="F36" s="21"/>
      <c r="G36" s="272">
        <f>(1*($B$19+$B$20))*(2^(((G25 - 7) - $B$22)/$G$51))</f>
        <v>1.3624403770173663</v>
      </c>
      <c r="H36" s="273">
        <f>(1*($B$19+$B$20))*(2^(((H25 - 7) - $B$22)/$G$51))</f>
        <v>1.9882966234408881</v>
      </c>
      <c r="I36" s="232">
        <f t="shared" ref="I36:AE36" si="27">($G$26*($B$19+$B$20))*(2^(((I25-7)-$G$25)/HLOOKUP((I25-7)-$B$22,$G$49:$AG$51,3,TRUE)))</f>
        <v>2.7477734693782825</v>
      </c>
      <c r="J36" s="232">
        <f t="shared" si="27"/>
        <v>5.6101344648732603</v>
      </c>
      <c r="K36" s="232">
        <f t="shared" si="27"/>
        <v>10.283171151388096</v>
      </c>
      <c r="L36" s="231">
        <f t="shared" si="27"/>
        <v>18.787878787878775</v>
      </c>
      <c r="M36" s="232">
        <f t="shared" si="27"/>
        <v>31.107290494170176</v>
      </c>
      <c r="N36" s="232">
        <f t="shared" si="27"/>
        <v>97.540056745390302</v>
      </c>
      <c r="O36" s="231">
        <f t="shared" si="27"/>
        <v>574.77618799654329</v>
      </c>
      <c r="P36" s="232">
        <f t="shared" si="27"/>
        <v>859.05698537255921</v>
      </c>
      <c r="Q36" s="232">
        <f t="shared" si="27"/>
        <v>11213.752420187644</v>
      </c>
      <c r="R36" s="292">
        <f t="shared" si="27"/>
        <v>2181.5348648467257</v>
      </c>
      <c r="S36" s="292">
        <f t="shared" si="27"/>
        <v>941.98943379503021</v>
      </c>
      <c r="T36" s="293">
        <f t="shared" si="27"/>
        <v>713.45778394840875</v>
      </c>
      <c r="U36" s="232">
        <f t="shared" si="27"/>
        <v>39458.200449707045</v>
      </c>
      <c r="V36" s="232">
        <f t="shared" si="27"/>
        <v>16297.747279793073</v>
      </c>
      <c r="W36" s="232">
        <f t="shared" si="27"/>
        <v>17851.056692125047</v>
      </c>
      <c r="X36" s="232">
        <f t="shared" si="27"/>
        <v>25983.5391547082</v>
      </c>
      <c r="Y36" s="232">
        <f t="shared" si="27"/>
        <v>42702.692559550225</v>
      </c>
      <c r="Z36" s="232">
        <f t="shared" si="27"/>
        <v>74742.253629535087</v>
      </c>
      <c r="AA36" s="232">
        <f t="shared" si="27"/>
        <v>135733.92193164912</v>
      </c>
      <c r="AB36" s="232">
        <f t="shared" si="27"/>
        <v>252341.59549039422</v>
      </c>
      <c r="AC36" s="232">
        <f t="shared" si="27"/>
        <v>476607.68337329559</v>
      </c>
      <c r="AD36" s="240">
        <f t="shared" si="27"/>
        <v>910313.00697220734</v>
      </c>
      <c r="AE36" s="265">
        <f t="shared" si="27"/>
        <v>1752995.8163201262</v>
      </c>
      <c r="AF36" s="222">
        <f>($G$26*($B$19+$B$20))*(2^(((AF25 - 7) - $G$25)/AF51))</f>
        <v>1824532.9113552801</v>
      </c>
      <c r="AG36" s="243">
        <f>AG26*(B19+B20)</f>
        <v>410144</v>
      </c>
      <c r="AH36" s="57"/>
      <c r="AI36" s="57"/>
      <c r="AJ36" s="81"/>
    </row>
    <row r="37" spans="1:36" x14ac:dyDescent="0.25">
      <c r="A37" s="49" t="s">
        <v>263</v>
      </c>
      <c r="B37" s="50"/>
      <c r="C37" s="51"/>
      <c r="D37" s="51"/>
      <c r="E37" s="51"/>
      <c r="F37" s="51"/>
      <c r="G37" s="216">
        <f t="shared" ref="G37:J37" si="28">G36</f>
        <v>1.3624403770173663</v>
      </c>
      <c r="H37" s="217">
        <f t="shared" si="28"/>
        <v>1.9882966234408881</v>
      </c>
      <c r="I37" s="219">
        <f t="shared" si="28"/>
        <v>2.7477734693782825</v>
      </c>
      <c r="J37" s="219">
        <f t="shared" si="28"/>
        <v>5.6101344648732603</v>
      </c>
      <c r="K37" s="219">
        <f>K36-K39</f>
        <v>9.1506322955352211</v>
      </c>
      <c r="L37" s="220">
        <f t="shared" ref="L37:M37" si="29">L36-L39</f>
        <v>16.684078363551301</v>
      </c>
      <c r="M37" s="219">
        <f t="shared" si="29"/>
        <v>27.811835948715633</v>
      </c>
      <c r="N37" s="219">
        <f>N36-N39</f>
        <v>89.205090812551802</v>
      </c>
      <c r="O37" s="220">
        <f t="shared" ref="O37:S37" si="30">O36-O39</f>
        <v>489.33133033984944</v>
      </c>
      <c r="P37" s="219">
        <f t="shared" si="30"/>
        <v>376.35533838085632</v>
      </c>
      <c r="Q37" s="219">
        <f t="shared" ref="Q37:R37" si="31">Q36-Q39</f>
        <v>9246.1323596687616</v>
      </c>
      <c r="R37" s="219">
        <f t="shared" si="31"/>
        <v>1657.879999325685</v>
      </c>
      <c r="S37" s="219">
        <f t="shared" si="30"/>
        <v>689.60463565498367</v>
      </c>
      <c r="T37" s="220">
        <f t="shared" ref="T37:AF37" si="32">MAX(T36-($G$26*$B$19)*(2^(((T25 - 42) - $G$25)/HLOOKUP((T25-42)-$B$22,$G$49:$AG$51,3,TRUE)))-T39,0)</f>
        <v>0</v>
      </c>
      <c r="U37" s="219">
        <f t="shared" si="32"/>
        <v>26809.768695834013</v>
      </c>
      <c r="V37" s="219">
        <f t="shared" si="32"/>
        <v>9861.2522323300564</v>
      </c>
      <c r="W37" s="219">
        <f t="shared" si="32"/>
        <v>10116.989835975111</v>
      </c>
      <c r="X37" s="219">
        <f t="shared" si="32"/>
        <v>14124.228835357189</v>
      </c>
      <c r="Y37" s="219">
        <f t="shared" si="32"/>
        <v>22552.002900960761</v>
      </c>
      <c r="Z37" s="219">
        <f t="shared" si="32"/>
        <v>38646.847571134436</v>
      </c>
      <c r="AA37" s="219">
        <f t="shared" si="32"/>
        <v>69059.548535159891</v>
      </c>
      <c r="AB37" s="219">
        <f t="shared" si="32"/>
        <v>126763.55066033515</v>
      </c>
      <c r="AC37" s="219">
        <f t="shared" si="32"/>
        <v>236970.71705533084</v>
      </c>
      <c r="AD37" s="218">
        <f t="shared" si="32"/>
        <v>448780.01884909661</v>
      </c>
      <c r="AE37" s="268">
        <f t="shared" si="32"/>
        <v>858075.94553999463</v>
      </c>
      <c r="AF37" s="221">
        <f t="shared" si="32"/>
        <v>80417.106373888673</v>
      </c>
      <c r="AG37" s="245"/>
      <c r="AH37" s="57"/>
      <c r="AI37" s="57"/>
      <c r="AJ37" s="81"/>
    </row>
    <row r="38" spans="1:36" x14ac:dyDescent="0.25">
      <c r="A38" s="60" t="s">
        <v>211</v>
      </c>
      <c r="C38" s="21"/>
      <c r="D38" s="21"/>
      <c r="E38" s="21"/>
      <c r="F38" s="21"/>
      <c r="G38" s="272">
        <f>(1*$B$20)*(2^(((G25 - 14) -$B$22)/$G$51))</f>
        <v>0.26367099160898083</v>
      </c>
      <c r="H38" s="273">
        <f>(1*$B$20)*(2^(((H25 - 14) -$B$22)/$G$51))</f>
        <v>0.38479198881578991</v>
      </c>
      <c r="I38" s="273">
        <f>(1*$B$20)*(2^(((I25 - 14) -$B$22)/$G$51))</f>
        <v>0.5615516282367099</v>
      </c>
      <c r="J38" s="273">
        <f>(1*$B$20)*(2^(((J25 - 14) -$B$22)/$G$51))</f>
        <v>0.81950830667179397</v>
      </c>
      <c r="K38" s="240">
        <f t="shared" ref="K38:AF38" si="33">($G$26*$B$20)*(2^(((K25 - 14) - $G$25)/HLOOKUP((K25-14)-$B$22,$G$49:$AG$51,3,TRUE)))</f>
        <v>1.1325388558528744</v>
      </c>
      <c r="L38" s="232">
        <f t="shared" si="33"/>
        <v>2.1038004243274724</v>
      </c>
      <c r="M38" s="232">
        <f t="shared" si="33"/>
        <v>3.295454545454545</v>
      </c>
      <c r="N38" s="232">
        <f t="shared" si="33"/>
        <v>8.3349659328384966</v>
      </c>
      <c r="O38" s="231">
        <f t="shared" si="33"/>
        <v>85.444857656693841</v>
      </c>
      <c r="P38" s="232">
        <f t="shared" si="33"/>
        <v>482.70164699170289</v>
      </c>
      <c r="Q38" s="232">
        <f t="shared" si="33"/>
        <v>1967.6200605188817</v>
      </c>
      <c r="R38" s="292">
        <f t="shared" si="33"/>
        <v>523.65486552104062</v>
      </c>
      <c r="S38" s="292">
        <f t="shared" si="33"/>
        <v>252.3847981400466</v>
      </c>
      <c r="T38" s="293">
        <f t="shared" si="33"/>
        <v>438.47366093377912</v>
      </c>
      <c r="U38" s="232">
        <f t="shared" si="33"/>
        <v>11288.052457630698</v>
      </c>
      <c r="V38" s="232">
        <f t="shared" si="33"/>
        <v>5164.2831284756667</v>
      </c>
      <c r="W38" s="232">
        <f t="shared" si="33"/>
        <v>5881.5941913484785</v>
      </c>
      <c r="X38" s="232">
        <f t="shared" si="33"/>
        <v>8739.2385205338833</v>
      </c>
      <c r="Y38" s="232">
        <f t="shared" si="33"/>
        <v>14546.466256404297</v>
      </c>
      <c r="Z38" s="232">
        <f t="shared" si="33"/>
        <v>25681.621813447426</v>
      </c>
      <c r="AA38" s="232">
        <f t="shared" si="33"/>
        <v>46931.118092676472</v>
      </c>
      <c r="AB38" s="232">
        <f t="shared" si="33"/>
        <v>87663.315624486786</v>
      </c>
      <c r="AC38" s="232">
        <f t="shared" si="33"/>
        <v>166188.60450355953</v>
      </c>
      <c r="AD38" s="240">
        <f t="shared" si="33"/>
        <v>318366.42801534396</v>
      </c>
      <c r="AE38" s="265">
        <f t="shared" si="33"/>
        <v>614586.39622547769</v>
      </c>
      <c r="AF38" s="222">
        <f t="shared" si="33"/>
        <v>1193306.0317347823</v>
      </c>
      <c r="AG38" s="243">
        <f>AG26*B20</f>
        <v>153804</v>
      </c>
      <c r="AH38" s="57"/>
      <c r="AI38" s="57"/>
      <c r="AJ38" s="81"/>
    </row>
    <row r="39" spans="1:36" x14ac:dyDescent="0.25">
      <c r="A39" s="53" t="s">
        <v>264</v>
      </c>
      <c r="B39" s="27"/>
      <c r="C39" s="28"/>
      <c r="D39" s="28"/>
      <c r="E39" s="28"/>
      <c r="F39" s="28"/>
      <c r="G39" s="216">
        <f t="shared" ref="G39:J39" si="34">G38</f>
        <v>0.26367099160898083</v>
      </c>
      <c r="H39" s="217">
        <f t="shared" si="34"/>
        <v>0.38479198881578991</v>
      </c>
      <c r="I39" s="217">
        <f t="shared" si="34"/>
        <v>0.5615516282367099</v>
      </c>
      <c r="J39" s="217">
        <f t="shared" si="34"/>
        <v>0.81950830667179397</v>
      </c>
      <c r="K39" s="218">
        <f>K38</f>
        <v>1.1325388558528744</v>
      </c>
      <c r="L39" s="219">
        <f t="shared" ref="L39:N39" si="35">L38</f>
        <v>2.1038004243274724</v>
      </c>
      <c r="M39" s="219">
        <f t="shared" si="35"/>
        <v>3.295454545454545</v>
      </c>
      <c r="N39" s="219">
        <f t="shared" si="35"/>
        <v>8.3349659328384966</v>
      </c>
      <c r="O39" s="220">
        <f t="shared" ref="O39:S39" si="36">O38</f>
        <v>85.444857656693841</v>
      </c>
      <c r="P39" s="219">
        <f t="shared" si="36"/>
        <v>482.70164699170289</v>
      </c>
      <c r="Q39" s="219">
        <f t="shared" ref="Q39:R39" si="37">Q38</f>
        <v>1967.6200605188817</v>
      </c>
      <c r="R39" s="219">
        <f t="shared" si="37"/>
        <v>523.65486552104062</v>
      </c>
      <c r="S39" s="219">
        <f t="shared" si="36"/>
        <v>252.3847981400466</v>
      </c>
      <c r="T39" s="224">
        <f t="shared" ref="T39:AF39" si="38">MAX(T38-($G$26*$B$20)*(2^(((T25 - 35) - $G$25)/HLOOKUP((T25-35)-$B$22,$G$49:$AG$51,3,TRUE))),0)</f>
        <v>0</v>
      </c>
      <c r="U39" s="223">
        <f t="shared" si="38"/>
        <v>6276.5211401101242</v>
      </c>
      <c r="V39" s="223">
        <f t="shared" si="38"/>
        <v>2048.5257224423499</v>
      </c>
      <c r="W39" s="223">
        <f t="shared" si="38"/>
        <v>1892.3131326933162</v>
      </c>
      <c r="X39" s="223">
        <f t="shared" si="38"/>
        <v>2433.9399991381315</v>
      </c>
      <c r="Y39" s="223">
        <f t="shared" si="38"/>
        <v>3642.8531487919372</v>
      </c>
      <c r="Z39" s="223">
        <f t="shared" si="38"/>
        <v>5925.6946536035503</v>
      </c>
      <c r="AA39" s="223">
        <f t="shared" si="38"/>
        <v>10144.945238413246</v>
      </c>
      <c r="AB39" s="223">
        <f t="shared" si="38"/>
        <v>17966.773262175047</v>
      </c>
      <c r="AC39" s="223">
        <f t="shared" si="38"/>
        <v>32581.964270243683</v>
      </c>
      <c r="AD39" s="238">
        <f t="shared" si="38"/>
        <v>60114.833612486487</v>
      </c>
      <c r="AE39" s="268">
        <f t="shared" si="38"/>
        <v>112364.86258721427</v>
      </c>
      <c r="AF39" s="221">
        <f t="shared" si="38"/>
        <v>212149.46819079644</v>
      </c>
      <c r="AG39" s="243"/>
      <c r="AH39" s="57"/>
      <c r="AI39" s="57"/>
      <c r="AJ39" s="81"/>
    </row>
    <row r="40" spans="1:36" x14ac:dyDescent="0.25">
      <c r="A40" s="16" t="s">
        <v>153</v>
      </c>
      <c r="B40" s="97"/>
      <c r="C40" s="21"/>
      <c r="D40" s="21"/>
      <c r="E40" s="21"/>
      <c r="F40" s="21"/>
      <c r="G40" s="225">
        <f t="shared" ref="G40:AF40" si="39">G26*$B$21</f>
        <v>0.4375</v>
      </c>
      <c r="H40" s="226">
        <f t="shared" si="39"/>
        <v>0.875</v>
      </c>
      <c r="I40" s="226">
        <f t="shared" si="39"/>
        <v>1.75</v>
      </c>
      <c r="J40" s="226">
        <f t="shared" si="39"/>
        <v>3.5</v>
      </c>
      <c r="K40" s="226">
        <f t="shared" si="39"/>
        <v>7</v>
      </c>
      <c r="L40" s="225">
        <f t="shared" si="39"/>
        <v>14</v>
      </c>
      <c r="M40" s="226">
        <f t="shared" si="39"/>
        <v>28</v>
      </c>
      <c r="N40" s="226">
        <f t="shared" si="39"/>
        <v>56</v>
      </c>
      <c r="O40" s="225">
        <f t="shared" ref="O40:S40" si="40">O26*$B$21</f>
        <v>84</v>
      </c>
      <c r="P40" s="226">
        <f t="shared" si="40"/>
        <v>92.4</v>
      </c>
      <c r="Q40" s="226">
        <f t="shared" ref="Q40:R40" si="41">Q26*$B$21</f>
        <v>100.8</v>
      </c>
      <c r="R40" s="226">
        <f t="shared" si="41"/>
        <v>106.4</v>
      </c>
      <c r="S40" s="226">
        <f t="shared" si="40"/>
        <v>109.2</v>
      </c>
      <c r="T40" s="225">
        <f t="shared" si="39"/>
        <v>112</v>
      </c>
      <c r="U40" s="226">
        <f t="shared" si="39"/>
        <v>224</v>
      </c>
      <c r="V40" s="226">
        <f t="shared" si="39"/>
        <v>448</v>
      </c>
      <c r="W40" s="226">
        <f t="shared" si="39"/>
        <v>896</v>
      </c>
      <c r="X40" s="226">
        <f t="shared" si="39"/>
        <v>1792</v>
      </c>
      <c r="Y40" s="226">
        <f t="shared" si="39"/>
        <v>3584</v>
      </c>
      <c r="Z40" s="226">
        <f t="shared" si="39"/>
        <v>7168</v>
      </c>
      <c r="AA40" s="226">
        <f t="shared" si="39"/>
        <v>14336</v>
      </c>
      <c r="AB40" s="226">
        <f t="shared" si="39"/>
        <v>28672</v>
      </c>
      <c r="AC40" s="226">
        <f t="shared" si="39"/>
        <v>57344</v>
      </c>
      <c r="AD40" s="227">
        <f t="shared" si="39"/>
        <v>114688</v>
      </c>
      <c r="AE40" s="267">
        <f t="shared" si="39"/>
        <v>229376</v>
      </c>
      <c r="AF40" s="222">
        <f t="shared" si="39"/>
        <v>358876</v>
      </c>
      <c r="AG40" s="243">
        <f>AG26*B21</f>
        <v>71775.199999999997</v>
      </c>
      <c r="AH40" s="57"/>
      <c r="AI40" s="57"/>
      <c r="AJ40" s="81"/>
    </row>
    <row r="41" spans="1:36" x14ac:dyDescent="0.25">
      <c r="A41" s="49" t="s">
        <v>152</v>
      </c>
      <c r="B41" s="50"/>
      <c r="C41" s="51"/>
      <c r="D41" s="51"/>
      <c r="E41" s="51"/>
      <c r="F41" s="51"/>
      <c r="G41" s="216"/>
      <c r="H41" s="217"/>
      <c r="I41" s="217"/>
      <c r="J41" s="217"/>
      <c r="K41" s="217"/>
      <c r="L41" s="216"/>
      <c r="M41" s="217"/>
      <c r="N41" s="229">
        <f>($G$26*$B$21)*(2^(((N25-35)-$G$25)/$G$51))</f>
        <v>0.2054237812312126</v>
      </c>
      <c r="O41" s="230">
        <f t="shared" ref="O41:S41" si="42">($G$26*$B$21)*(2^(((O25-35)-$G$25)/$G$51))</f>
        <v>0.54629121045943951</v>
      </c>
      <c r="P41" s="229">
        <f t="shared" si="42"/>
        <v>1.6195514970756304</v>
      </c>
      <c r="Q41" s="229">
        <f t="shared" ref="Q41:R41" si="43">($G$26*$B$21)*(2^(((Q25-35)-$G$25)/$G$51))</f>
        <v>47.043915736871853</v>
      </c>
      <c r="R41" s="229">
        <f t="shared" si="43"/>
        <v>711.91777364932</v>
      </c>
      <c r="S41" s="229">
        <f t="shared" si="42"/>
        <v>3634.0061582451863</v>
      </c>
      <c r="T41" s="230">
        <f t="shared" ref="T41:AF41" si="44">($G$26*$B$21)*(2^(((T25-35)-$G$25)/HLOOKUP((T25-35)-$B$22,$G$49:$AG$51,3,TRUE)))</f>
        <v>400.45982335520046</v>
      </c>
      <c r="U41" s="229">
        <f t="shared" si="44"/>
        <v>2338.7146148429342</v>
      </c>
      <c r="V41" s="229">
        <f t="shared" si="44"/>
        <v>1454.0201228155479</v>
      </c>
      <c r="W41" s="229">
        <f t="shared" si="44"/>
        <v>1861.6644940390759</v>
      </c>
      <c r="X41" s="229">
        <f t="shared" si="44"/>
        <v>2942.4726433180176</v>
      </c>
      <c r="Y41" s="229">
        <f t="shared" si="44"/>
        <v>5088.3527835524346</v>
      </c>
      <c r="Z41" s="229">
        <f t="shared" si="44"/>
        <v>9219.4326745938088</v>
      </c>
      <c r="AA41" s="229">
        <f t="shared" si="44"/>
        <v>17166.880665322838</v>
      </c>
      <c r="AB41" s="229">
        <f t="shared" si="44"/>
        <v>32525.053102412145</v>
      </c>
      <c r="AC41" s="229">
        <f t="shared" si="44"/>
        <v>62349.765442214062</v>
      </c>
      <c r="AD41" s="228">
        <f t="shared" si="44"/>
        <v>120517.41072133348</v>
      </c>
      <c r="AE41" s="268">
        <f t="shared" si="44"/>
        <v>234370.04903118958</v>
      </c>
      <c r="AF41" s="221">
        <f t="shared" si="44"/>
        <v>457873.06298719335</v>
      </c>
      <c r="AG41" s="246">
        <f>($G$26*$B$21)*(2^(((AG25 - 35) - $G$25)/AG51))</f>
        <v>251555.45452232275</v>
      </c>
      <c r="AH41" s="57"/>
      <c r="AI41" s="57"/>
      <c r="AJ41" s="81"/>
    </row>
    <row r="42" spans="1:36" s="81" customFormat="1" hidden="1" x14ac:dyDescent="0.25">
      <c r="A42" s="60" t="s">
        <v>205</v>
      </c>
      <c r="B42" s="37"/>
      <c r="C42" s="59"/>
      <c r="D42" s="59"/>
      <c r="E42" s="59"/>
      <c r="F42" s="59"/>
      <c r="G42" s="164">
        <f t="shared" ref="G42:AF42" si="45">G25-7</f>
        <v>43885</v>
      </c>
      <c r="H42" s="164">
        <f t="shared" si="45"/>
        <v>43889</v>
      </c>
      <c r="I42" s="164">
        <f t="shared" si="45"/>
        <v>43893</v>
      </c>
      <c r="J42" s="164">
        <f t="shared" si="45"/>
        <v>43897</v>
      </c>
      <c r="K42" s="164">
        <f t="shared" si="45"/>
        <v>43901</v>
      </c>
      <c r="L42" s="164">
        <f t="shared" si="45"/>
        <v>43904</v>
      </c>
      <c r="M42" s="164">
        <f t="shared" si="45"/>
        <v>43907</v>
      </c>
      <c r="N42" s="164">
        <f t="shared" si="45"/>
        <v>43912</v>
      </c>
      <c r="O42" s="164"/>
      <c r="P42" s="164"/>
      <c r="Q42" s="164"/>
      <c r="R42" s="164"/>
      <c r="S42" s="164"/>
      <c r="T42" s="164">
        <f t="shared" si="45"/>
        <v>44027</v>
      </c>
      <c r="U42" s="164">
        <f t="shared" si="45"/>
        <v>44142</v>
      </c>
      <c r="V42" s="164">
        <f t="shared" si="45"/>
        <v>44257</v>
      </c>
      <c r="W42" s="164">
        <f t="shared" si="45"/>
        <v>44372</v>
      </c>
      <c r="X42" s="164">
        <f t="shared" si="45"/>
        <v>44487</v>
      </c>
      <c r="Y42" s="164">
        <f t="shared" si="45"/>
        <v>44602</v>
      </c>
      <c r="Z42" s="164">
        <f t="shared" si="45"/>
        <v>44717</v>
      </c>
      <c r="AA42" s="164">
        <f t="shared" si="45"/>
        <v>44832</v>
      </c>
      <c r="AB42" s="164">
        <f t="shared" si="45"/>
        <v>44947</v>
      </c>
      <c r="AC42" s="164">
        <f t="shared" si="45"/>
        <v>45062</v>
      </c>
      <c r="AD42" s="164">
        <f t="shared" si="45"/>
        <v>45177</v>
      </c>
      <c r="AE42" s="164">
        <f t="shared" si="45"/>
        <v>45292</v>
      </c>
      <c r="AF42" s="164">
        <f t="shared" si="45"/>
        <v>45407</v>
      </c>
      <c r="AG42" s="164"/>
      <c r="AH42" s="57"/>
      <c r="AI42" s="57"/>
    </row>
    <row r="43" spans="1:36" s="81" customFormat="1" hidden="1" x14ac:dyDescent="0.25">
      <c r="A43" s="60" t="s">
        <v>203</v>
      </c>
      <c r="B43" s="37"/>
      <c r="C43" s="59"/>
      <c r="D43" s="59"/>
      <c r="E43" s="59"/>
      <c r="F43" s="59"/>
      <c r="G43" s="164">
        <f t="shared" ref="G43:AF43" si="46">G25-14</f>
        <v>43878</v>
      </c>
      <c r="H43" s="164">
        <f t="shared" si="46"/>
        <v>43882</v>
      </c>
      <c r="I43" s="164">
        <f t="shared" si="46"/>
        <v>43886</v>
      </c>
      <c r="J43" s="164">
        <f t="shared" si="46"/>
        <v>43890</v>
      </c>
      <c r="K43" s="164">
        <f t="shared" si="46"/>
        <v>43894</v>
      </c>
      <c r="L43" s="164">
        <f t="shared" si="46"/>
        <v>43897</v>
      </c>
      <c r="M43" s="164">
        <f t="shared" si="46"/>
        <v>43900</v>
      </c>
      <c r="N43" s="164">
        <f t="shared" si="46"/>
        <v>43905</v>
      </c>
      <c r="O43" s="164"/>
      <c r="P43" s="164"/>
      <c r="Q43" s="164"/>
      <c r="R43" s="164"/>
      <c r="S43" s="164"/>
      <c r="T43" s="164">
        <f t="shared" si="46"/>
        <v>44020</v>
      </c>
      <c r="U43" s="164">
        <f t="shared" si="46"/>
        <v>44135</v>
      </c>
      <c r="V43" s="164">
        <f t="shared" si="46"/>
        <v>44250</v>
      </c>
      <c r="W43" s="164">
        <f t="shared" si="46"/>
        <v>44365</v>
      </c>
      <c r="X43" s="164">
        <f t="shared" si="46"/>
        <v>44480</v>
      </c>
      <c r="Y43" s="164">
        <f t="shared" si="46"/>
        <v>44595</v>
      </c>
      <c r="Z43" s="164">
        <f t="shared" si="46"/>
        <v>44710</v>
      </c>
      <c r="AA43" s="164">
        <f t="shared" si="46"/>
        <v>44825</v>
      </c>
      <c r="AB43" s="164">
        <f t="shared" si="46"/>
        <v>44940</v>
      </c>
      <c r="AC43" s="164">
        <f t="shared" si="46"/>
        <v>45055</v>
      </c>
      <c r="AD43" s="164">
        <f t="shared" si="46"/>
        <v>45170</v>
      </c>
      <c r="AE43" s="164">
        <f t="shared" si="46"/>
        <v>45285</v>
      </c>
      <c r="AF43" s="164">
        <f t="shared" si="46"/>
        <v>45400</v>
      </c>
      <c r="AG43" s="164"/>
      <c r="AH43" s="57"/>
      <c r="AI43" s="57"/>
    </row>
    <row r="44" spans="1:36" s="81" customFormat="1" hidden="1" x14ac:dyDescent="0.25">
      <c r="A44" s="60" t="s">
        <v>206</v>
      </c>
      <c r="B44" s="37"/>
      <c r="C44" s="59"/>
      <c r="D44" s="59"/>
      <c r="E44" s="59"/>
      <c r="F44" s="59"/>
      <c r="G44" s="164">
        <f t="shared" ref="G44:AF44" si="47">G25-(7*5)</f>
        <v>43857</v>
      </c>
      <c r="H44" s="164">
        <f t="shared" si="47"/>
        <v>43861</v>
      </c>
      <c r="I44" s="164">
        <f t="shared" si="47"/>
        <v>43865</v>
      </c>
      <c r="J44" s="164">
        <f t="shared" si="47"/>
        <v>43869</v>
      </c>
      <c r="K44" s="164">
        <f t="shared" si="47"/>
        <v>43873</v>
      </c>
      <c r="L44" s="164">
        <f t="shared" si="47"/>
        <v>43876</v>
      </c>
      <c r="M44" s="164">
        <f t="shared" si="47"/>
        <v>43879</v>
      </c>
      <c r="N44" s="164">
        <f t="shared" si="47"/>
        <v>43884</v>
      </c>
      <c r="O44" s="164"/>
      <c r="P44" s="164"/>
      <c r="Q44" s="164"/>
      <c r="R44" s="164"/>
      <c r="S44" s="164"/>
      <c r="T44" s="164">
        <f t="shared" si="47"/>
        <v>43999</v>
      </c>
      <c r="U44" s="164">
        <f t="shared" si="47"/>
        <v>44114</v>
      </c>
      <c r="V44" s="164">
        <f t="shared" si="47"/>
        <v>44229</v>
      </c>
      <c r="W44" s="164">
        <f t="shared" si="47"/>
        <v>44344</v>
      </c>
      <c r="X44" s="164">
        <f t="shared" si="47"/>
        <v>44459</v>
      </c>
      <c r="Y44" s="164">
        <f t="shared" si="47"/>
        <v>44574</v>
      </c>
      <c r="Z44" s="164">
        <f t="shared" si="47"/>
        <v>44689</v>
      </c>
      <c r="AA44" s="164">
        <f t="shared" si="47"/>
        <v>44804</v>
      </c>
      <c r="AB44" s="164">
        <f t="shared" si="47"/>
        <v>44919</v>
      </c>
      <c r="AC44" s="164">
        <f t="shared" si="47"/>
        <v>45034</v>
      </c>
      <c r="AD44" s="164">
        <f t="shared" si="47"/>
        <v>45149</v>
      </c>
      <c r="AE44" s="164">
        <f t="shared" si="47"/>
        <v>45264</v>
      </c>
      <c r="AF44" s="164">
        <f t="shared" si="47"/>
        <v>45379</v>
      </c>
      <c r="AG44" s="164"/>
      <c r="AH44" s="57"/>
      <c r="AI44" s="57"/>
    </row>
    <row r="45" spans="1:36" s="81" customFormat="1" hidden="1" x14ac:dyDescent="0.25">
      <c r="A45" s="60" t="s">
        <v>204</v>
      </c>
      <c r="B45" s="37"/>
      <c r="C45" s="59"/>
      <c r="D45" s="59"/>
      <c r="E45" s="59"/>
      <c r="F45" s="59"/>
      <c r="G45" s="164">
        <f t="shared" ref="G45:AF45" si="48">G25-(6*7)</f>
        <v>43850</v>
      </c>
      <c r="H45" s="164">
        <f t="shared" si="48"/>
        <v>43854</v>
      </c>
      <c r="I45" s="164">
        <f t="shared" si="48"/>
        <v>43858</v>
      </c>
      <c r="J45" s="164">
        <f t="shared" si="48"/>
        <v>43862</v>
      </c>
      <c r="K45" s="164">
        <f t="shared" si="48"/>
        <v>43866</v>
      </c>
      <c r="L45" s="164">
        <f t="shared" si="48"/>
        <v>43869</v>
      </c>
      <c r="M45" s="164">
        <f t="shared" si="48"/>
        <v>43872</v>
      </c>
      <c r="N45" s="164">
        <f t="shared" si="48"/>
        <v>43877</v>
      </c>
      <c r="O45" s="164"/>
      <c r="P45" s="164"/>
      <c r="Q45" s="164"/>
      <c r="R45" s="164"/>
      <c r="S45" s="164"/>
      <c r="T45" s="164">
        <f t="shared" si="48"/>
        <v>43992</v>
      </c>
      <c r="U45" s="164">
        <f t="shared" si="48"/>
        <v>44107</v>
      </c>
      <c r="V45" s="164">
        <f t="shared" si="48"/>
        <v>44222</v>
      </c>
      <c r="W45" s="164">
        <f t="shared" si="48"/>
        <v>44337</v>
      </c>
      <c r="X45" s="164">
        <f t="shared" si="48"/>
        <v>44452</v>
      </c>
      <c r="Y45" s="164">
        <f t="shared" si="48"/>
        <v>44567</v>
      </c>
      <c r="Z45" s="164">
        <f t="shared" si="48"/>
        <v>44682</v>
      </c>
      <c r="AA45" s="164">
        <f t="shared" si="48"/>
        <v>44797</v>
      </c>
      <c r="AB45" s="164">
        <f t="shared" si="48"/>
        <v>44912</v>
      </c>
      <c r="AC45" s="164">
        <f t="shared" si="48"/>
        <v>45027</v>
      </c>
      <c r="AD45" s="164">
        <f t="shared" si="48"/>
        <v>45142</v>
      </c>
      <c r="AE45" s="164">
        <f t="shared" si="48"/>
        <v>45257</v>
      </c>
      <c r="AF45" s="164">
        <f t="shared" si="48"/>
        <v>45372</v>
      </c>
      <c r="AG45" s="164"/>
      <c r="AH45" s="57"/>
      <c r="AI45" s="57"/>
    </row>
    <row r="47" spans="1:36" x14ac:dyDescent="0.25">
      <c r="A47" s="65" t="s">
        <v>140</v>
      </c>
      <c r="B47" s="27"/>
      <c r="C47" s="28"/>
      <c r="D47" s="28"/>
      <c r="E47" s="28"/>
      <c r="F47" s="28"/>
    </row>
    <row r="48" spans="1:36" s="81" customFormat="1" x14ac:dyDescent="0.25">
      <c r="A48" s="157" t="s">
        <v>201</v>
      </c>
      <c r="B48" s="37"/>
      <c r="C48" s="59"/>
      <c r="D48" s="59"/>
      <c r="E48" s="59"/>
      <c r="F48" s="59"/>
      <c r="G48" s="158">
        <f t="shared" ref="G48:AG48" si="49">(G25-$B$22)/7</f>
        <v>5.2857142857142856</v>
      </c>
      <c r="H48" s="155">
        <f t="shared" si="49"/>
        <v>5.8571428571428568</v>
      </c>
      <c r="I48" s="156">
        <f t="shared" si="49"/>
        <v>6.4285714285714288</v>
      </c>
      <c r="J48" s="158">
        <f t="shared" si="49"/>
        <v>7</v>
      </c>
      <c r="K48" s="155">
        <f t="shared" si="49"/>
        <v>7.5714285714285712</v>
      </c>
      <c r="L48" s="159">
        <f t="shared" si="49"/>
        <v>8</v>
      </c>
      <c r="M48" s="156">
        <f t="shared" si="49"/>
        <v>8.4285714285714288</v>
      </c>
      <c r="N48" s="158">
        <f t="shared" si="49"/>
        <v>9.1428571428571423</v>
      </c>
      <c r="O48" s="158">
        <f t="shared" ref="O48:S48" si="50">(O25-$B$22)/7</f>
        <v>10.621428571428364</v>
      </c>
      <c r="P48" s="155">
        <f t="shared" si="50"/>
        <v>12.264285714285506</v>
      </c>
      <c r="Q48" s="155">
        <f t="shared" ref="Q48:R48" si="51">(Q25-$B$22)/7</f>
        <v>17.357142857142858</v>
      </c>
      <c r="R48" s="155">
        <f t="shared" si="51"/>
        <v>21.464285714285715</v>
      </c>
      <c r="S48" s="155">
        <f t="shared" si="50"/>
        <v>23.928571428571427</v>
      </c>
      <c r="T48" s="155">
        <f t="shared" si="49"/>
        <v>25.571428571428573</v>
      </c>
      <c r="U48" s="158">
        <f t="shared" si="49"/>
        <v>42</v>
      </c>
      <c r="V48" s="156">
        <f t="shared" si="49"/>
        <v>58.428571428571431</v>
      </c>
      <c r="W48" s="158">
        <f t="shared" si="49"/>
        <v>74.857142857142861</v>
      </c>
      <c r="X48" s="158">
        <f t="shared" si="49"/>
        <v>91.285714285714292</v>
      </c>
      <c r="Y48" s="156">
        <f t="shared" si="49"/>
        <v>107.71428571428571</v>
      </c>
      <c r="Z48" s="158">
        <f t="shared" si="49"/>
        <v>124.14285714285714</v>
      </c>
      <c r="AA48" s="158">
        <f t="shared" si="49"/>
        <v>140.57142857142858</v>
      </c>
      <c r="AB48" s="158">
        <f t="shared" si="49"/>
        <v>157</v>
      </c>
      <c r="AC48" s="156">
        <f t="shared" si="49"/>
        <v>173.42857142857142</v>
      </c>
      <c r="AD48" s="155">
        <f t="shared" si="49"/>
        <v>189.85714285714286</v>
      </c>
      <c r="AE48" s="158">
        <f t="shared" si="49"/>
        <v>206.28571428571428</v>
      </c>
      <c r="AF48" s="158">
        <f t="shared" si="49"/>
        <v>222.71428571428572</v>
      </c>
      <c r="AG48" s="158">
        <f t="shared" si="49"/>
        <v>230.71428571428572</v>
      </c>
    </row>
    <row r="49" spans="1:33" s="81" customFormat="1" x14ac:dyDescent="0.25">
      <c r="A49" s="157" t="s">
        <v>200</v>
      </c>
      <c r="B49" s="37"/>
      <c r="C49" s="59"/>
      <c r="D49" s="59"/>
      <c r="E49" s="59"/>
      <c r="F49" s="59"/>
      <c r="G49" s="258">
        <f>G25-B22</f>
        <v>37</v>
      </c>
      <c r="H49" s="259">
        <f t="shared" ref="H49:AG49" si="52">H25-$B$22</f>
        <v>41</v>
      </c>
      <c r="I49" s="259">
        <f t="shared" si="52"/>
        <v>45</v>
      </c>
      <c r="J49" s="259">
        <f t="shared" si="52"/>
        <v>49</v>
      </c>
      <c r="K49" s="259">
        <f t="shared" si="52"/>
        <v>53</v>
      </c>
      <c r="L49" s="259">
        <f t="shared" si="52"/>
        <v>56</v>
      </c>
      <c r="M49" s="259">
        <f t="shared" si="52"/>
        <v>59</v>
      </c>
      <c r="N49" s="259">
        <f t="shared" si="52"/>
        <v>64</v>
      </c>
      <c r="O49" s="259">
        <f t="shared" ref="O49:S49" si="53">O25-$B$22</f>
        <v>74.349999999998545</v>
      </c>
      <c r="P49" s="259">
        <f t="shared" si="53"/>
        <v>85.849999999998545</v>
      </c>
      <c r="Q49" s="259">
        <f t="shared" ref="Q49:R49" si="54">Q25-$B$22</f>
        <v>121.5</v>
      </c>
      <c r="R49" s="259">
        <f t="shared" si="54"/>
        <v>150.25</v>
      </c>
      <c r="S49" s="259">
        <f t="shared" si="53"/>
        <v>167.5</v>
      </c>
      <c r="T49" s="259">
        <f t="shared" si="52"/>
        <v>179</v>
      </c>
      <c r="U49" s="259">
        <f t="shared" si="52"/>
        <v>294</v>
      </c>
      <c r="V49" s="259">
        <f t="shared" si="52"/>
        <v>409</v>
      </c>
      <c r="W49" s="259">
        <f t="shared" si="52"/>
        <v>524</v>
      </c>
      <c r="X49" s="259">
        <f t="shared" si="52"/>
        <v>639</v>
      </c>
      <c r="Y49" s="259">
        <f t="shared" si="52"/>
        <v>754</v>
      </c>
      <c r="Z49" s="259">
        <f t="shared" si="52"/>
        <v>869</v>
      </c>
      <c r="AA49" s="259">
        <f t="shared" si="52"/>
        <v>984</v>
      </c>
      <c r="AB49" s="259">
        <f t="shared" si="52"/>
        <v>1099</v>
      </c>
      <c r="AC49" s="260">
        <f t="shared" si="52"/>
        <v>1214</v>
      </c>
      <c r="AD49" s="259">
        <f t="shared" si="52"/>
        <v>1329</v>
      </c>
      <c r="AE49" s="264">
        <f t="shared" si="52"/>
        <v>1444</v>
      </c>
      <c r="AF49" s="257">
        <f t="shared" si="52"/>
        <v>1559</v>
      </c>
      <c r="AG49" s="257">
        <f t="shared" si="52"/>
        <v>1615</v>
      </c>
    </row>
    <row r="50" spans="1:33" x14ac:dyDescent="0.25">
      <c r="A50" s="53" t="s">
        <v>134</v>
      </c>
      <c r="B50" s="28"/>
      <c r="C50" s="28"/>
      <c r="D50" s="28"/>
      <c r="E50" s="28"/>
      <c r="F50" s="28"/>
      <c r="G50" s="160">
        <v>33</v>
      </c>
      <c r="H50" s="161">
        <v>63</v>
      </c>
      <c r="I50" s="162">
        <v>116</v>
      </c>
      <c r="J50" s="162">
        <v>248</v>
      </c>
      <c r="K50" s="162">
        <v>596</v>
      </c>
      <c r="L50" s="162">
        <v>1072</v>
      </c>
      <c r="M50" s="162">
        <v>2317</v>
      </c>
      <c r="N50" s="162">
        <v>4163</v>
      </c>
      <c r="O50" s="162">
        <v>6052</v>
      </c>
      <c r="P50" s="162">
        <v>6612</v>
      </c>
      <c r="Q50" s="198">
        <v>7200</v>
      </c>
      <c r="R50" s="198">
        <v>7600</v>
      </c>
      <c r="S50" s="198">
        <v>7800</v>
      </c>
      <c r="T50" s="198">
        <v>8000</v>
      </c>
      <c r="U50" s="198">
        <f>T50*2</f>
        <v>16000</v>
      </c>
      <c r="V50" s="198">
        <f t="shared" ref="V50:AE50" si="55">U50*2</f>
        <v>32000</v>
      </c>
      <c r="W50" s="198">
        <f t="shared" si="55"/>
        <v>64000</v>
      </c>
      <c r="X50" s="198">
        <f t="shared" si="55"/>
        <v>128000</v>
      </c>
      <c r="Y50" s="198">
        <f t="shared" si="55"/>
        <v>256000</v>
      </c>
      <c r="Z50" s="198">
        <f t="shared" si="55"/>
        <v>512000</v>
      </c>
      <c r="AA50" s="198">
        <f t="shared" si="55"/>
        <v>1024000</v>
      </c>
      <c r="AB50" s="198">
        <f t="shared" si="55"/>
        <v>2048000</v>
      </c>
      <c r="AC50" s="198">
        <f t="shared" si="55"/>
        <v>4096000</v>
      </c>
      <c r="AD50" s="198">
        <f t="shared" si="55"/>
        <v>8192000</v>
      </c>
      <c r="AE50" s="255">
        <f t="shared" si="55"/>
        <v>16384000</v>
      </c>
      <c r="AF50" s="202">
        <f>AF26</f>
        <v>25634000</v>
      </c>
      <c r="AG50" s="203">
        <f>AF50</f>
        <v>25634000</v>
      </c>
    </row>
    <row r="51" spans="1:33" x14ac:dyDescent="0.25">
      <c r="A51" s="53" t="s">
        <v>261</v>
      </c>
      <c r="B51" s="28"/>
      <c r="C51" s="28"/>
      <c r="D51" s="28"/>
      <c r="E51" s="28"/>
      <c r="F51" s="28"/>
      <c r="G51" s="208">
        <f>(G25-B22)/(LOG(G50/1)/LOG(2))</f>
        <v>7.3348749373107394</v>
      </c>
      <c r="H51" s="190">
        <f t="shared" ref="H51:AG51" si="56">(H25-$G$25)/(LOG(H50/$G$50)/LOG(2))</f>
        <v>4.287770252524326</v>
      </c>
      <c r="I51" s="190">
        <f t="shared" si="56"/>
        <v>4.4111479339015975</v>
      </c>
      <c r="J51" s="190">
        <f t="shared" si="56"/>
        <v>4.1239916709798061</v>
      </c>
      <c r="K51" s="190">
        <f t="shared" si="56"/>
        <v>3.8325424233151351</v>
      </c>
      <c r="L51" s="190">
        <f t="shared" si="56"/>
        <v>3.7835829796492675</v>
      </c>
      <c r="M51" s="190">
        <f t="shared" si="56"/>
        <v>3.5867723822019695</v>
      </c>
      <c r="N51" s="190">
        <f t="shared" si="56"/>
        <v>3.8687414968098568</v>
      </c>
      <c r="O51" s="190">
        <f>(O25-$G$25)/(LOG(O50/$G$50)/LOG(2))</f>
        <v>4.9675465906228018</v>
      </c>
      <c r="P51" s="190">
        <f>(P25-$G$25)/(LOG(P50/$G$50)/LOG(2))</f>
        <v>6.3885630863942993</v>
      </c>
      <c r="Q51" s="199">
        <f>(Q25-$G$25)/(LOG(Q50/$G$50)/LOG(2))</f>
        <v>10.876018818275456</v>
      </c>
      <c r="R51" s="199">
        <f>(R25-$G$25)/(LOG(R50/$G$50)/LOG(2))</f>
        <v>14.431550618173373</v>
      </c>
      <c r="S51" s="199">
        <f>(S25-$G$25)/(LOG(S50/$G$50)/LOG(2))</f>
        <v>16.550697033232137</v>
      </c>
      <c r="T51" s="199">
        <f t="shared" si="56"/>
        <v>17.92614642591046</v>
      </c>
      <c r="U51" s="199">
        <f t="shared" si="56"/>
        <v>28.807169649356229</v>
      </c>
      <c r="V51" s="199">
        <f t="shared" si="56"/>
        <v>37.4947455751646</v>
      </c>
      <c r="W51" s="199">
        <f t="shared" si="56"/>
        <v>44.591392911422517</v>
      </c>
      <c r="X51" s="199">
        <f t="shared" si="56"/>
        <v>50.497466457567896</v>
      </c>
      <c r="Y51" s="199">
        <f t="shared" si="56"/>
        <v>55.489385493929291</v>
      </c>
      <c r="Z51" s="199">
        <f t="shared" si="56"/>
        <v>59.764146404976039</v>
      </c>
      <c r="AA51" s="199">
        <f t="shared" si="56"/>
        <v>63.46593645155378</v>
      </c>
      <c r="AB51" s="199">
        <f t="shared" si="56"/>
        <v>66.702718102740917</v>
      </c>
      <c r="AC51" s="199">
        <f t="shared" si="56"/>
        <v>69.556932882108754</v>
      </c>
      <c r="AD51" s="199">
        <f t="shared" si="56"/>
        <v>72.092621614887435</v>
      </c>
      <c r="AE51" s="256">
        <f t="shared" si="56"/>
        <v>74.360286834528239</v>
      </c>
      <c r="AF51" s="204">
        <f t="shared" si="56"/>
        <v>77.783383461145633</v>
      </c>
      <c r="AG51" s="205">
        <f t="shared" si="56"/>
        <v>80.645321354591204</v>
      </c>
    </row>
    <row r="52" spans="1:33" x14ac:dyDescent="0.25">
      <c r="A52" s="53" t="s">
        <v>291</v>
      </c>
      <c r="B52" s="28"/>
      <c r="C52" s="28"/>
      <c r="D52" s="28"/>
      <c r="E52" s="28"/>
      <c r="F52" s="28"/>
      <c r="G52" s="261">
        <v>17</v>
      </c>
      <c r="H52" s="262">
        <v>39</v>
      </c>
      <c r="I52" s="262">
        <v>91</v>
      </c>
      <c r="J52" s="262">
        <v>218</v>
      </c>
      <c r="K52" s="262">
        <v>547</v>
      </c>
      <c r="L52" s="262">
        <v>1019</v>
      </c>
      <c r="M52" s="262">
        <v>2191</v>
      </c>
      <c r="N52" s="262">
        <v>3902</v>
      </c>
      <c r="O52" s="262">
        <v>3189</v>
      </c>
      <c r="P52" s="262">
        <v>2311</v>
      </c>
      <c r="Q52" s="263"/>
      <c r="R52" s="263"/>
      <c r="S52" s="263"/>
      <c r="T52" s="263"/>
      <c r="U52" s="263"/>
      <c r="V52" s="263"/>
      <c r="W52" s="263"/>
      <c r="X52" s="263"/>
      <c r="Y52" s="263"/>
      <c r="Z52" s="263"/>
      <c r="AA52" s="263"/>
      <c r="AB52" s="263"/>
      <c r="AC52" s="263"/>
      <c r="AD52" s="263"/>
      <c r="AE52" s="255"/>
      <c r="AF52" s="202"/>
      <c r="AG52" s="203"/>
    </row>
    <row r="53" spans="1:33" x14ac:dyDescent="0.25">
      <c r="A53" s="53" t="s">
        <v>160</v>
      </c>
      <c r="B53" s="28"/>
      <c r="C53" s="28"/>
      <c r="D53" s="28"/>
      <c r="E53" s="28"/>
      <c r="F53" s="28"/>
      <c r="G53" s="119">
        <f>G50-G52-G54</f>
        <v>15</v>
      </c>
      <c r="H53" s="120">
        <f>H50-H52-H54</f>
        <v>22</v>
      </c>
      <c r="I53" s="120">
        <f t="shared" ref="I53:J53" si="57">I50-I52-I54</f>
        <v>22</v>
      </c>
      <c r="J53" s="120">
        <f t="shared" si="57"/>
        <v>25</v>
      </c>
      <c r="K53" s="163">
        <f>K50-K52-K54</f>
        <v>43</v>
      </c>
      <c r="L53" s="163">
        <f t="shared" ref="L53:N53" si="58">L50-L52-L54</f>
        <v>46</v>
      </c>
      <c r="M53" s="163">
        <f t="shared" si="58"/>
        <v>118</v>
      </c>
      <c r="N53" s="163">
        <f t="shared" si="58"/>
        <v>245</v>
      </c>
      <c r="O53" s="163">
        <f t="shared" ref="O53:P53" si="59">O50-O52-O54</f>
        <v>2813</v>
      </c>
      <c r="P53" s="163">
        <f t="shared" si="59"/>
        <v>4230</v>
      </c>
      <c r="Q53" s="249">
        <v>6074</v>
      </c>
      <c r="R53" s="249"/>
      <c r="S53" s="249"/>
      <c r="T53" s="249"/>
      <c r="U53" s="200"/>
      <c r="V53" s="200"/>
      <c r="W53" s="200"/>
      <c r="X53" s="200"/>
      <c r="Y53" s="200"/>
      <c r="Z53" s="200"/>
      <c r="AA53" s="200"/>
      <c r="AB53" s="200"/>
      <c r="AC53" s="200"/>
      <c r="AD53" s="200"/>
      <c r="AE53" s="255"/>
      <c r="AF53" s="202"/>
      <c r="AG53" s="203"/>
    </row>
    <row r="54" spans="1:33" x14ac:dyDescent="0.25">
      <c r="A54" s="61" t="s">
        <v>135</v>
      </c>
      <c r="B54" s="50"/>
      <c r="C54" s="51"/>
      <c r="D54" s="51"/>
      <c r="E54" s="51"/>
      <c r="F54" s="51"/>
      <c r="G54" s="79">
        <v>1</v>
      </c>
      <c r="H54" s="80">
        <v>2</v>
      </c>
      <c r="I54" s="64">
        <v>3</v>
      </c>
      <c r="J54" s="64">
        <v>5</v>
      </c>
      <c r="K54" s="64">
        <v>6</v>
      </c>
      <c r="L54" s="64">
        <v>7</v>
      </c>
      <c r="M54" s="64">
        <v>8</v>
      </c>
      <c r="N54" s="64">
        <v>16</v>
      </c>
      <c r="O54" s="64">
        <v>50</v>
      </c>
      <c r="P54" s="64">
        <v>71</v>
      </c>
      <c r="Q54" s="250">
        <v>97</v>
      </c>
      <c r="R54" s="250"/>
      <c r="S54" s="250"/>
      <c r="T54" s="250"/>
      <c r="U54" s="201"/>
      <c r="V54" s="201"/>
      <c r="W54" s="201"/>
      <c r="X54" s="201"/>
      <c r="Y54" s="201"/>
      <c r="Z54" s="201"/>
      <c r="AA54" s="201"/>
      <c r="AB54" s="201"/>
      <c r="AC54" s="201"/>
      <c r="AD54" s="201"/>
      <c r="AE54" s="239"/>
      <c r="AF54" s="234"/>
      <c r="AG54" s="235"/>
    </row>
    <row r="55" spans="1:33" x14ac:dyDescent="0.25">
      <c r="B55" s="3"/>
      <c r="G55" s="47"/>
      <c r="H55" s="47"/>
      <c r="I55" s="47"/>
      <c r="J55" s="47"/>
      <c r="K55" s="47"/>
      <c r="L55" s="47"/>
      <c r="M55" s="47"/>
      <c r="N55" s="47"/>
      <c r="O55" s="47"/>
      <c r="P55" s="47"/>
      <c r="Q55" s="47"/>
      <c r="R55" s="47"/>
      <c r="S55" s="47"/>
      <c r="T55" s="47"/>
      <c r="U55" s="47"/>
      <c r="V55" s="47"/>
      <c r="W55" s="47"/>
      <c r="X55" s="47"/>
      <c r="Y55" s="47"/>
      <c r="Z55" s="47"/>
      <c r="AA55" s="47"/>
      <c r="AB55" s="47"/>
      <c r="AC55" s="47"/>
    </row>
    <row r="56" spans="1:33" x14ac:dyDescent="0.25">
      <c r="A56" s="86" t="s">
        <v>141</v>
      </c>
      <c r="AC56" s="28"/>
    </row>
    <row r="57" spans="1:33" x14ac:dyDescent="0.25">
      <c r="A57" s="16" t="s">
        <v>1</v>
      </c>
      <c r="B57" s="69" t="s">
        <v>147</v>
      </c>
      <c r="C57" s="17" t="s">
        <v>4</v>
      </c>
      <c r="D57" s="69" t="s">
        <v>143</v>
      </c>
      <c r="E57" s="70" t="s">
        <v>3</v>
      </c>
      <c r="F57" s="21" t="s">
        <v>4</v>
      </c>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17"/>
      <c r="AG57" s="59"/>
    </row>
    <row r="58" spans="1:33" x14ac:dyDescent="0.25">
      <c r="A58" s="53" t="s">
        <v>13</v>
      </c>
      <c r="B58" s="25">
        <f>'ABS Population by Age Range'!D107</f>
        <v>4.0260989985204748E-2</v>
      </c>
      <c r="C58" s="24">
        <f>$B$13*B58</f>
        <v>1032050.2172807385</v>
      </c>
      <c r="D58" s="34">
        <f>'AU Infection Rate by Age'!E4</f>
        <v>3.3898305084745763E-2</v>
      </c>
      <c r="E58" s="17"/>
      <c r="F58" s="28"/>
      <c r="G58" s="30">
        <f t="shared" ref="G58:AF58" si="60">G$26*$D$58</f>
        <v>1.0593220338983051</v>
      </c>
      <c r="H58" s="31">
        <f t="shared" si="60"/>
        <v>2.1186440677966103</v>
      </c>
      <c r="I58" s="31">
        <f t="shared" si="60"/>
        <v>4.2372881355932206</v>
      </c>
      <c r="J58" s="31">
        <f t="shared" si="60"/>
        <v>8.4745762711864412</v>
      </c>
      <c r="K58" s="31">
        <f t="shared" si="60"/>
        <v>16.949152542372882</v>
      </c>
      <c r="L58" s="31">
        <f t="shared" si="60"/>
        <v>33.898305084745765</v>
      </c>
      <c r="M58" s="31">
        <f t="shared" si="60"/>
        <v>67.79661016949153</v>
      </c>
      <c r="N58" s="31">
        <f t="shared" si="60"/>
        <v>135.59322033898306</v>
      </c>
      <c r="O58" s="31">
        <f t="shared" si="60"/>
        <v>203.38983050847457</v>
      </c>
      <c r="P58" s="31">
        <f t="shared" si="60"/>
        <v>223.72881355932202</v>
      </c>
      <c r="Q58" s="31">
        <f t="shared" si="60"/>
        <v>244.06779661016949</v>
      </c>
      <c r="R58" s="31">
        <f t="shared" si="60"/>
        <v>257.62711864406782</v>
      </c>
      <c r="S58" s="31">
        <f t="shared" si="60"/>
        <v>264.40677966101697</v>
      </c>
      <c r="T58" s="31">
        <f t="shared" si="60"/>
        <v>271.18644067796612</v>
      </c>
      <c r="U58" s="31">
        <f t="shared" si="60"/>
        <v>542.37288135593224</v>
      </c>
      <c r="V58" s="31">
        <f t="shared" si="60"/>
        <v>1084.7457627118645</v>
      </c>
      <c r="W58" s="31">
        <f t="shared" si="60"/>
        <v>2169.4915254237289</v>
      </c>
      <c r="X58" s="31">
        <f t="shared" si="60"/>
        <v>4338.9830508474579</v>
      </c>
      <c r="Y58" s="31">
        <f t="shared" si="60"/>
        <v>8677.9661016949158</v>
      </c>
      <c r="Z58" s="31">
        <f t="shared" si="60"/>
        <v>17355.932203389832</v>
      </c>
      <c r="AA58" s="31">
        <f t="shared" si="60"/>
        <v>34711.864406779663</v>
      </c>
      <c r="AB58" s="31">
        <f t="shared" si="60"/>
        <v>69423.728813559326</v>
      </c>
      <c r="AC58" s="31">
        <f t="shared" si="60"/>
        <v>138847.45762711865</v>
      </c>
      <c r="AD58" s="72">
        <f t="shared" si="60"/>
        <v>277694.9152542373</v>
      </c>
      <c r="AE58" s="31">
        <f t="shared" si="60"/>
        <v>555389.83050847461</v>
      </c>
      <c r="AF58" s="72">
        <f t="shared" si="60"/>
        <v>868949.15254237293</v>
      </c>
      <c r="AG58" s="57"/>
    </row>
    <row r="59" spans="1:33" x14ac:dyDescent="0.25">
      <c r="A59" s="53"/>
      <c r="B59" s="18"/>
      <c r="C59" s="22"/>
      <c r="D59" s="20"/>
      <c r="E59" s="39">
        <f>'AU Infection Rate by Age'!F18</f>
        <v>0.24761904761904763</v>
      </c>
      <c r="F59" s="22"/>
      <c r="G59" s="41">
        <f t="shared" ref="G59:AF59" si="61">G$26*$D$58*$E$59</f>
        <v>0.2623083131557708</v>
      </c>
      <c r="H59" s="42">
        <f t="shared" si="61"/>
        <v>0.5246166263115416</v>
      </c>
      <c r="I59" s="42">
        <f t="shared" si="61"/>
        <v>1.0492332526230832</v>
      </c>
      <c r="J59" s="42">
        <f t="shared" si="61"/>
        <v>2.0984665052461664</v>
      </c>
      <c r="K59" s="42">
        <f t="shared" si="61"/>
        <v>4.1969330104923328</v>
      </c>
      <c r="L59" s="42">
        <f t="shared" si="61"/>
        <v>8.3938660209846656</v>
      </c>
      <c r="M59" s="42">
        <f t="shared" si="61"/>
        <v>16.787732041969331</v>
      </c>
      <c r="N59" s="42">
        <f t="shared" si="61"/>
        <v>33.575464083938662</v>
      </c>
      <c r="O59" s="42">
        <f t="shared" si="61"/>
        <v>50.36319612590799</v>
      </c>
      <c r="P59" s="42">
        <f t="shared" si="61"/>
        <v>55.399515738498785</v>
      </c>
      <c r="Q59" s="42">
        <f t="shared" si="61"/>
        <v>60.435835351089594</v>
      </c>
      <c r="R59" s="42">
        <f t="shared" si="61"/>
        <v>63.793381759483459</v>
      </c>
      <c r="S59" s="42">
        <f t="shared" si="61"/>
        <v>65.472154963680396</v>
      </c>
      <c r="T59" s="42">
        <f t="shared" si="61"/>
        <v>67.150928167877325</v>
      </c>
      <c r="U59" s="42">
        <f t="shared" si="61"/>
        <v>134.30185633575465</v>
      </c>
      <c r="V59" s="42">
        <f t="shared" si="61"/>
        <v>268.6037126715093</v>
      </c>
      <c r="W59" s="42">
        <f t="shared" si="61"/>
        <v>537.2074253430186</v>
      </c>
      <c r="X59" s="42">
        <f t="shared" si="61"/>
        <v>1074.4148506860372</v>
      </c>
      <c r="Y59" s="42">
        <f t="shared" si="61"/>
        <v>2148.8297013720744</v>
      </c>
      <c r="Z59" s="42">
        <f t="shared" si="61"/>
        <v>4297.6594027441488</v>
      </c>
      <c r="AA59" s="42">
        <f t="shared" si="61"/>
        <v>8595.3188054882976</v>
      </c>
      <c r="AB59" s="42">
        <f t="shared" si="61"/>
        <v>17190.637610976595</v>
      </c>
      <c r="AC59" s="42">
        <f t="shared" si="61"/>
        <v>34381.27522195319</v>
      </c>
      <c r="AD59" s="83">
        <f t="shared" si="61"/>
        <v>68762.550443906381</v>
      </c>
      <c r="AE59" s="42">
        <f t="shared" si="61"/>
        <v>137525.10088781276</v>
      </c>
      <c r="AF59" s="83">
        <f t="shared" si="61"/>
        <v>215168.36158192094</v>
      </c>
      <c r="AG59" s="57"/>
    </row>
    <row r="60" spans="1:33" x14ac:dyDescent="0.25">
      <c r="A60" s="53" t="s">
        <v>14</v>
      </c>
      <c r="B60" s="18">
        <f>'ABS Population by Age Range'!D97</f>
        <v>7.065336711718416E-2</v>
      </c>
      <c r="C60" s="22">
        <f t="shared" ref="C60:C74" si="62">$B$13*B60</f>
        <v>1811128.4126818988</v>
      </c>
      <c r="D60" s="35">
        <f>'AU Infection Rate by Age'!E5</f>
        <v>0.10944309927360775</v>
      </c>
      <c r="E60" s="29"/>
      <c r="F60" s="28"/>
      <c r="G60" s="32">
        <f t="shared" ref="G60:AF60" si="63">G$26*$D$60</f>
        <v>3.420096852300242</v>
      </c>
      <c r="H60" s="33">
        <f t="shared" si="63"/>
        <v>6.8401937046004839</v>
      </c>
      <c r="I60" s="33">
        <f t="shared" si="63"/>
        <v>13.680387409200968</v>
      </c>
      <c r="J60" s="33">
        <f t="shared" si="63"/>
        <v>27.360774818401936</v>
      </c>
      <c r="K60" s="33">
        <f t="shared" si="63"/>
        <v>54.721549636803871</v>
      </c>
      <c r="L60" s="33">
        <f t="shared" si="63"/>
        <v>109.44309927360774</v>
      </c>
      <c r="M60" s="33">
        <f t="shared" si="63"/>
        <v>218.88619854721549</v>
      </c>
      <c r="N60" s="33">
        <f t="shared" si="63"/>
        <v>437.77239709443097</v>
      </c>
      <c r="O60" s="33">
        <f t="shared" si="63"/>
        <v>656.65859564164646</v>
      </c>
      <c r="P60" s="33">
        <f t="shared" si="63"/>
        <v>722.32445520581109</v>
      </c>
      <c r="Q60" s="33">
        <f t="shared" si="63"/>
        <v>787.99031476997584</v>
      </c>
      <c r="R60" s="33">
        <f t="shared" si="63"/>
        <v>831.76755447941889</v>
      </c>
      <c r="S60" s="33">
        <f t="shared" si="63"/>
        <v>853.65617433414047</v>
      </c>
      <c r="T60" s="33">
        <f t="shared" si="63"/>
        <v>875.54479418886194</v>
      </c>
      <c r="U60" s="33">
        <f t="shared" si="63"/>
        <v>1751.0895883777239</v>
      </c>
      <c r="V60" s="33">
        <f t="shared" si="63"/>
        <v>3502.1791767554478</v>
      </c>
      <c r="W60" s="33">
        <f t="shared" si="63"/>
        <v>7004.3583535108955</v>
      </c>
      <c r="X60" s="33">
        <f t="shared" si="63"/>
        <v>14008.716707021791</v>
      </c>
      <c r="Y60" s="33">
        <f t="shared" si="63"/>
        <v>28017.433414043582</v>
      </c>
      <c r="Z60" s="33">
        <f t="shared" si="63"/>
        <v>56034.866828087164</v>
      </c>
      <c r="AA60" s="33">
        <f t="shared" si="63"/>
        <v>112069.73365617433</v>
      </c>
      <c r="AB60" s="33">
        <f t="shared" si="63"/>
        <v>224139.46731234866</v>
      </c>
      <c r="AC60" s="33">
        <f t="shared" si="63"/>
        <v>448278.93462469731</v>
      </c>
      <c r="AD60" s="84">
        <f t="shared" si="63"/>
        <v>896557.86924939463</v>
      </c>
      <c r="AE60" s="33">
        <f t="shared" si="63"/>
        <v>1793115.7384987893</v>
      </c>
      <c r="AF60" s="84">
        <f t="shared" si="63"/>
        <v>2805464.4067796608</v>
      </c>
      <c r="AG60" s="57"/>
    </row>
    <row r="61" spans="1:33" x14ac:dyDescent="0.25">
      <c r="A61" s="53"/>
      <c r="B61" s="18"/>
      <c r="C61" s="22"/>
      <c r="D61" s="20"/>
      <c r="E61" s="39">
        <f>'AU Infection Rate by Age'!F19</f>
        <v>4.8672566371681415E-2</v>
      </c>
      <c r="F61" s="22"/>
      <c r="G61" s="41">
        <f t="shared" ref="G61:AF61" si="64">G$26*$D$60*$E$61</f>
        <v>0.16646489104116222</v>
      </c>
      <c r="H61" s="42">
        <f t="shared" si="64"/>
        <v>0.33292978208232443</v>
      </c>
      <c r="I61" s="42">
        <f t="shared" si="64"/>
        <v>0.66585956416464886</v>
      </c>
      <c r="J61" s="42">
        <f t="shared" si="64"/>
        <v>1.3317191283292977</v>
      </c>
      <c r="K61" s="42">
        <f t="shared" si="64"/>
        <v>2.6634382566585955</v>
      </c>
      <c r="L61" s="42">
        <f t="shared" si="64"/>
        <v>5.3268765133171909</v>
      </c>
      <c r="M61" s="42">
        <f t="shared" si="64"/>
        <v>10.653753026634382</v>
      </c>
      <c r="N61" s="42">
        <f t="shared" si="64"/>
        <v>21.307506053268764</v>
      </c>
      <c r="O61" s="42">
        <f t="shared" si="64"/>
        <v>31.961259079903147</v>
      </c>
      <c r="P61" s="42">
        <f t="shared" si="64"/>
        <v>35.157384987893458</v>
      </c>
      <c r="Q61" s="42">
        <f t="shared" si="64"/>
        <v>38.35351089588378</v>
      </c>
      <c r="R61" s="42">
        <f t="shared" si="64"/>
        <v>40.484261501210653</v>
      </c>
      <c r="S61" s="42">
        <f t="shared" si="64"/>
        <v>41.549636803874094</v>
      </c>
      <c r="T61" s="42">
        <f t="shared" si="64"/>
        <v>42.615012106537527</v>
      </c>
      <c r="U61" s="42">
        <f t="shared" si="64"/>
        <v>85.230024213075055</v>
      </c>
      <c r="V61" s="42">
        <f t="shared" si="64"/>
        <v>170.46004842615011</v>
      </c>
      <c r="W61" s="42">
        <f t="shared" si="64"/>
        <v>340.92009685230022</v>
      </c>
      <c r="X61" s="42">
        <f t="shared" si="64"/>
        <v>681.84019370460044</v>
      </c>
      <c r="Y61" s="42">
        <f t="shared" si="64"/>
        <v>1363.6803874092009</v>
      </c>
      <c r="Z61" s="42">
        <f t="shared" si="64"/>
        <v>2727.3607748184018</v>
      </c>
      <c r="AA61" s="42">
        <f t="shared" si="64"/>
        <v>5454.7215496368035</v>
      </c>
      <c r="AB61" s="42">
        <f t="shared" si="64"/>
        <v>10909.443099273607</v>
      </c>
      <c r="AC61" s="42">
        <f t="shared" si="64"/>
        <v>21818.886198547214</v>
      </c>
      <c r="AD61" s="83">
        <f t="shared" si="64"/>
        <v>43637.772397094428</v>
      </c>
      <c r="AE61" s="42">
        <f t="shared" si="64"/>
        <v>87275.544794188856</v>
      </c>
      <c r="AF61" s="83">
        <f t="shared" si="64"/>
        <v>136549.15254237287</v>
      </c>
      <c r="AG61" s="57"/>
    </row>
    <row r="62" spans="1:33" x14ac:dyDescent="0.25">
      <c r="A62" s="53" t="s">
        <v>15</v>
      </c>
      <c r="B62" s="18">
        <f>'ABS Population by Age Range'!D85</f>
        <v>0.10301766910746854</v>
      </c>
      <c r="C62" s="22">
        <f t="shared" si="62"/>
        <v>2640754.9299008488</v>
      </c>
      <c r="D62" s="35">
        <f>'AU Infection Rate by Age'!E6</f>
        <v>0.16852300242130749</v>
      </c>
      <c r="E62" s="29"/>
      <c r="F62" s="22"/>
      <c r="G62" s="32">
        <f t="shared" ref="G62:AF62" si="65">G$26*$D$62</f>
        <v>5.2663438256658592</v>
      </c>
      <c r="H62" s="33">
        <f t="shared" si="65"/>
        <v>10.532687651331718</v>
      </c>
      <c r="I62" s="33">
        <f t="shared" si="65"/>
        <v>21.065375302663437</v>
      </c>
      <c r="J62" s="33">
        <f t="shared" si="65"/>
        <v>42.130750605326874</v>
      </c>
      <c r="K62" s="33">
        <f t="shared" si="65"/>
        <v>84.261501210653748</v>
      </c>
      <c r="L62" s="33">
        <f t="shared" si="65"/>
        <v>168.5230024213075</v>
      </c>
      <c r="M62" s="33">
        <f t="shared" si="65"/>
        <v>337.04600484261499</v>
      </c>
      <c r="N62" s="33">
        <f t="shared" si="65"/>
        <v>674.09200968522998</v>
      </c>
      <c r="O62" s="33">
        <f t="shared" si="65"/>
        <v>1011.1380145278449</v>
      </c>
      <c r="P62" s="33">
        <f t="shared" si="65"/>
        <v>1112.2518159806295</v>
      </c>
      <c r="Q62" s="33">
        <f t="shared" si="65"/>
        <v>1213.3656174334139</v>
      </c>
      <c r="R62" s="33">
        <f t="shared" si="65"/>
        <v>1280.774818401937</v>
      </c>
      <c r="S62" s="33">
        <f t="shared" si="65"/>
        <v>1314.4794188861983</v>
      </c>
      <c r="T62" s="33">
        <f t="shared" si="65"/>
        <v>1348.18401937046</v>
      </c>
      <c r="U62" s="33">
        <f t="shared" si="65"/>
        <v>2696.3680387409199</v>
      </c>
      <c r="V62" s="33">
        <f t="shared" si="65"/>
        <v>5392.7360774818399</v>
      </c>
      <c r="W62" s="33">
        <f t="shared" si="65"/>
        <v>10785.47215496368</v>
      </c>
      <c r="X62" s="33">
        <f t="shared" si="65"/>
        <v>21570.944309927359</v>
      </c>
      <c r="Y62" s="33">
        <f t="shared" si="65"/>
        <v>43141.888619854719</v>
      </c>
      <c r="Z62" s="33">
        <f t="shared" si="65"/>
        <v>86283.777239709438</v>
      </c>
      <c r="AA62" s="33">
        <f t="shared" si="65"/>
        <v>172567.55447941888</v>
      </c>
      <c r="AB62" s="33">
        <f t="shared" si="65"/>
        <v>345135.10895883775</v>
      </c>
      <c r="AC62" s="33">
        <f t="shared" si="65"/>
        <v>690270.2179176755</v>
      </c>
      <c r="AD62" s="84">
        <f t="shared" si="65"/>
        <v>1380540.435835351</v>
      </c>
      <c r="AE62" s="33">
        <f t="shared" si="65"/>
        <v>2761080.871670702</v>
      </c>
      <c r="AF62" s="84">
        <f t="shared" si="65"/>
        <v>4319918.6440677959</v>
      </c>
      <c r="AG62" s="57"/>
    </row>
    <row r="63" spans="1:33" x14ac:dyDescent="0.25">
      <c r="A63" s="53"/>
      <c r="B63" s="18"/>
      <c r="C63" s="22"/>
      <c r="D63" s="20"/>
      <c r="E63" s="39">
        <f>'AU Infection Rate by Age'!F20</f>
        <v>8.6206896551724137E-3</v>
      </c>
      <c r="F63" s="22"/>
      <c r="G63" s="41">
        <f t="shared" ref="G63:AF63" si="66">G$26*$D$62*$E$63</f>
        <v>4.5399515738498784E-2</v>
      </c>
      <c r="H63" s="42">
        <f t="shared" si="66"/>
        <v>9.0799031476997569E-2</v>
      </c>
      <c r="I63" s="42">
        <f t="shared" si="66"/>
        <v>0.18159806295399514</v>
      </c>
      <c r="J63" s="42">
        <f t="shared" si="66"/>
        <v>0.36319612590799027</v>
      </c>
      <c r="K63" s="42">
        <f t="shared" si="66"/>
        <v>0.72639225181598055</v>
      </c>
      <c r="L63" s="42">
        <f t="shared" si="66"/>
        <v>1.4527845036319611</v>
      </c>
      <c r="M63" s="42">
        <f t="shared" si="66"/>
        <v>2.9055690072639222</v>
      </c>
      <c r="N63" s="42">
        <f t="shared" si="66"/>
        <v>5.8111380145278444</v>
      </c>
      <c r="O63" s="42">
        <f t="shared" si="66"/>
        <v>8.7167070217917662</v>
      </c>
      <c r="P63" s="42">
        <f t="shared" si="66"/>
        <v>9.5883777239709449</v>
      </c>
      <c r="Q63" s="42">
        <f t="shared" si="66"/>
        <v>10.46004842615012</v>
      </c>
      <c r="R63" s="42">
        <f t="shared" si="66"/>
        <v>11.041162227602905</v>
      </c>
      <c r="S63" s="42">
        <f t="shared" si="66"/>
        <v>11.331719128329295</v>
      </c>
      <c r="T63" s="42">
        <f t="shared" si="66"/>
        <v>11.622276029055689</v>
      </c>
      <c r="U63" s="42">
        <f t="shared" si="66"/>
        <v>23.244552058111378</v>
      </c>
      <c r="V63" s="42">
        <f t="shared" si="66"/>
        <v>46.489104116222755</v>
      </c>
      <c r="W63" s="42">
        <f t="shared" si="66"/>
        <v>92.97820823244551</v>
      </c>
      <c r="X63" s="42">
        <f t="shared" si="66"/>
        <v>185.95641646489102</v>
      </c>
      <c r="Y63" s="42">
        <f t="shared" si="66"/>
        <v>371.91283292978204</v>
      </c>
      <c r="Z63" s="42">
        <f t="shared" si="66"/>
        <v>743.82566585956408</v>
      </c>
      <c r="AA63" s="42">
        <f t="shared" si="66"/>
        <v>1487.6513317191282</v>
      </c>
      <c r="AB63" s="42">
        <f t="shared" si="66"/>
        <v>2975.3026634382563</v>
      </c>
      <c r="AC63" s="42">
        <f t="shared" si="66"/>
        <v>5950.6053268765127</v>
      </c>
      <c r="AD63" s="83">
        <f t="shared" si="66"/>
        <v>11901.210653753025</v>
      </c>
      <c r="AE63" s="42">
        <f t="shared" si="66"/>
        <v>23802.421307506051</v>
      </c>
      <c r="AF63" s="83">
        <f t="shared" si="66"/>
        <v>37240.677966101692</v>
      </c>
      <c r="AG63" s="57"/>
    </row>
    <row r="64" spans="1:33" x14ac:dyDescent="0.25">
      <c r="A64" s="53" t="s">
        <v>16</v>
      </c>
      <c r="B64" s="18">
        <f>'ABS Population by Age Range'!D73</f>
        <v>0.12142789925761971</v>
      </c>
      <c r="C64" s="22">
        <f t="shared" si="62"/>
        <v>3112682.7695698235</v>
      </c>
      <c r="D64" s="35">
        <f>'AU Infection Rate by Age'!E7</f>
        <v>0.16238902340597255</v>
      </c>
      <c r="E64" s="29"/>
      <c r="F64" s="22"/>
      <c r="G64" s="32">
        <f t="shared" ref="G64:AF64" si="67">G$26*$D$64</f>
        <v>5.0746569814366422</v>
      </c>
      <c r="H64" s="33">
        <f t="shared" si="67"/>
        <v>10.149313962873284</v>
      </c>
      <c r="I64" s="33">
        <f t="shared" si="67"/>
        <v>20.298627925746569</v>
      </c>
      <c r="J64" s="33">
        <f t="shared" si="67"/>
        <v>40.597255851493138</v>
      </c>
      <c r="K64" s="33">
        <f t="shared" si="67"/>
        <v>81.194511702986276</v>
      </c>
      <c r="L64" s="33">
        <f t="shared" si="67"/>
        <v>162.38902340597255</v>
      </c>
      <c r="M64" s="33">
        <f t="shared" si="67"/>
        <v>324.7780468119451</v>
      </c>
      <c r="N64" s="33">
        <f t="shared" si="67"/>
        <v>649.55609362389021</v>
      </c>
      <c r="O64" s="33">
        <f t="shared" si="67"/>
        <v>974.33414043583537</v>
      </c>
      <c r="P64" s="33">
        <f t="shared" si="67"/>
        <v>1071.7675544794188</v>
      </c>
      <c r="Q64" s="33">
        <f t="shared" si="67"/>
        <v>1169.2009685230023</v>
      </c>
      <c r="R64" s="33">
        <f t="shared" si="67"/>
        <v>1234.1565778853915</v>
      </c>
      <c r="S64" s="33">
        <f t="shared" si="67"/>
        <v>1266.6343825665858</v>
      </c>
      <c r="T64" s="33">
        <f t="shared" si="67"/>
        <v>1299.1121872477804</v>
      </c>
      <c r="U64" s="33">
        <f t="shared" si="67"/>
        <v>2598.2243744955608</v>
      </c>
      <c r="V64" s="33">
        <f t="shared" si="67"/>
        <v>5196.4487489911216</v>
      </c>
      <c r="W64" s="33">
        <f t="shared" si="67"/>
        <v>10392.897497982243</v>
      </c>
      <c r="X64" s="33">
        <f t="shared" si="67"/>
        <v>20785.794995964487</v>
      </c>
      <c r="Y64" s="33">
        <f t="shared" si="67"/>
        <v>41571.589991928973</v>
      </c>
      <c r="Z64" s="33">
        <f t="shared" si="67"/>
        <v>83143.179983857946</v>
      </c>
      <c r="AA64" s="33">
        <f t="shared" si="67"/>
        <v>166286.35996771589</v>
      </c>
      <c r="AB64" s="33">
        <f t="shared" si="67"/>
        <v>332572.71993543179</v>
      </c>
      <c r="AC64" s="33">
        <f t="shared" si="67"/>
        <v>665145.43987086357</v>
      </c>
      <c r="AD64" s="84">
        <f t="shared" si="67"/>
        <v>1330290.8797417271</v>
      </c>
      <c r="AE64" s="33">
        <f t="shared" si="67"/>
        <v>2660581.7594834543</v>
      </c>
      <c r="AF64" s="84">
        <f t="shared" si="67"/>
        <v>4162680.2259887005</v>
      </c>
      <c r="AG64" s="57"/>
    </row>
    <row r="65" spans="1:33" x14ac:dyDescent="0.25">
      <c r="A65" s="53"/>
      <c r="B65" s="18"/>
      <c r="C65" s="22"/>
      <c r="D65" s="20"/>
      <c r="E65" s="39">
        <f>'AU Infection Rate by Age'!F21</f>
        <v>1.9880715705765406E-3</v>
      </c>
      <c r="F65" s="22"/>
      <c r="G65" s="41">
        <f t="shared" ref="G65:AF65" si="68">G$26*$D$64*$E$65</f>
        <v>1.0088781275221951E-2</v>
      </c>
      <c r="H65" s="42">
        <f t="shared" si="68"/>
        <v>2.0177562550443902E-2</v>
      </c>
      <c r="I65" s="42">
        <f t="shared" si="68"/>
        <v>4.0355125100887804E-2</v>
      </c>
      <c r="J65" s="42">
        <f t="shared" si="68"/>
        <v>8.0710250201775607E-2</v>
      </c>
      <c r="K65" s="42">
        <f t="shared" si="68"/>
        <v>0.16142050040355121</v>
      </c>
      <c r="L65" s="42">
        <f t="shared" si="68"/>
        <v>0.32284100080710243</v>
      </c>
      <c r="M65" s="42">
        <f t="shared" si="68"/>
        <v>0.64568200161420486</v>
      </c>
      <c r="N65" s="42">
        <f t="shared" si="68"/>
        <v>1.2913640032284097</v>
      </c>
      <c r="O65" s="42">
        <f t="shared" si="68"/>
        <v>1.9370460048426148</v>
      </c>
      <c r="P65" s="42">
        <f t="shared" si="68"/>
        <v>2.1307506053268761</v>
      </c>
      <c r="Q65" s="42">
        <f t="shared" si="68"/>
        <v>2.3244552058111374</v>
      </c>
      <c r="R65" s="42">
        <f t="shared" si="68"/>
        <v>2.4535916061339789</v>
      </c>
      <c r="S65" s="42">
        <f t="shared" si="68"/>
        <v>2.5181598062953992</v>
      </c>
      <c r="T65" s="42">
        <f t="shared" si="68"/>
        <v>2.5827280064568194</v>
      </c>
      <c r="U65" s="42">
        <f t="shared" si="68"/>
        <v>5.1654560129136389</v>
      </c>
      <c r="V65" s="42">
        <f t="shared" si="68"/>
        <v>10.330912025827278</v>
      </c>
      <c r="W65" s="42">
        <f t="shared" si="68"/>
        <v>20.661824051654555</v>
      </c>
      <c r="X65" s="42">
        <f t="shared" si="68"/>
        <v>41.323648103309111</v>
      </c>
      <c r="Y65" s="42">
        <f t="shared" si="68"/>
        <v>82.647296206618222</v>
      </c>
      <c r="Z65" s="42">
        <f t="shared" si="68"/>
        <v>165.29459241323644</v>
      </c>
      <c r="AA65" s="42">
        <f t="shared" si="68"/>
        <v>330.58918482647289</v>
      </c>
      <c r="AB65" s="42">
        <f t="shared" si="68"/>
        <v>661.17836965294578</v>
      </c>
      <c r="AC65" s="42">
        <f t="shared" si="68"/>
        <v>1322.3567393058916</v>
      </c>
      <c r="AD65" s="83">
        <f t="shared" si="68"/>
        <v>2644.7134786117831</v>
      </c>
      <c r="AE65" s="42">
        <f t="shared" si="68"/>
        <v>5289.4269572235662</v>
      </c>
      <c r="AF65" s="83">
        <f t="shared" si="68"/>
        <v>8275.706214689264</v>
      </c>
      <c r="AG65" s="57"/>
    </row>
    <row r="66" spans="1:33" x14ac:dyDescent="0.25">
      <c r="A66" s="53" t="s">
        <v>17</v>
      </c>
      <c r="B66" s="18">
        <f>'ABS Population by Age Range'!D61</f>
        <v>0.12908272398046944</v>
      </c>
      <c r="C66" s="22">
        <f t="shared" si="62"/>
        <v>3308906.5465153535</v>
      </c>
      <c r="D66" s="35">
        <f>'AU Infection Rate by Age'!E8</f>
        <v>0.12671509281678772</v>
      </c>
      <c r="E66" s="29"/>
      <c r="F66" s="22"/>
      <c r="G66" s="32">
        <f t="shared" ref="G66:AF66" si="69">G$26*$D$66</f>
        <v>3.9598466505246162</v>
      </c>
      <c r="H66" s="33">
        <f t="shared" si="69"/>
        <v>7.9196933010492323</v>
      </c>
      <c r="I66" s="33">
        <f t="shared" si="69"/>
        <v>15.839386602098465</v>
      </c>
      <c r="J66" s="33">
        <f t="shared" si="69"/>
        <v>31.678773204196929</v>
      </c>
      <c r="K66" s="33">
        <f t="shared" si="69"/>
        <v>63.357546408393858</v>
      </c>
      <c r="L66" s="33">
        <f t="shared" si="69"/>
        <v>126.71509281678772</v>
      </c>
      <c r="M66" s="33">
        <f t="shared" si="69"/>
        <v>253.43018563357543</v>
      </c>
      <c r="N66" s="33">
        <f t="shared" si="69"/>
        <v>506.86037126715087</v>
      </c>
      <c r="O66" s="33">
        <f t="shared" si="69"/>
        <v>760.2905569007263</v>
      </c>
      <c r="P66" s="33">
        <f t="shared" si="69"/>
        <v>836.31961259079901</v>
      </c>
      <c r="Q66" s="33">
        <f t="shared" si="69"/>
        <v>912.34866828087161</v>
      </c>
      <c r="R66" s="33">
        <f t="shared" si="69"/>
        <v>963.03470540758667</v>
      </c>
      <c r="S66" s="33">
        <f t="shared" si="69"/>
        <v>988.3777239709442</v>
      </c>
      <c r="T66" s="33">
        <f t="shared" si="69"/>
        <v>1013.7207425343017</v>
      </c>
      <c r="U66" s="33">
        <f t="shared" si="69"/>
        <v>2027.4414850686035</v>
      </c>
      <c r="V66" s="33">
        <f t="shared" si="69"/>
        <v>4054.8829701372069</v>
      </c>
      <c r="W66" s="33">
        <f t="shared" si="69"/>
        <v>8109.7659402744139</v>
      </c>
      <c r="X66" s="33">
        <f t="shared" si="69"/>
        <v>16219.531880548828</v>
      </c>
      <c r="Y66" s="33">
        <f t="shared" si="69"/>
        <v>32439.063761097656</v>
      </c>
      <c r="Z66" s="33">
        <f t="shared" si="69"/>
        <v>64878.127522195311</v>
      </c>
      <c r="AA66" s="33">
        <f t="shared" si="69"/>
        <v>129756.25504439062</v>
      </c>
      <c r="AB66" s="33">
        <f t="shared" si="69"/>
        <v>259512.51008878124</v>
      </c>
      <c r="AC66" s="33">
        <f t="shared" si="69"/>
        <v>519025.02017756249</v>
      </c>
      <c r="AD66" s="84">
        <f t="shared" si="69"/>
        <v>1038050.040355125</v>
      </c>
      <c r="AE66" s="33">
        <f t="shared" si="69"/>
        <v>2076100.08071025</v>
      </c>
      <c r="AF66" s="84">
        <f t="shared" si="69"/>
        <v>3248214.6892655366</v>
      </c>
      <c r="AG66" s="57"/>
    </row>
    <row r="67" spans="1:33" x14ac:dyDescent="0.25">
      <c r="A67" s="53"/>
      <c r="B67" s="18"/>
      <c r="C67" s="22"/>
      <c r="D67" s="20"/>
      <c r="E67" s="39">
        <f>'AU Infection Rate by Age'!F22</f>
        <v>1.2738853503184713E-3</v>
      </c>
      <c r="F67" s="22"/>
      <c r="G67" s="41">
        <f t="shared" ref="G67:AF67" si="70">G$26*$D$66*$E$67</f>
        <v>5.0443906376109755E-3</v>
      </c>
      <c r="H67" s="42">
        <f t="shared" si="70"/>
        <v>1.0088781275221951E-2</v>
      </c>
      <c r="I67" s="42">
        <f t="shared" si="70"/>
        <v>2.0177562550443902E-2</v>
      </c>
      <c r="J67" s="42">
        <f t="shared" si="70"/>
        <v>4.0355125100887804E-2</v>
      </c>
      <c r="K67" s="42">
        <f t="shared" si="70"/>
        <v>8.0710250201775607E-2</v>
      </c>
      <c r="L67" s="42">
        <f t="shared" si="70"/>
        <v>0.16142050040355121</v>
      </c>
      <c r="M67" s="42">
        <f t="shared" si="70"/>
        <v>0.32284100080710243</v>
      </c>
      <c r="N67" s="42">
        <f t="shared" si="70"/>
        <v>0.64568200161420486</v>
      </c>
      <c r="O67" s="42">
        <f t="shared" si="70"/>
        <v>0.96852300242130729</v>
      </c>
      <c r="P67" s="42">
        <f t="shared" si="70"/>
        <v>1.0653753026634383</v>
      </c>
      <c r="Q67" s="42">
        <f t="shared" si="70"/>
        <v>1.1622276029055689</v>
      </c>
      <c r="R67" s="42">
        <f t="shared" si="70"/>
        <v>1.2267958030669894</v>
      </c>
      <c r="S67" s="42">
        <f t="shared" si="70"/>
        <v>1.2590799031476996</v>
      </c>
      <c r="T67" s="42">
        <f t="shared" si="70"/>
        <v>1.2913640032284097</v>
      </c>
      <c r="U67" s="42">
        <f t="shared" si="70"/>
        <v>2.5827280064568194</v>
      </c>
      <c r="V67" s="42">
        <f t="shared" si="70"/>
        <v>5.1654560129136389</v>
      </c>
      <c r="W67" s="42">
        <f t="shared" si="70"/>
        <v>10.330912025827278</v>
      </c>
      <c r="X67" s="42">
        <f t="shared" si="70"/>
        <v>20.661824051654555</v>
      </c>
      <c r="Y67" s="42">
        <f t="shared" si="70"/>
        <v>41.323648103309111</v>
      </c>
      <c r="Z67" s="42">
        <f t="shared" si="70"/>
        <v>82.647296206618222</v>
      </c>
      <c r="AA67" s="42">
        <f t="shared" si="70"/>
        <v>165.29459241323644</v>
      </c>
      <c r="AB67" s="42">
        <f t="shared" si="70"/>
        <v>330.58918482647289</v>
      </c>
      <c r="AC67" s="42">
        <f t="shared" si="70"/>
        <v>661.17836965294578</v>
      </c>
      <c r="AD67" s="83">
        <f t="shared" si="70"/>
        <v>1322.3567393058916</v>
      </c>
      <c r="AE67" s="42">
        <f t="shared" si="70"/>
        <v>2644.7134786117831</v>
      </c>
      <c r="AF67" s="83">
        <f t="shared" si="70"/>
        <v>4137.853107344632</v>
      </c>
      <c r="AG67" s="57"/>
    </row>
    <row r="68" spans="1:33" x14ac:dyDescent="0.25">
      <c r="A68" s="53" t="s">
        <v>18</v>
      </c>
      <c r="B68" s="18">
        <f>'ABS Population by Age Range'!D49</f>
        <v>0.14481341657950456</v>
      </c>
      <c r="C68" s="22">
        <f t="shared" si="62"/>
        <v>3712147.1205990198</v>
      </c>
      <c r="D68" s="35">
        <f>'AU Infection Rate by Age'!E9</f>
        <v>0.15835351089588379</v>
      </c>
      <c r="E68" s="29"/>
      <c r="F68" s="22"/>
      <c r="G68" s="32">
        <f t="shared" ref="G68:AF68" si="71">G$26*$D$68</f>
        <v>4.9485472154963688</v>
      </c>
      <c r="H68" s="33">
        <f t="shared" si="71"/>
        <v>9.8970944309927376</v>
      </c>
      <c r="I68" s="33">
        <f t="shared" si="71"/>
        <v>19.794188861985475</v>
      </c>
      <c r="J68" s="33">
        <f t="shared" si="71"/>
        <v>39.58837772397095</v>
      </c>
      <c r="K68" s="33">
        <f t="shared" si="71"/>
        <v>79.1767554479419</v>
      </c>
      <c r="L68" s="33">
        <f t="shared" si="71"/>
        <v>158.3535108958838</v>
      </c>
      <c r="M68" s="33">
        <f t="shared" si="71"/>
        <v>316.7070217917676</v>
      </c>
      <c r="N68" s="33">
        <f t="shared" si="71"/>
        <v>633.4140435835352</v>
      </c>
      <c r="O68" s="33">
        <f t="shared" si="71"/>
        <v>950.12106537530269</v>
      </c>
      <c r="P68" s="33">
        <f t="shared" si="71"/>
        <v>1045.1331719128329</v>
      </c>
      <c r="Q68" s="33">
        <f t="shared" si="71"/>
        <v>1140.1452784503633</v>
      </c>
      <c r="R68" s="33">
        <f t="shared" si="71"/>
        <v>1203.4866828087168</v>
      </c>
      <c r="S68" s="33">
        <f t="shared" si="71"/>
        <v>1235.1573849878935</v>
      </c>
      <c r="T68" s="33">
        <f t="shared" si="71"/>
        <v>1266.8280871670704</v>
      </c>
      <c r="U68" s="33">
        <f t="shared" si="71"/>
        <v>2533.6561743341408</v>
      </c>
      <c r="V68" s="33">
        <f t="shared" si="71"/>
        <v>5067.3123486682816</v>
      </c>
      <c r="W68" s="33">
        <f t="shared" si="71"/>
        <v>10134.624697336563</v>
      </c>
      <c r="X68" s="33">
        <f t="shared" si="71"/>
        <v>20269.249394673127</v>
      </c>
      <c r="Y68" s="33">
        <f t="shared" si="71"/>
        <v>40538.498789346253</v>
      </c>
      <c r="Z68" s="33">
        <f t="shared" si="71"/>
        <v>81076.997578692506</v>
      </c>
      <c r="AA68" s="33">
        <f t="shared" si="71"/>
        <v>162153.99515738501</v>
      </c>
      <c r="AB68" s="33">
        <f t="shared" si="71"/>
        <v>324307.99031477002</v>
      </c>
      <c r="AC68" s="33">
        <f t="shared" si="71"/>
        <v>648615.98062954005</v>
      </c>
      <c r="AD68" s="84">
        <f t="shared" si="71"/>
        <v>1297231.9612590801</v>
      </c>
      <c r="AE68" s="33">
        <f t="shared" si="71"/>
        <v>2594463.9225181602</v>
      </c>
      <c r="AF68" s="84">
        <f t="shared" si="71"/>
        <v>4059233.898305085</v>
      </c>
      <c r="AG68" s="57"/>
    </row>
    <row r="69" spans="1:33" x14ac:dyDescent="0.25">
      <c r="A69" s="53"/>
      <c r="B69" s="18"/>
      <c r="C69" s="22"/>
      <c r="D69" s="20"/>
      <c r="E69" s="39">
        <f>'AU Infection Rate by Age'!F23</f>
        <v>0</v>
      </c>
      <c r="F69" s="22"/>
      <c r="G69" s="41">
        <f t="shared" ref="G69:AF69" si="72">G$26*$D$68*$E$69</f>
        <v>0</v>
      </c>
      <c r="H69" s="42">
        <f t="shared" si="72"/>
        <v>0</v>
      </c>
      <c r="I69" s="42">
        <f t="shared" si="72"/>
        <v>0</v>
      </c>
      <c r="J69" s="42">
        <f t="shared" si="72"/>
        <v>0</v>
      </c>
      <c r="K69" s="42">
        <f t="shared" si="72"/>
        <v>0</v>
      </c>
      <c r="L69" s="42">
        <f t="shared" si="72"/>
        <v>0</v>
      </c>
      <c r="M69" s="42">
        <f t="shared" si="72"/>
        <v>0</v>
      </c>
      <c r="N69" s="42">
        <f t="shared" si="72"/>
        <v>0</v>
      </c>
      <c r="O69" s="42">
        <f t="shared" si="72"/>
        <v>0</v>
      </c>
      <c r="P69" s="42">
        <f t="shared" si="72"/>
        <v>0</v>
      </c>
      <c r="Q69" s="42">
        <f t="shared" si="72"/>
        <v>0</v>
      </c>
      <c r="R69" s="42">
        <f t="shared" si="72"/>
        <v>0</v>
      </c>
      <c r="S69" s="42">
        <f t="shared" si="72"/>
        <v>0</v>
      </c>
      <c r="T69" s="42">
        <f t="shared" si="72"/>
        <v>0</v>
      </c>
      <c r="U69" s="42">
        <f t="shared" si="72"/>
        <v>0</v>
      </c>
      <c r="V69" s="42">
        <f t="shared" si="72"/>
        <v>0</v>
      </c>
      <c r="W69" s="42">
        <f t="shared" si="72"/>
        <v>0</v>
      </c>
      <c r="X69" s="42">
        <f t="shared" si="72"/>
        <v>0</v>
      </c>
      <c r="Y69" s="42">
        <f t="shared" si="72"/>
        <v>0</v>
      </c>
      <c r="Z69" s="42">
        <f t="shared" si="72"/>
        <v>0</v>
      </c>
      <c r="AA69" s="42">
        <f t="shared" si="72"/>
        <v>0</v>
      </c>
      <c r="AB69" s="42">
        <f t="shared" si="72"/>
        <v>0</v>
      </c>
      <c r="AC69" s="42">
        <f t="shared" si="72"/>
        <v>0</v>
      </c>
      <c r="AD69" s="83">
        <f t="shared" si="72"/>
        <v>0</v>
      </c>
      <c r="AE69" s="42">
        <f t="shared" si="72"/>
        <v>0</v>
      </c>
      <c r="AF69" s="83">
        <f t="shared" si="72"/>
        <v>0</v>
      </c>
      <c r="AG69" s="57"/>
    </row>
    <row r="70" spans="1:33" x14ac:dyDescent="0.25">
      <c r="A70" s="53" t="s">
        <v>19</v>
      </c>
      <c r="B70" s="18">
        <f>'ABS Population by Age Range'!D37</f>
        <v>0.14458334093878666</v>
      </c>
      <c r="C70" s="22">
        <f t="shared" si="62"/>
        <v>3706249.3616248574</v>
      </c>
      <c r="D70" s="35">
        <f>'AU Infection Rate by Age'!E10</f>
        <v>0.1990314769975787</v>
      </c>
      <c r="E70" s="29"/>
      <c r="F70" s="22"/>
      <c r="G70" s="32">
        <f t="shared" ref="G70:AF70" si="73">G$26*$D$70</f>
        <v>6.2197336561743342</v>
      </c>
      <c r="H70" s="33">
        <f t="shared" si="73"/>
        <v>12.439467312348668</v>
      </c>
      <c r="I70" s="33">
        <f t="shared" si="73"/>
        <v>24.878934624697337</v>
      </c>
      <c r="J70" s="33">
        <f t="shared" si="73"/>
        <v>49.757869249394673</v>
      </c>
      <c r="K70" s="33">
        <f t="shared" si="73"/>
        <v>99.515738498789347</v>
      </c>
      <c r="L70" s="33">
        <f t="shared" si="73"/>
        <v>199.03147699757869</v>
      </c>
      <c r="M70" s="33">
        <f t="shared" si="73"/>
        <v>398.06295399515739</v>
      </c>
      <c r="N70" s="33">
        <f t="shared" si="73"/>
        <v>796.12590799031477</v>
      </c>
      <c r="O70" s="33">
        <f t="shared" si="73"/>
        <v>1194.1888619854722</v>
      </c>
      <c r="P70" s="33">
        <f t="shared" si="73"/>
        <v>1313.6077481840193</v>
      </c>
      <c r="Q70" s="33">
        <f t="shared" si="73"/>
        <v>1433.0266343825667</v>
      </c>
      <c r="R70" s="33">
        <f t="shared" si="73"/>
        <v>1512.639225181598</v>
      </c>
      <c r="S70" s="33">
        <f t="shared" si="73"/>
        <v>1552.4455205811139</v>
      </c>
      <c r="T70" s="33">
        <f t="shared" si="73"/>
        <v>1592.2518159806295</v>
      </c>
      <c r="U70" s="33">
        <f t="shared" si="73"/>
        <v>3184.5036319612591</v>
      </c>
      <c r="V70" s="33">
        <f t="shared" si="73"/>
        <v>6369.0072639225182</v>
      </c>
      <c r="W70" s="33">
        <f t="shared" si="73"/>
        <v>12738.014527845036</v>
      </c>
      <c r="X70" s="33">
        <f t="shared" si="73"/>
        <v>25476.029055690073</v>
      </c>
      <c r="Y70" s="33">
        <f t="shared" si="73"/>
        <v>50952.058111380145</v>
      </c>
      <c r="Z70" s="33">
        <f t="shared" si="73"/>
        <v>101904.11622276029</v>
      </c>
      <c r="AA70" s="33">
        <f t="shared" si="73"/>
        <v>203808.23244552058</v>
      </c>
      <c r="AB70" s="33">
        <f t="shared" si="73"/>
        <v>407616.46489104116</v>
      </c>
      <c r="AC70" s="33">
        <f t="shared" si="73"/>
        <v>815232.92978208233</v>
      </c>
      <c r="AD70" s="84">
        <f t="shared" si="73"/>
        <v>1630465.8595641647</v>
      </c>
      <c r="AE70" s="33">
        <f t="shared" si="73"/>
        <v>3260931.7191283293</v>
      </c>
      <c r="AF70" s="84">
        <f t="shared" si="73"/>
        <v>5101972.881355932</v>
      </c>
      <c r="AG70" s="57"/>
    </row>
    <row r="71" spans="1:33" x14ac:dyDescent="0.25">
      <c r="A71" s="53"/>
      <c r="B71" s="18"/>
      <c r="C71" s="22"/>
      <c r="D71" s="20"/>
      <c r="E71" s="39">
        <f>'AU Infection Rate by Age'!F24</f>
        <v>0</v>
      </c>
      <c r="F71" s="22"/>
      <c r="G71" s="41">
        <f t="shared" ref="G71:AF71" si="74">G$26*$D$70*$E$71</f>
        <v>0</v>
      </c>
      <c r="H71" s="42">
        <f t="shared" si="74"/>
        <v>0</v>
      </c>
      <c r="I71" s="42">
        <f t="shared" si="74"/>
        <v>0</v>
      </c>
      <c r="J71" s="42">
        <f t="shared" si="74"/>
        <v>0</v>
      </c>
      <c r="K71" s="42">
        <f t="shared" si="74"/>
        <v>0</v>
      </c>
      <c r="L71" s="42">
        <f t="shared" si="74"/>
        <v>0</v>
      </c>
      <c r="M71" s="42">
        <f t="shared" si="74"/>
        <v>0</v>
      </c>
      <c r="N71" s="42">
        <f t="shared" si="74"/>
        <v>0</v>
      </c>
      <c r="O71" s="42">
        <f t="shared" si="74"/>
        <v>0</v>
      </c>
      <c r="P71" s="42">
        <f t="shared" si="74"/>
        <v>0</v>
      </c>
      <c r="Q71" s="42">
        <f t="shared" si="74"/>
        <v>0</v>
      </c>
      <c r="R71" s="42">
        <f t="shared" si="74"/>
        <v>0</v>
      </c>
      <c r="S71" s="42">
        <f t="shared" si="74"/>
        <v>0</v>
      </c>
      <c r="T71" s="42">
        <f t="shared" si="74"/>
        <v>0</v>
      </c>
      <c r="U71" s="42">
        <f t="shared" si="74"/>
        <v>0</v>
      </c>
      <c r="V71" s="42">
        <f t="shared" si="74"/>
        <v>0</v>
      </c>
      <c r="W71" s="42">
        <f t="shared" si="74"/>
        <v>0</v>
      </c>
      <c r="X71" s="42">
        <f t="shared" si="74"/>
        <v>0</v>
      </c>
      <c r="Y71" s="42">
        <f t="shared" si="74"/>
        <v>0</v>
      </c>
      <c r="Z71" s="42">
        <f t="shared" si="74"/>
        <v>0</v>
      </c>
      <c r="AA71" s="42">
        <f t="shared" si="74"/>
        <v>0</v>
      </c>
      <c r="AB71" s="42">
        <f t="shared" si="74"/>
        <v>0</v>
      </c>
      <c r="AC71" s="42">
        <f t="shared" si="74"/>
        <v>0</v>
      </c>
      <c r="AD71" s="83">
        <f t="shared" si="74"/>
        <v>0</v>
      </c>
      <c r="AE71" s="42">
        <f t="shared" si="74"/>
        <v>0</v>
      </c>
      <c r="AF71" s="83">
        <f t="shared" si="74"/>
        <v>0</v>
      </c>
      <c r="AG71" s="57"/>
    </row>
    <row r="72" spans="1:33" x14ac:dyDescent="0.25">
      <c r="A72" s="54" t="s">
        <v>20</v>
      </c>
      <c r="B72" s="18">
        <f>'ABS Population by Age Range'!D25</f>
        <v>0.12056476079328157</v>
      </c>
      <c r="C72" s="22">
        <f t="shared" si="62"/>
        <v>3090557.0781749799</v>
      </c>
      <c r="D72" s="35">
        <f>'AU Infection Rate by Age'!E11</f>
        <v>3.0347054075867637E-2</v>
      </c>
      <c r="E72" s="29"/>
      <c r="F72" s="22"/>
      <c r="G72" s="32">
        <f t="shared" ref="G72:AF72" si="75">G$26*$D$72</f>
        <v>0.94834543987086362</v>
      </c>
      <c r="H72" s="33">
        <f t="shared" si="75"/>
        <v>1.8966908797417272</v>
      </c>
      <c r="I72" s="33">
        <f t="shared" si="75"/>
        <v>3.7933817594834545</v>
      </c>
      <c r="J72" s="33">
        <f t="shared" si="75"/>
        <v>7.5867635189669089</v>
      </c>
      <c r="K72" s="33">
        <f t="shared" si="75"/>
        <v>15.173527037933818</v>
      </c>
      <c r="L72" s="33">
        <f t="shared" si="75"/>
        <v>30.347054075867636</v>
      </c>
      <c r="M72" s="33">
        <f t="shared" si="75"/>
        <v>60.694108151735271</v>
      </c>
      <c r="N72" s="33">
        <f t="shared" si="75"/>
        <v>121.38821630347054</v>
      </c>
      <c r="O72" s="33">
        <f t="shared" si="75"/>
        <v>182.08232445520582</v>
      </c>
      <c r="P72" s="33">
        <f t="shared" si="75"/>
        <v>200.29055690072641</v>
      </c>
      <c r="Q72" s="33">
        <f t="shared" si="75"/>
        <v>218.49878934624698</v>
      </c>
      <c r="R72" s="33">
        <f t="shared" si="75"/>
        <v>230.63761097659403</v>
      </c>
      <c r="S72" s="33">
        <f t="shared" si="75"/>
        <v>236.70702179176757</v>
      </c>
      <c r="T72" s="33">
        <f t="shared" si="75"/>
        <v>242.77643260694109</v>
      </c>
      <c r="U72" s="33">
        <f t="shared" si="75"/>
        <v>485.55286521388217</v>
      </c>
      <c r="V72" s="33">
        <f t="shared" si="75"/>
        <v>971.10573042776434</v>
      </c>
      <c r="W72" s="33">
        <f t="shared" si="75"/>
        <v>1942.2114608555287</v>
      </c>
      <c r="X72" s="33">
        <f t="shared" si="75"/>
        <v>3884.4229217110574</v>
      </c>
      <c r="Y72" s="33">
        <f t="shared" si="75"/>
        <v>7768.8458434221147</v>
      </c>
      <c r="Z72" s="33">
        <f t="shared" si="75"/>
        <v>15537.691686844229</v>
      </c>
      <c r="AA72" s="33">
        <f t="shared" si="75"/>
        <v>31075.383373688459</v>
      </c>
      <c r="AB72" s="33">
        <f t="shared" si="75"/>
        <v>62150.766747376918</v>
      </c>
      <c r="AC72" s="33">
        <f t="shared" si="75"/>
        <v>124301.53349475384</v>
      </c>
      <c r="AD72" s="84">
        <f t="shared" si="75"/>
        <v>248603.06698950767</v>
      </c>
      <c r="AE72" s="33">
        <f t="shared" si="75"/>
        <v>497206.13397901534</v>
      </c>
      <c r="AF72" s="84">
        <f t="shared" si="75"/>
        <v>777916.38418079098</v>
      </c>
      <c r="AG72" s="57"/>
    </row>
    <row r="73" spans="1:33" x14ac:dyDescent="0.25">
      <c r="A73" s="54"/>
      <c r="B73" s="18"/>
      <c r="C73" s="22"/>
      <c r="D73" s="20"/>
      <c r="E73" s="39">
        <f>'AU Infection Rate by Age'!F25</f>
        <v>0</v>
      </c>
      <c r="F73" s="22"/>
      <c r="G73" s="41">
        <f t="shared" ref="G73:AF73" si="76">G$26*$D$72*$E$73</f>
        <v>0</v>
      </c>
      <c r="H73" s="42">
        <f t="shared" si="76"/>
        <v>0</v>
      </c>
      <c r="I73" s="42">
        <f t="shared" si="76"/>
        <v>0</v>
      </c>
      <c r="J73" s="42">
        <f t="shared" si="76"/>
        <v>0</v>
      </c>
      <c r="K73" s="42">
        <f t="shared" si="76"/>
        <v>0</v>
      </c>
      <c r="L73" s="42">
        <f t="shared" si="76"/>
        <v>0</v>
      </c>
      <c r="M73" s="42">
        <f t="shared" si="76"/>
        <v>0</v>
      </c>
      <c r="N73" s="42">
        <f t="shared" si="76"/>
        <v>0</v>
      </c>
      <c r="O73" s="42">
        <f t="shared" si="76"/>
        <v>0</v>
      </c>
      <c r="P73" s="42">
        <f t="shared" si="76"/>
        <v>0</v>
      </c>
      <c r="Q73" s="42">
        <f t="shared" si="76"/>
        <v>0</v>
      </c>
      <c r="R73" s="42">
        <f t="shared" si="76"/>
        <v>0</v>
      </c>
      <c r="S73" s="42">
        <f t="shared" si="76"/>
        <v>0</v>
      </c>
      <c r="T73" s="42">
        <f t="shared" si="76"/>
        <v>0</v>
      </c>
      <c r="U73" s="42">
        <f t="shared" si="76"/>
        <v>0</v>
      </c>
      <c r="V73" s="42">
        <f t="shared" si="76"/>
        <v>0</v>
      </c>
      <c r="W73" s="42">
        <f t="shared" si="76"/>
        <v>0</v>
      </c>
      <c r="X73" s="42">
        <f t="shared" si="76"/>
        <v>0</v>
      </c>
      <c r="Y73" s="42">
        <f t="shared" si="76"/>
        <v>0</v>
      </c>
      <c r="Z73" s="42">
        <f t="shared" si="76"/>
        <v>0</v>
      </c>
      <c r="AA73" s="42">
        <f t="shared" si="76"/>
        <v>0</v>
      </c>
      <c r="AB73" s="42">
        <f t="shared" si="76"/>
        <v>0</v>
      </c>
      <c r="AC73" s="42">
        <f t="shared" si="76"/>
        <v>0</v>
      </c>
      <c r="AD73" s="83">
        <f t="shared" si="76"/>
        <v>0</v>
      </c>
      <c r="AE73" s="42">
        <f t="shared" si="76"/>
        <v>0</v>
      </c>
      <c r="AF73" s="83">
        <f t="shared" si="76"/>
        <v>0</v>
      </c>
      <c r="AG73" s="57"/>
    </row>
    <row r="74" spans="1:33" x14ac:dyDescent="0.25">
      <c r="A74" s="54" t="s">
        <v>21</v>
      </c>
      <c r="B74" s="18">
        <f>'ABS Population by Age Range'!D13</f>
        <v>0.1255958322404806</v>
      </c>
      <c r="C74" s="22">
        <f t="shared" si="62"/>
        <v>3219523.5636524796</v>
      </c>
      <c r="D74" s="35">
        <f>'AU Infection Rate by Age'!E12</f>
        <v>1.1299435028248588E-2</v>
      </c>
      <c r="E74" s="29"/>
      <c r="F74" s="22"/>
      <c r="G74" s="32">
        <f t="shared" ref="G74:AF74" si="77">G$26*$D$74</f>
        <v>0.35310734463276838</v>
      </c>
      <c r="H74" s="33">
        <f t="shared" si="77"/>
        <v>0.70621468926553677</v>
      </c>
      <c r="I74" s="33">
        <f t="shared" si="77"/>
        <v>1.4124293785310735</v>
      </c>
      <c r="J74" s="33">
        <f t="shared" si="77"/>
        <v>2.8248587570621471</v>
      </c>
      <c r="K74" s="33">
        <f t="shared" si="77"/>
        <v>5.6497175141242941</v>
      </c>
      <c r="L74" s="33">
        <f t="shared" si="77"/>
        <v>11.299435028248588</v>
      </c>
      <c r="M74" s="33">
        <f t="shared" si="77"/>
        <v>22.598870056497177</v>
      </c>
      <c r="N74" s="33">
        <f t="shared" si="77"/>
        <v>45.197740112994353</v>
      </c>
      <c r="O74" s="33">
        <f t="shared" si="77"/>
        <v>67.79661016949153</v>
      </c>
      <c r="P74" s="33">
        <f t="shared" si="77"/>
        <v>74.576271186440678</v>
      </c>
      <c r="Q74" s="33">
        <f t="shared" si="77"/>
        <v>81.355932203389827</v>
      </c>
      <c r="R74" s="33">
        <f t="shared" si="77"/>
        <v>85.875706214689259</v>
      </c>
      <c r="S74" s="33">
        <f t="shared" si="77"/>
        <v>88.13559322033899</v>
      </c>
      <c r="T74" s="33">
        <f t="shared" si="77"/>
        <v>90.395480225988706</v>
      </c>
      <c r="U74" s="33">
        <f t="shared" si="77"/>
        <v>180.79096045197741</v>
      </c>
      <c r="V74" s="33">
        <f t="shared" si="77"/>
        <v>361.58192090395482</v>
      </c>
      <c r="W74" s="33">
        <f t="shared" si="77"/>
        <v>723.16384180790965</v>
      </c>
      <c r="X74" s="33">
        <f t="shared" si="77"/>
        <v>1446.3276836158193</v>
      </c>
      <c r="Y74" s="33">
        <f t="shared" si="77"/>
        <v>2892.6553672316386</v>
      </c>
      <c r="Z74" s="33">
        <f t="shared" si="77"/>
        <v>5785.3107344632772</v>
      </c>
      <c r="AA74" s="33">
        <f t="shared" si="77"/>
        <v>11570.621468926554</v>
      </c>
      <c r="AB74" s="33">
        <f t="shared" si="77"/>
        <v>23141.242937853109</v>
      </c>
      <c r="AC74" s="33">
        <f t="shared" si="77"/>
        <v>46282.485875706217</v>
      </c>
      <c r="AD74" s="84">
        <f t="shared" si="77"/>
        <v>92564.971751412435</v>
      </c>
      <c r="AE74" s="33">
        <f t="shared" si="77"/>
        <v>185129.94350282487</v>
      </c>
      <c r="AF74" s="84">
        <f t="shared" si="77"/>
        <v>289649.71751412429</v>
      </c>
      <c r="AG74" s="57"/>
    </row>
    <row r="75" spans="1:33" x14ac:dyDescent="0.25">
      <c r="A75" s="54"/>
      <c r="B75" s="19"/>
      <c r="C75" s="23"/>
      <c r="D75" s="38"/>
      <c r="E75" s="40">
        <f>'AU Infection Rate by Age'!F26</f>
        <v>0</v>
      </c>
      <c r="F75" s="22"/>
      <c r="G75" s="41">
        <f t="shared" ref="G75:AF75" si="78">G$26*$D$74*$E$75</f>
        <v>0</v>
      </c>
      <c r="H75" s="42">
        <f t="shared" si="78"/>
        <v>0</v>
      </c>
      <c r="I75" s="42">
        <f t="shared" si="78"/>
        <v>0</v>
      </c>
      <c r="J75" s="42">
        <f t="shared" si="78"/>
        <v>0</v>
      </c>
      <c r="K75" s="42">
        <f t="shared" si="78"/>
        <v>0</v>
      </c>
      <c r="L75" s="42">
        <f t="shared" si="78"/>
        <v>0</v>
      </c>
      <c r="M75" s="42">
        <f t="shared" si="78"/>
        <v>0</v>
      </c>
      <c r="N75" s="42">
        <f t="shared" si="78"/>
        <v>0</v>
      </c>
      <c r="O75" s="42">
        <f t="shared" si="78"/>
        <v>0</v>
      </c>
      <c r="P75" s="42">
        <f t="shared" si="78"/>
        <v>0</v>
      </c>
      <c r="Q75" s="42">
        <f t="shared" si="78"/>
        <v>0</v>
      </c>
      <c r="R75" s="42">
        <f t="shared" si="78"/>
        <v>0</v>
      </c>
      <c r="S75" s="42">
        <f t="shared" si="78"/>
        <v>0</v>
      </c>
      <c r="T75" s="42">
        <f t="shared" si="78"/>
        <v>0</v>
      </c>
      <c r="U75" s="42">
        <f t="shared" si="78"/>
        <v>0</v>
      </c>
      <c r="V75" s="42">
        <f t="shared" si="78"/>
        <v>0</v>
      </c>
      <c r="W75" s="42">
        <f t="shared" si="78"/>
        <v>0</v>
      </c>
      <c r="X75" s="42">
        <f t="shared" si="78"/>
        <v>0</v>
      </c>
      <c r="Y75" s="42">
        <f t="shared" si="78"/>
        <v>0</v>
      </c>
      <c r="Z75" s="42">
        <f t="shared" si="78"/>
        <v>0</v>
      </c>
      <c r="AA75" s="42">
        <f t="shared" si="78"/>
        <v>0</v>
      </c>
      <c r="AB75" s="42">
        <f t="shared" si="78"/>
        <v>0</v>
      </c>
      <c r="AC75" s="42">
        <f t="shared" si="78"/>
        <v>0</v>
      </c>
      <c r="AD75" s="83">
        <f t="shared" si="78"/>
        <v>0</v>
      </c>
      <c r="AE75" s="44">
        <f t="shared" si="78"/>
        <v>0</v>
      </c>
      <c r="AF75" s="85">
        <f t="shared" si="78"/>
        <v>0</v>
      </c>
      <c r="AG75" s="57"/>
    </row>
    <row r="76" spans="1:33" x14ac:dyDescent="0.25">
      <c r="A76" s="53" t="s">
        <v>131</v>
      </c>
      <c r="B76" s="26"/>
      <c r="C76" s="22"/>
      <c r="D76" s="22"/>
      <c r="E76" s="27"/>
      <c r="F76" s="22"/>
      <c r="G76" s="30">
        <f t="shared" ref="G76:AB76" si="79">SUM(G58,G60,G62,G64,G66,G68,G70,G72,G74)</f>
        <v>31.25</v>
      </c>
      <c r="H76" s="31">
        <f t="shared" si="79"/>
        <v>62.5</v>
      </c>
      <c r="I76" s="31">
        <f t="shared" si="79"/>
        <v>125</v>
      </c>
      <c r="J76" s="31">
        <f t="shared" si="79"/>
        <v>250</v>
      </c>
      <c r="K76" s="31">
        <f t="shared" si="79"/>
        <v>500</v>
      </c>
      <c r="L76" s="31">
        <f>SUM(L58,L60,L62,L64,L66,L68,L70,L72,L74)</f>
        <v>1000</v>
      </c>
      <c r="M76" s="31">
        <f t="shared" si="79"/>
        <v>2000</v>
      </c>
      <c r="N76" s="31">
        <f t="shared" si="79"/>
        <v>4000</v>
      </c>
      <c r="O76" s="31">
        <f t="shared" ref="O76:S76" si="80">SUM(O58,O60,O62,O64,O66,O68,O70,O72,O74)</f>
        <v>6000</v>
      </c>
      <c r="P76" s="31">
        <f t="shared" si="80"/>
        <v>6600</v>
      </c>
      <c r="Q76" s="31">
        <f t="shared" ref="Q76:R76" si="81">SUM(Q58,Q60,Q62,Q64,Q66,Q68,Q70,Q72,Q74)</f>
        <v>7200</v>
      </c>
      <c r="R76" s="31">
        <f t="shared" si="81"/>
        <v>7600.0000000000009</v>
      </c>
      <c r="S76" s="31">
        <f t="shared" si="80"/>
        <v>7799.9999999999982</v>
      </c>
      <c r="T76" s="31">
        <f t="shared" si="79"/>
        <v>8000</v>
      </c>
      <c r="U76" s="31">
        <f t="shared" si="79"/>
        <v>16000</v>
      </c>
      <c r="V76" s="31">
        <f t="shared" si="79"/>
        <v>32000</v>
      </c>
      <c r="W76" s="31">
        <f t="shared" si="79"/>
        <v>64000</v>
      </c>
      <c r="X76" s="31">
        <f t="shared" si="79"/>
        <v>128000</v>
      </c>
      <c r="Y76" s="31">
        <f t="shared" si="79"/>
        <v>256000</v>
      </c>
      <c r="Z76" s="31">
        <f t="shared" si="79"/>
        <v>512000</v>
      </c>
      <c r="AA76" s="31">
        <f t="shared" si="79"/>
        <v>1024000</v>
      </c>
      <c r="AB76" s="31">
        <f t="shared" si="79"/>
        <v>2048000</v>
      </c>
      <c r="AC76" s="31">
        <f t="shared" ref="AC76:AF77" si="82">SUM(AC58,AC60,AC62,AC64,AC66,AC68,AC70,AC72,AC74)</f>
        <v>4096000</v>
      </c>
      <c r="AD76" s="72">
        <f t="shared" si="82"/>
        <v>8192000</v>
      </c>
      <c r="AE76" s="31">
        <f t="shared" si="82"/>
        <v>16384000</v>
      </c>
      <c r="AF76" s="72">
        <f t="shared" si="82"/>
        <v>25633999.999999996</v>
      </c>
      <c r="AG76" s="57"/>
    </row>
    <row r="77" spans="1:33" x14ac:dyDescent="0.25">
      <c r="A77" s="55" t="s">
        <v>130</v>
      </c>
      <c r="B77" s="56"/>
      <c r="C77" s="23"/>
      <c r="D77" s="23"/>
      <c r="E77" s="50"/>
      <c r="F77" s="23"/>
      <c r="G77" s="43">
        <f>SUM(G59,G61,G63,G65,G67,G69,G71,G73,G75)</f>
        <v>0.48930589184826467</v>
      </c>
      <c r="H77" s="44">
        <f>SUM(H59,H61,H63,H65,H67,H69,H71,H73,H75)</f>
        <v>0.97861178369652935</v>
      </c>
      <c r="I77" s="44">
        <f t="shared" ref="I77:AB77" si="83">SUM(I59,I61,I63,I65,I67,I69,I71,I73,I75)</f>
        <v>1.9572235673930587</v>
      </c>
      <c r="J77" s="44">
        <f t="shared" si="83"/>
        <v>3.9144471347861174</v>
      </c>
      <c r="K77" s="44">
        <f t="shared" si="83"/>
        <v>7.8288942695722348</v>
      </c>
      <c r="L77" s="44">
        <f t="shared" si="83"/>
        <v>15.65778853914447</v>
      </c>
      <c r="M77" s="44">
        <f t="shared" si="83"/>
        <v>31.315577078288939</v>
      </c>
      <c r="N77" s="44">
        <f t="shared" si="83"/>
        <v>62.631154156577878</v>
      </c>
      <c r="O77" s="44">
        <f t="shared" ref="O77:S77" si="84">SUM(O59,O61,O63,O65,O67,O69,O71,O73,O75)</f>
        <v>93.946731234866817</v>
      </c>
      <c r="P77" s="44">
        <f>SUM(P59,P61,P63,P65,P67,P69,P71,P73,P75)</f>
        <v>103.34140435835351</v>
      </c>
      <c r="Q77" s="44">
        <f t="shared" ref="Q77:R77" si="85">SUM(Q59,Q61,Q63,Q65,Q67,Q69,Q71,Q73,Q75)</f>
        <v>112.7360774818402</v>
      </c>
      <c r="R77" s="44">
        <f t="shared" si="85"/>
        <v>118.99919289749799</v>
      </c>
      <c r="S77" s="44">
        <f t="shared" si="84"/>
        <v>122.13075060532688</v>
      </c>
      <c r="T77" s="44">
        <f t="shared" si="83"/>
        <v>125.26230831315576</v>
      </c>
      <c r="U77" s="44">
        <f t="shared" si="83"/>
        <v>250.52461662631151</v>
      </c>
      <c r="V77" s="44">
        <f t="shared" si="83"/>
        <v>501.04923325262303</v>
      </c>
      <c r="W77" s="44">
        <f t="shared" si="83"/>
        <v>1002.0984665052461</v>
      </c>
      <c r="X77" s="44">
        <f t="shared" si="83"/>
        <v>2004.1969330104921</v>
      </c>
      <c r="Y77" s="44">
        <f t="shared" si="83"/>
        <v>4008.3938660209842</v>
      </c>
      <c r="Z77" s="44">
        <f t="shared" si="83"/>
        <v>8016.7877320419684</v>
      </c>
      <c r="AA77" s="44">
        <f t="shared" si="83"/>
        <v>16033.575464083937</v>
      </c>
      <c r="AB77" s="44">
        <f t="shared" si="83"/>
        <v>32067.150928167874</v>
      </c>
      <c r="AC77" s="44">
        <f t="shared" si="82"/>
        <v>64134.301856335747</v>
      </c>
      <c r="AD77" s="85">
        <f t="shared" si="82"/>
        <v>128268.60371267149</v>
      </c>
      <c r="AE77" s="44">
        <f t="shared" si="82"/>
        <v>256537.20742534299</v>
      </c>
      <c r="AF77" s="85">
        <f t="shared" si="82"/>
        <v>401371.75141242938</v>
      </c>
      <c r="AG77" s="57"/>
    </row>
    <row r="78" spans="1:33" x14ac:dyDescent="0.25">
      <c r="A78" s="54"/>
      <c r="B78" s="26"/>
      <c r="C78" s="22"/>
      <c r="D78" s="22"/>
      <c r="E78" s="27"/>
      <c r="F78" s="22"/>
      <c r="G78" s="57"/>
      <c r="H78" s="57"/>
      <c r="I78" s="57"/>
      <c r="J78" s="57"/>
      <c r="K78" s="57"/>
      <c r="L78" s="57"/>
      <c r="M78" s="57"/>
      <c r="N78" s="57"/>
      <c r="O78" s="57"/>
      <c r="P78" s="57"/>
      <c r="Q78" s="57"/>
      <c r="R78" s="57"/>
      <c r="S78" s="57"/>
      <c r="T78" s="57"/>
      <c r="U78" s="57"/>
      <c r="V78" s="57"/>
      <c r="W78" s="57"/>
      <c r="X78" s="57"/>
      <c r="Y78" s="57"/>
      <c r="Z78" s="57"/>
      <c r="AA78" s="57"/>
      <c r="AB78" s="57"/>
      <c r="AC78" s="57"/>
    </row>
    <row r="79" spans="1:33" x14ac:dyDescent="0.25">
      <c r="A79" s="66" t="s">
        <v>142</v>
      </c>
      <c r="B79" s="26"/>
      <c r="C79" s="22"/>
      <c r="D79" s="22"/>
      <c r="E79" s="27"/>
      <c r="F79" s="22"/>
      <c r="G79" s="57"/>
      <c r="H79" s="57"/>
      <c r="I79" s="57"/>
      <c r="J79" s="57"/>
      <c r="K79" s="57"/>
      <c r="L79" s="57"/>
      <c r="M79" s="57"/>
      <c r="N79" s="57"/>
      <c r="O79" s="57"/>
      <c r="P79" s="57"/>
      <c r="Q79" s="57"/>
      <c r="R79" s="57"/>
      <c r="S79" s="57"/>
      <c r="T79" s="57"/>
      <c r="U79" s="57"/>
      <c r="V79" s="57"/>
      <c r="W79" s="57"/>
      <c r="X79" s="57"/>
      <c r="Y79" s="57"/>
      <c r="Z79" s="57"/>
      <c r="AA79" s="57"/>
      <c r="AB79" s="57"/>
      <c r="AC79" s="57"/>
    </row>
    <row r="80" spans="1:33" x14ac:dyDescent="0.25">
      <c r="A80" s="16"/>
      <c r="B80" s="21" t="s">
        <v>6</v>
      </c>
      <c r="C80" s="21" t="s">
        <v>4</v>
      </c>
      <c r="D80" s="21"/>
      <c r="E80" s="71" t="s">
        <v>3</v>
      </c>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17"/>
      <c r="AG80" s="59"/>
    </row>
    <row r="81" spans="1:33" x14ac:dyDescent="0.25">
      <c r="A81" s="53" t="s">
        <v>2</v>
      </c>
      <c r="B81" s="36">
        <v>0.05</v>
      </c>
      <c r="C81" s="22">
        <f>$B$13 * B81</f>
        <v>1281700</v>
      </c>
      <c r="D81" s="28"/>
      <c r="E81" s="28"/>
      <c r="F81" s="28"/>
      <c r="G81" s="30">
        <f t="shared" ref="G81:AF81" si="86">G$26*$B$81</f>
        <v>1.5625</v>
      </c>
      <c r="H81" s="31">
        <f t="shared" si="86"/>
        <v>3.125</v>
      </c>
      <c r="I81" s="31">
        <f t="shared" si="86"/>
        <v>6.25</v>
      </c>
      <c r="J81" s="31">
        <f t="shared" si="86"/>
        <v>12.5</v>
      </c>
      <c r="K81" s="31">
        <f t="shared" si="86"/>
        <v>25</v>
      </c>
      <c r="L81" s="31">
        <f t="shared" si="86"/>
        <v>50</v>
      </c>
      <c r="M81" s="31">
        <f t="shared" si="86"/>
        <v>100</v>
      </c>
      <c r="N81" s="31">
        <f t="shared" si="86"/>
        <v>200</v>
      </c>
      <c r="O81" s="31">
        <f t="shared" si="86"/>
        <v>300</v>
      </c>
      <c r="P81" s="31">
        <f t="shared" si="86"/>
        <v>330</v>
      </c>
      <c r="Q81" s="31">
        <f t="shared" si="86"/>
        <v>360</v>
      </c>
      <c r="R81" s="31">
        <f t="shared" si="86"/>
        <v>380</v>
      </c>
      <c r="S81" s="31">
        <f t="shared" si="86"/>
        <v>390</v>
      </c>
      <c r="T81" s="31">
        <f t="shared" si="86"/>
        <v>400</v>
      </c>
      <c r="U81" s="31">
        <f t="shared" si="86"/>
        <v>800</v>
      </c>
      <c r="V81" s="31">
        <f t="shared" si="86"/>
        <v>1600</v>
      </c>
      <c r="W81" s="31">
        <f t="shared" si="86"/>
        <v>3200</v>
      </c>
      <c r="X81" s="31">
        <f t="shared" si="86"/>
        <v>6400</v>
      </c>
      <c r="Y81" s="31">
        <f t="shared" si="86"/>
        <v>12800</v>
      </c>
      <c r="Z81" s="31">
        <f t="shared" si="86"/>
        <v>25600</v>
      </c>
      <c r="AA81" s="31">
        <f t="shared" si="86"/>
        <v>51200</v>
      </c>
      <c r="AB81" s="31">
        <f t="shared" si="86"/>
        <v>102400</v>
      </c>
      <c r="AC81" s="31">
        <f t="shared" si="86"/>
        <v>204800</v>
      </c>
      <c r="AD81" s="72">
        <f t="shared" si="86"/>
        <v>409600</v>
      </c>
      <c r="AE81" s="31">
        <f t="shared" si="86"/>
        <v>819200</v>
      </c>
      <c r="AF81" s="72">
        <f t="shared" si="86"/>
        <v>1281700</v>
      </c>
      <c r="AG81" s="57"/>
    </row>
    <row r="82" spans="1:33" x14ac:dyDescent="0.25">
      <c r="A82" s="53"/>
      <c r="B82" s="28"/>
      <c r="C82" s="28"/>
      <c r="D82" s="37"/>
      <c r="E82" s="58">
        <v>0.105</v>
      </c>
      <c r="F82" s="28"/>
      <c r="G82" s="41">
        <f>G81*$E$82</f>
        <v>0.1640625</v>
      </c>
      <c r="H82" s="42">
        <f t="shared" ref="H82:AB82" si="87">H81*$E$82</f>
        <v>0.328125</v>
      </c>
      <c r="I82" s="42">
        <f t="shared" si="87"/>
        <v>0.65625</v>
      </c>
      <c r="J82" s="42">
        <f t="shared" si="87"/>
        <v>1.3125</v>
      </c>
      <c r="K82" s="42">
        <f t="shared" si="87"/>
        <v>2.625</v>
      </c>
      <c r="L82" s="42">
        <f t="shared" si="87"/>
        <v>5.25</v>
      </c>
      <c r="M82" s="42">
        <f t="shared" si="87"/>
        <v>10.5</v>
      </c>
      <c r="N82" s="42">
        <f t="shared" si="87"/>
        <v>21</v>
      </c>
      <c r="O82" s="42">
        <f t="shared" ref="O82:S82" si="88">O81*$E$82</f>
        <v>31.5</v>
      </c>
      <c r="P82" s="42">
        <f t="shared" si="88"/>
        <v>34.65</v>
      </c>
      <c r="Q82" s="42">
        <f t="shared" ref="Q82:R82" si="89">Q81*$E$82</f>
        <v>37.799999999999997</v>
      </c>
      <c r="R82" s="42">
        <f t="shared" si="89"/>
        <v>39.9</v>
      </c>
      <c r="S82" s="42">
        <f t="shared" si="88"/>
        <v>40.949999999999996</v>
      </c>
      <c r="T82" s="42">
        <f t="shared" si="87"/>
        <v>42</v>
      </c>
      <c r="U82" s="42">
        <f t="shared" si="87"/>
        <v>84</v>
      </c>
      <c r="V82" s="42">
        <f t="shared" si="87"/>
        <v>168</v>
      </c>
      <c r="W82" s="42">
        <f t="shared" si="87"/>
        <v>336</v>
      </c>
      <c r="X82" s="42">
        <f t="shared" si="87"/>
        <v>672</v>
      </c>
      <c r="Y82" s="42">
        <f t="shared" si="87"/>
        <v>1344</v>
      </c>
      <c r="Z82" s="42">
        <f t="shared" si="87"/>
        <v>2688</v>
      </c>
      <c r="AA82" s="42">
        <f t="shared" si="87"/>
        <v>5376</v>
      </c>
      <c r="AB82" s="42">
        <f t="shared" si="87"/>
        <v>10752</v>
      </c>
      <c r="AC82" s="42">
        <f>AC81*$E$82</f>
        <v>21504</v>
      </c>
      <c r="AD82" s="83">
        <f>AD81*$E$82</f>
        <v>43008</v>
      </c>
      <c r="AE82" s="42">
        <f>AE81*$E$82</f>
        <v>86016</v>
      </c>
      <c r="AF82" s="83">
        <f>AF81*$E$82</f>
        <v>134578.5</v>
      </c>
      <c r="AG82" s="57"/>
    </row>
    <row r="83" spans="1:33" x14ac:dyDescent="0.25">
      <c r="A83" s="53" t="s">
        <v>5</v>
      </c>
      <c r="B83" s="36">
        <v>4.9000000000000002E-2</v>
      </c>
      <c r="C83" s="22">
        <f>$B$13 * B83</f>
        <v>1256066</v>
      </c>
      <c r="D83" s="59"/>
      <c r="E83" s="28"/>
      <c r="F83" s="28"/>
      <c r="G83" s="32">
        <f t="shared" ref="G83:AF83" si="90">G$26*$B$83</f>
        <v>1.53125</v>
      </c>
      <c r="H83" s="33">
        <f t="shared" si="90"/>
        <v>3.0625</v>
      </c>
      <c r="I83" s="33">
        <f t="shared" si="90"/>
        <v>6.125</v>
      </c>
      <c r="J83" s="33">
        <f t="shared" si="90"/>
        <v>12.25</v>
      </c>
      <c r="K83" s="33">
        <f t="shared" si="90"/>
        <v>24.5</v>
      </c>
      <c r="L83" s="33">
        <f t="shared" si="90"/>
        <v>49</v>
      </c>
      <c r="M83" s="33">
        <f t="shared" si="90"/>
        <v>98</v>
      </c>
      <c r="N83" s="33">
        <f t="shared" si="90"/>
        <v>196</v>
      </c>
      <c r="O83" s="33">
        <f t="shared" si="90"/>
        <v>294</v>
      </c>
      <c r="P83" s="33">
        <f t="shared" si="90"/>
        <v>323.40000000000003</v>
      </c>
      <c r="Q83" s="33">
        <f t="shared" si="90"/>
        <v>352.8</v>
      </c>
      <c r="R83" s="33">
        <f t="shared" si="90"/>
        <v>372.40000000000003</v>
      </c>
      <c r="S83" s="33">
        <f t="shared" si="90"/>
        <v>382.2</v>
      </c>
      <c r="T83" s="33">
        <f t="shared" si="90"/>
        <v>392</v>
      </c>
      <c r="U83" s="33">
        <f t="shared" si="90"/>
        <v>784</v>
      </c>
      <c r="V83" s="33">
        <f t="shared" si="90"/>
        <v>1568</v>
      </c>
      <c r="W83" s="33">
        <f t="shared" si="90"/>
        <v>3136</v>
      </c>
      <c r="X83" s="33">
        <f t="shared" si="90"/>
        <v>6272</v>
      </c>
      <c r="Y83" s="33">
        <f t="shared" si="90"/>
        <v>12544</v>
      </c>
      <c r="Z83" s="33">
        <f t="shared" si="90"/>
        <v>25088</v>
      </c>
      <c r="AA83" s="33">
        <f t="shared" si="90"/>
        <v>50176</v>
      </c>
      <c r="AB83" s="33">
        <f t="shared" si="90"/>
        <v>100352</v>
      </c>
      <c r="AC83" s="33">
        <f t="shared" si="90"/>
        <v>200704</v>
      </c>
      <c r="AD83" s="84">
        <f t="shared" si="90"/>
        <v>401408</v>
      </c>
      <c r="AE83" s="33">
        <f t="shared" si="90"/>
        <v>802816</v>
      </c>
      <c r="AF83" s="84">
        <f t="shared" si="90"/>
        <v>1256066</v>
      </c>
      <c r="AG83" s="57"/>
    </row>
    <row r="84" spans="1:33" x14ac:dyDescent="0.25">
      <c r="A84" s="53"/>
      <c r="B84" s="28"/>
      <c r="C84" s="28"/>
      <c r="D84" s="37"/>
      <c r="E84" s="58">
        <v>7.2999999999999995E-2</v>
      </c>
      <c r="F84" s="28"/>
      <c r="G84" s="41">
        <f t="shared" ref="G84:AB84" si="91">G83*$E$84</f>
        <v>0.11178125</v>
      </c>
      <c r="H84" s="42">
        <f t="shared" si="91"/>
        <v>0.2235625</v>
      </c>
      <c r="I84" s="42">
        <f t="shared" si="91"/>
        <v>0.44712499999999999</v>
      </c>
      <c r="J84" s="42">
        <f t="shared" si="91"/>
        <v>0.89424999999999999</v>
      </c>
      <c r="K84" s="42">
        <f t="shared" si="91"/>
        <v>1.7885</v>
      </c>
      <c r="L84" s="42">
        <f t="shared" si="91"/>
        <v>3.577</v>
      </c>
      <c r="M84" s="42">
        <f t="shared" si="91"/>
        <v>7.1539999999999999</v>
      </c>
      <c r="N84" s="42">
        <f t="shared" si="91"/>
        <v>14.308</v>
      </c>
      <c r="O84" s="42">
        <f t="shared" ref="O84:S84" si="92">O83*$E$84</f>
        <v>21.462</v>
      </c>
      <c r="P84" s="42">
        <f t="shared" si="92"/>
        <v>23.6082</v>
      </c>
      <c r="Q84" s="42">
        <f t="shared" ref="Q84:R84" si="93">Q83*$E$84</f>
        <v>25.7544</v>
      </c>
      <c r="R84" s="42">
        <f t="shared" si="93"/>
        <v>27.185200000000002</v>
      </c>
      <c r="S84" s="42">
        <f t="shared" si="92"/>
        <v>27.900599999999997</v>
      </c>
      <c r="T84" s="42">
        <f t="shared" si="91"/>
        <v>28.616</v>
      </c>
      <c r="U84" s="42">
        <f t="shared" si="91"/>
        <v>57.231999999999999</v>
      </c>
      <c r="V84" s="42">
        <f t="shared" si="91"/>
        <v>114.464</v>
      </c>
      <c r="W84" s="42">
        <f t="shared" si="91"/>
        <v>228.928</v>
      </c>
      <c r="X84" s="42">
        <f t="shared" si="91"/>
        <v>457.85599999999999</v>
      </c>
      <c r="Y84" s="42">
        <f t="shared" si="91"/>
        <v>915.71199999999999</v>
      </c>
      <c r="Z84" s="42">
        <f t="shared" si="91"/>
        <v>1831.424</v>
      </c>
      <c r="AA84" s="42">
        <f t="shared" si="91"/>
        <v>3662.848</v>
      </c>
      <c r="AB84" s="42">
        <f t="shared" si="91"/>
        <v>7325.6959999999999</v>
      </c>
      <c r="AC84" s="42">
        <f>AC83*$E$84</f>
        <v>14651.392</v>
      </c>
      <c r="AD84" s="83">
        <f>AD83*$E$84</f>
        <v>29302.784</v>
      </c>
      <c r="AE84" s="42">
        <f>AE83*$E$84</f>
        <v>58605.567999999999</v>
      </c>
      <c r="AF84" s="83">
        <f>AF83*$E$84</f>
        <v>91692.817999999999</v>
      </c>
      <c r="AG84" s="57"/>
    </row>
    <row r="85" spans="1:33" x14ac:dyDescent="0.25">
      <c r="A85" s="53" t="s">
        <v>7</v>
      </c>
      <c r="B85" s="36">
        <v>0.31</v>
      </c>
      <c r="C85" s="22">
        <f>$B$13 * B85</f>
        <v>7946540</v>
      </c>
      <c r="D85" s="59"/>
      <c r="E85" s="28"/>
      <c r="F85" s="28"/>
      <c r="G85" s="32">
        <f t="shared" ref="G85:AF85" si="94">G$26*$B$85</f>
        <v>9.6875</v>
      </c>
      <c r="H85" s="33">
        <f t="shared" si="94"/>
        <v>19.375</v>
      </c>
      <c r="I85" s="33">
        <f t="shared" si="94"/>
        <v>38.75</v>
      </c>
      <c r="J85" s="33">
        <f t="shared" si="94"/>
        <v>77.5</v>
      </c>
      <c r="K85" s="33">
        <f t="shared" si="94"/>
        <v>155</v>
      </c>
      <c r="L85" s="33">
        <f t="shared" si="94"/>
        <v>310</v>
      </c>
      <c r="M85" s="33">
        <f t="shared" si="94"/>
        <v>620</v>
      </c>
      <c r="N85" s="33">
        <f t="shared" si="94"/>
        <v>1240</v>
      </c>
      <c r="O85" s="33">
        <f t="shared" si="94"/>
        <v>1860</v>
      </c>
      <c r="P85" s="33">
        <f t="shared" si="94"/>
        <v>2046</v>
      </c>
      <c r="Q85" s="33">
        <f t="shared" si="94"/>
        <v>2232</v>
      </c>
      <c r="R85" s="33">
        <f t="shared" si="94"/>
        <v>2356</v>
      </c>
      <c r="S85" s="33">
        <f t="shared" si="94"/>
        <v>2418</v>
      </c>
      <c r="T85" s="33">
        <f t="shared" si="94"/>
        <v>2480</v>
      </c>
      <c r="U85" s="33">
        <f t="shared" si="94"/>
        <v>4960</v>
      </c>
      <c r="V85" s="33">
        <f t="shared" si="94"/>
        <v>9920</v>
      </c>
      <c r="W85" s="33">
        <f t="shared" si="94"/>
        <v>19840</v>
      </c>
      <c r="X85" s="33">
        <f t="shared" si="94"/>
        <v>39680</v>
      </c>
      <c r="Y85" s="33">
        <f t="shared" si="94"/>
        <v>79360</v>
      </c>
      <c r="Z85" s="33">
        <f t="shared" si="94"/>
        <v>158720</v>
      </c>
      <c r="AA85" s="33">
        <f t="shared" si="94"/>
        <v>317440</v>
      </c>
      <c r="AB85" s="33">
        <f t="shared" si="94"/>
        <v>634880</v>
      </c>
      <c r="AC85" s="33">
        <f t="shared" si="94"/>
        <v>1269760</v>
      </c>
      <c r="AD85" s="84">
        <f t="shared" si="94"/>
        <v>2539520</v>
      </c>
      <c r="AE85" s="33">
        <f t="shared" si="94"/>
        <v>5079040</v>
      </c>
      <c r="AF85" s="84">
        <f t="shared" si="94"/>
        <v>7946540</v>
      </c>
      <c r="AG85" s="57"/>
    </row>
    <row r="86" spans="1:33" x14ac:dyDescent="0.25">
      <c r="A86" s="53"/>
      <c r="B86" s="28"/>
      <c r="C86" s="28"/>
      <c r="D86" s="37"/>
      <c r="E86" s="58">
        <v>6.3E-2</v>
      </c>
      <c r="F86" s="28"/>
      <c r="G86" s="41">
        <f t="shared" ref="G86:AB86" si="95">G85*$E$86</f>
        <v>0.61031250000000004</v>
      </c>
      <c r="H86" s="42">
        <f t="shared" si="95"/>
        <v>1.2206250000000001</v>
      </c>
      <c r="I86" s="42">
        <f t="shared" si="95"/>
        <v>2.4412500000000001</v>
      </c>
      <c r="J86" s="42">
        <f t="shared" si="95"/>
        <v>4.8825000000000003</v>
      </c>
      <c r="K86" s="42">
        <f t="shared" si="95"/>
        <v>9.7650000000000006</v>
      </c>
      <c r="L86" s="42">
        <f t="shared" si="95"/>
        <v>19.53</v>
      </c>
      <c r="M86" s="42">
        <f t="shared" si="95"/>
        <v>39.06</v>
      </c>
      <c r="N86" s="42">
        <f t="shared" si="95"/>
        <v>78.12</v>
      </c>
      <c r="O86" s="42">
        <f t="shared" ref="O86:S86" si="96">O85*$E$86</f>
        <v>117.18</v>
      </c>
      <c r="P86" s="42">
        <f t="shared" si="96"/>
        <v>128.898</v>
      </c>
      <c r="Q86" s="42">
        <f t="shared" ref="Q86:R86" si="97">Q85*$E$86</f>
        <v>140.61600000000001</v>
      </c>
      <c r="R86" s="42">
        <f t="shared" si="97"/>
        <v>148.428</v>
      </c>
      <c r="S86" s="42">
        <f t="shared" si="96"/>
        <v>152.334</v>
      </c>
      <c r="T86" s="42">
        <f t="shared" si="95"/>
        <v>156.24</v>
      </c>
      <c r="U86" s="42">
        <f t="shared" si="95"/>
        <v>312.48</v>
      </c>
      <c r="V86" s="42">
        <f t="shared" si="95"/>
        <v>624.96</v>
      </c>
      <c r="W86" s="42">
        <f t="shared" si="95"/>
        <v>1249.92</v>
      </c>
      <c r="X86" s="42">
        <f t="shared" si="95"/>
        <v>2499.84</v>
      </c>
      <c r="Y86" s="42">
        <f t="shared" si="95"/>
        <v>4999.68</v>
      </c>
      <c r="Z86" s="42">
        <f t="shared" si="95"/>
        <v>9999.36</v>
      </c>
      <c r="AA86" s="42">
        <f t="shared" si="95"/>
        <v>19998.72</v>
      </c>
      <c r="AB86" s="42">
        <f t="shared" si="95"/>
        <v>39997.440000000002</v>
      </c>
      <c r="AC86" s="42">
        <f>AC85*$E$86</f>
        <v>79994.880000000005</v>
      </c>
      <c r="AD86" s="83">
        <f>AD85*$E$86</f>
        <v>159989.76000000001</v>
      </c>
      <c r="AE86" s="42">
        <f>AE85*$E$86</f>
        <v>319979.52000000002</v>
      </c>
      <c r="AF86" s="83">
        <f>AF85*$E$86</f>
        <v>500632.02</v>
      </c>
      <c r="AG86" s="57"/>
    </row>
    <row r="87" spans="1:33" x14ac:dyDescent="0.25">
      <c r="A87" s="53" t="s">
        <v>8</v>
      </c>
      <c r="B87" s="36">
        <v>0.106</v>
      </c>
      <c r="C87" s="22">
        <f>$B$13 * B87</f>
        <v>2717204</v>
      </c>
      <c r="D87" s="59"/>
      <c r="E87" s="28"/>
      <c r="F87" s="28"/>
      <c r="G87" s="32">
        <f t="shared" ref="G87:AF87" si="98">G$26*$B$87</f>
        <v>3.3125</v>
      </c>
      <c r="H87" s="33">
        <f t="shared" si="98"/>
        <v>6.625</v>
      </c>
      <c r="I87" s="33">
        <f t="shared" si="98"/>
        <v>13.25</v>
      </c>
      <c r="J87" s="33">
        <f t="shared" si="98"/>
        <v>26.5</v>
      </c>
      <c r="K87" s="33">
        <f t="shared" si="98"/>
        <v>53</v>
      </c>
      <c r="L87" s="33">
        <f t="shared" si="98"/>
        <v>106</v>
      </c>
      <c r="M87" s="33">
        <f t="shared" si="98"/>
        <v>212</v>
      </c>
      <c r="N87" s="33">
        <f t="shared" si="98"/>
        <v>424</v>
      </c>
      <c r="O87" s="33">
        <f t="shared" si="98"/>
        <v>636</v>
      </c>
      <c r="P87" s="33">
        <f t="shared" si="98"/>
        <v>699.6</v>
      </c>
      <c r="Q87" s="33">
        <f t="shared" si="98"/>
        <v>763.19999999999993</v>
      </c>
      <c r="R87" s="33">
        <f t="shared" si="98"/>
        <v>805.6</v>
      </c>
      <c r="S87" s="33">
        <f t="shared" si="98"/>
        <v>826.8</v>
      </c>
      <c r="T87" s="33">
        <f t="shared" si="98"/>
        <v>848</v>
      </c>
      <c r="U87" s="33">
        <f t="shared" si="98"/>
        <v>1696</v>
      </c>
      <c r="V87" s="33">
        <f t="shared" si="98"/>
        <v>3392</v>
      </c>
      <c r="W87" s="33">
        <f t="shared" si="98"/>
        <v>6784</v>
      </c>
      <c r="X87" s="33">
        <f t="shared" si="98"/>
        <v>13568</v>
      </c>
      <c r="Y87" s="33">
        <f t="shared" si="98"/>
        <v>27136</v>
      </c>
      <c r="Z87" s="33">
        <f t="shared" si="98"/>
        <v>54272</v>
      </c>
      <c r="AA87" s="33">
        <f t="shared" si="98"/>
        <v>108544</v>
      </c>
      <c r="AB87" s="33">
        <f t="shared" si="98"/>
        <v>217088</v>
      </c>
      <c r="AC87" s="33">
        <f t="shared" si="98"/>
        <v>434176</v>
      </c>
      <c r="AD87" s="84">
        <f t="shared" si="98"/>
        <v>868352</v>
      </c>
      <c r="AE87" s="33">
        <f t="shared" si="98"/>
        <v>1736704</v>
      </c>
      <c r="AF87" s="84">
        <f t="shared" si="98"/>
        <v>2717204</v>
      </c>
      <c r="AG87" s="57"/>
    </row>
    <row r="88" spans="1:33" x14ac:dyDescent="0.25">
      <c r="A88" s="53"/>
      <c r="B88" s="28"/>
      <c r="C88" s="28"/>
      <c r="D88" s="37"/>
      <c r="E88" s="58">
        <v>0.06</v>
      </c>
      <c r="F88" s="28"/>
      <c r="G88" s="41">
        <f t="shared" ref="G88:AB88" si="99">G87*$E$88</f>
        <v>0.19874999999999998</v>
      </c>
      <c r="H88" s="42">
        <f t="shared" si="99"/>
        <v>0.39749999999999996</v>
      </c>
      <c r="I88" s="42">
        <f t="shared" si="99"/>
        <v>0.79499999999999993</v>
      </c>
      <c r="J88" s="42">
        <f t="shared" si="99"/>
        <v>1.5899999999999999</v>
      </c>
      <c r="K88" s="42">
        <f t="shared" si="99"/>
        <v>3.1799999999999997</v>
      </c>
      <c r="L88" s="42">
        <f t="shared" si="99"/>
        <v>6.3599999999999994</v>
      </c>
      <c r="M88" s="42">
        <f t="shared" si="99"/>
        <v>12.719999999999999</v>
      </c>
      <c r="N88" s="42">
        <f t="shared" si="99"/>
        <v>25.439999999999998</v>
      </c>
      <c r="O88" s="42">
        <f t="shared" ref="O88:S88" si="100">O87*$E$88</f>
        <v>38.159999999999997</v>
      </c>
      <c r="P88" s="42">
        <f t="shared" si="100"/>
        <v>41.975999999999999</v>
      </c>
      <c r="Q88" s="42">
        <f t="shared" ref="Q88:R88" si="101">Q87*$E$88</f>
        <v>45.791999999999994</v>
      </c>
      <c r="R88" s="42">
        <f t="shared" si="101"/>
        <v>48.335999999999999</v>
      </c>
      <c r="S88" s="42">
        <f t="shared" si="100"/>
        <v>49.607999999999997</v>
      </c>
      <c r="T88" s="42">
        <f t="shared" si="99"/>
        <v>50.879999999999995</v>
      </c>
      <c r="U88" s="42">
        <f t="shared" si="99"/>
        <v>101.75999999999999</v>
      </c>
      <c r="V88" s="42">
        <f t="shared" si="99"/>
        <v>203.51999999999998</v>
      </c>
      <c r="W88" s="42">
        <f t="shared" si="99"/>
        <v>407.03999999999996</v>
      </c>
      <c r="X88" s="42">
        <f t="shared" si="99"/>
        <v>814.07999999999993</v>
      </c>
      <c r="Y88" s="42">
        <f t="shared" si="99"/>
        <v>1628.1599999999999</v>
      </c>
      <c r="Z88" s="42">
        <f t="shared" si="99"/>
        <v>3256.3199999999997</v>
      </c>
      <c r="AA88" s="42">
        <f t="shared" si="99"/>
        <v>6512.6399999999994</v>
      </c>
      <c r="AB88" s="42">
        <f t="shared" si="99"/>
        <v>13025.279999999999</v>
      </c>
      <c r="AC88" s="42">
        <f>AC87*$E$88</f>
        <v>26050.559999999998</v>
      </c>
      <c r="AD88" s="83">
        <f>AD87*$E$88</f>
        <v>52101.119999999995</v>
      </c>
      <c r="AE88" s="42">
        <f>AE87*$E$88</f>
        <v>104202.23999999999</v>
      </c>
      <c r="AF88" s="83">
        <f>AF87*$E$88</f>
        <v>163032.24</v>
      </c>
      <c r="AG88" s="57"/>
    </row>
    <row r="89" spans="1:33" x14ac:dyDescent="0.25">
      <c r="A89" s="53" t="s">
        <v>9</v>
      </c>
      <c r="B89" s="36">
        <v>1.7999999999999999E-2</v>
      </c>
      <c r="C89" s="22">
        <f>$B$13 * B89</f>
        <v>461411.99999999994</v>
      </c>
      <c r="D89" s="59"/>
      <c r="E89" s="28"/>
      <c r="F89" s="28"/>
      <c r="G89" s="32">
        <f t="shared" ref="G89:AF89" si="102">G$26*$B$89</f>
        <v>0.5625</v>
      </c>
      <c r="H89" s="33">
        <f t="shared" si="102"/>
        <v>1.125</v>
      </c>
      <c r="I89" s="33">
        <f t="shared" si="102"/>
        <v>2.25</v>
      </c>
      <c r="J89" s="33">
        <f t="shared" si="102"/>
        <v>4.5</v>
      </c>
      <c r="K89" s="33">
        <f t="shared" si="102"/>
        <v>9</v>
      </c>
      <c r="L89" s="33">
        <f t="shared" si="102"/>
        <v>18</v>
      </c>
      <c r="M89" s="33">
        <f t="shared" si="102"/>
        <v>36</v>
      </c>
      <c r="N89" s="33">
        <f t="shared" si="102"/>
        <v>72</v>
      </c>
      <c r="O89" s="33">
        <f t="shared" si="102"/>
        <v>107.99999999999999</v>
      </c>
      <c r="P89" s="33">
        <f t="shared" si="102"/>
        <v>118.8</v>
      </c>
      <c r="Q89" s="33">
        <f t="shared" si="102"/>
        <v>129.6</v>
      </c>
      <c r="R89" s="33">
        <f t="shared" si="102"/>
        <v>136.79999999999998</v>
      </c>
      <c r="S89" s="33">
        <f t="shared" si="102"/>
        <v>140.39999999999998</v>
      </c>
      <c r="T89" s="33">
        <f t="shared" si="102"/>
        <v>144</v>
      </c>
      <c r="U89" s="33">
        <f t="shared" si="102"/>
        <v>288</v>
      </c>
      <c r="V89" s="33">
        <f t="shared" si="102"/>
        <v>576</v>
      </c>
      <c r="W89" s="33">
        <f t="shared" si="102"/>
        <v>1152</v>
      </c>
      <c r="X89" s="33">
        <f t="shared" si="102"/>
        <v>2304</v>
      </c>
      <c r="Y89" s="33">
        <f t="shared" si="102"/>
        <v>4608</v>
      </c>
      <c r="Z89" s="33">
        <f t="shared" si="102"/>
        <v>9216</v>
      </c>
      <c r="AA89" s="33">
        <f t="shared" si="102"/>
        <v>18432</v>
      </c>
      <c r="AB89" s="33">
        <f t="shared" si="102"/>
        <v>36864</v>
      </c>
      <c r="AC89" s="33">
        <f t="shared" si="102"/>
        <v>73728</v>
      </c>
      <c r="AD89" s="84">
        <f t="shared" si="102"/>
        <v>147456</v>
      </c>
      <c r="AE89" s="33">
        <f t="shared" si="102"/>
        <v>294912</v>
      </c>
      <c r="AF89" s="84">
        <f t="shared" si="102"/>
        <v>461411.99999999994</v>
      </c>
      <c r="AG89" s="57"/>
    </row>
    <row r="90" spans="1:33" x14ac:dyDescent="0.25">
      <c r="A90" s="53"/>
      <c r="B90" s="28"/>
      <c r="C90" s="28"/>
      <c r="D90" s="37"/>
      <c r="E90" s="58">
        <v>5.6000000000000001E-2</v>
      </c>
      <c r="F90" s="28"/>
      <c r="G90" s="41">
        <f t="shared" ref="G90:AB90" si="103">G89*$E$90</f>
        <v>3.15E-2</v>
      </c>
      <c r="H90" s="42">
        <f t="shared" si="103"/>
        <v>6.3E-2</v>
      </c>
      <c r="I90" s="42">
        <f t="shared" si="103"/>
        <v>0.126</v>
      </c>
      <c r="J90" s="42">
        <f t="shared" si="103"/>
        <v>0.252</v>
      </c>
      <c r="K90" s="42">
        <f t="shared" si="103"/>
        <v>0.504</v>
      </c>
      <c r="L90" s="42">
        <f t="shared" si="103"/>
        <v>1.008</v>
      </c>
      <c r="M90" s="42">
        <f t="shared" si="103"/>
        <v>2.016</v>
      </c>
      <c r="N90" s="42">
        <f t="shared" si="103"/>
        <v>4.032</v>
      </c>
      <c r="O90" s="42">
        <f t="shared" ref="O90:S90" si="104">O89*$E$90</f>
        <v>6.0479999999999992</v>
      </c>
      <c r="P90" s="42">
        <f t="shared" si="104"/>
        <v>6.6528</v>
      </c>
      <c r="Q90" s="42">
        <f t="shared" ref="Q90:R90" si="105">Q89*$E$90</f>
        <v>7.2576000000000001</v>
      </c>
      <c r="R90" s="42">
        <f t="shared" si="105"/>
        <v>7.6607999999999992</v>
      </c>
      <c r="S90" s="42">
        <f t="shared" si="104"/>
        <v>7.8623999999999992</v>
      </c>
      <c r="T90" s="42">
        <f t="shared" si="103"/>
        <v>8.0640000000000001</v>
      </c>
      <c r="U90" s="42">
        <f t="shared" si="103"/>
        <v>16.128</v>
      </c>
      <c r="V90" s="42">
        <f t="shared" si="103"/>
        <v>32.256</v>
      </c>
      <c r="W90" s="42">
        <f t="shared" si="103"/>
        <v>64.512</v>
      </c>
      <c r="X90" s="42">
        <f t="shared" si="103"/>
        <v>129.024</v>
      </c>
      <c r="Y90" s="42">
        <f t="shared" si="103"/>
        <v>258.048</v>
      </c>
      <c r="Z90" s="42">
        <f t="shared" si="103"/>
        <v>516.096</v>
      </c>
      <c r="AA90" s="42">
        <f t="shared" si="103"/>
        <v>1032.192</v>
      </c>
      <c r="AB90" s="42">
        <f t="shared" si="103"/>
        <v>2064.384</v>
      </c>
      <c r="AC90" s="42">
        <f>AC89*$E$90</f>
        <v>4128.768</v>
      </c>
      <c r="AD90" s="83">
        <f>AD89*$E$90</f>
        <v>8257.5360000000001</v>
      </c>
      <c r="AE90" s="42">
        <f>AE89*$E$90</f>
        <v>16515.072</v>
      </c>
      <c r="AF90" s="83">
        <f>AF89*$E$90</f>
        <v>25839.071999999996</v>
      </c>
      <c r="AG90" s="57"/>
    </row>
    <row r="91" spans="1:33" x14ac:dyDescent="0.25">
      <c r="A91" s="53" t="s">
        <v>10</v>
      </c>
      <c r="B91" s="36">
        <v>0.152</v>
      </c>
      <c r="C91" s="22">
        <f>$B$13 * B91</f>
        <v>3896368</v>
      </c>
      <c r="D91" s="59"/>
      <c r="E91" s="28"/>
      <c r="F91" s="28"/>
      <c r="G91" s="32">
        <f t="shared" ref="G91:AF91" si="106">G$26*$B$91</f>
        <v>4.75</v>
      </c>
      <c r="H91" s="33">
        <f t="shared" si="106"/>
        <v>9.5</v>
      </c>
      <c r="I91" s="33">
        <f t="shared" si="106"/>
        <v>19</v>
      </c>
      <c r="J91" s="33">
        <f t="shared" si="106"/>
        <v>38</v>
      </c>
      <c r="K91" s="33">
        <f t="shared" si="106"/>
        <v>76</v>
      </c>
      <c r="L91" s="33">
        <f t="shared" si="106"/>
        <v>152</v>
      </c>
      <c r="M91" s="33">
        <f t="shared" si="106"/>
        <v>304</v>
      </c>
      <c r="N91" s="33">
        <f t="shared" si="106"/>
        <v>608</v>
      </c>
      <c r="O91" s="33">
        <f t="shared" si="106"/>
        <v>912</v>
      </c>
      <c r="P91" s="33">
        <f t="shared" si="106"/>
        <v>1003.1999999999999</v>
      </c>
      <c r="Q91" s="33">
        <f t="shared" si="106"/>
        <v>1094.3999999999999</v>
      </c>
      <c r="R91" s="33">
        <f t="shared" si="106"/>
        <v>1155.2</v>
      </c>
      <c r="S91" s="33">
        <f t="shared" si="106"/>
        <v>1185.5999999999999</v>
      </c>
      <c r="T91" s="33">
        <f t="shared" si="106"/>
        <v>1216</v>
      </c>
      <c r="U91" s="33">
        <f t="shared" si="106"/>
        <v>2432</v>
      </c>
      <c r="V91" s="33">
        <f t="shared" si="106"/>
        <v>4864</v>
      </c>
      <c r="W91" s="33">
        <f t="shared" si="106"/>
        <v>9728</v>
      </c>
      <c r="X91" s="33">
        <f t="shared" si="106"/>
        <v>19456</v>
      </c>
      <c r="Y91" s="33">
        <f t="shared" si="106"/>
        <v>38912</v>
      </c>
      <c r="Z91" s="33">
        <f t="shared" si="106"/>
        <v>77824</v>
      </c>
      <c r="AA91" s="33">
        <f t="shared" si="106"/>
        <v>155648</v>
      </c>
      <c r="AB91" s="33">
        <f t="shared" si="106"/>
        <v>311296</v>
      </c>
      <c r="AC91" s="33">
        <f t="shared" si="106"/>
        <v>622592</v>
      </c>
      <c r="AD91" s="84">
        <f t="shared" si="106"/>
        <v>1245184</v>
      </c>
      <c r="AE91" s="33">
        <f t="shared" si="106"/>
        <v>2490368</v>
      </c>
      <c r="AF91" s="84">
        <f t="shared" si="106"/>
        <v>3896368</v>
      </c>
      <c r="AG91" s="57"/>
    </row>
    <row r="92" spans="1:33" x14ac:dyDescent="0.25">
      <c r="A92" s="49"/>
      <c r="B92" s="51"/>
      <c r="C92" s="51"/>
      <c r="D92" s="67"/>
      <c r="E92" s="68" t="s">
        <v>11</v>
      </c>
      <c r="F92" s="51"/>
      <c r="G92" s="41" t="s">
        <v>11</v>
      </c>
      <c r="H92" s="42" t="s">
        <v>11</v>
      </c>
      <c r="I92" s="42" t="s">
        <v>11</v>
      </c>
      <c r="J92" s="42" t="s">
        <v>11</v>
      </c>
      <c r="K92" s="42" t="s">
        <v>11</v>
      </c>
      <c r="L92" s="42" t="s">
        <v>11</v>
      </c>
      <c r="M92" s="42" t="s">
        <v>11</v>
      </c>
      <c r="N92" s="42" t="s">
        <v>11</v>
      </c>
      <c r="O92" s="42" t="s">
        <v>11</v>
      </c>
      <c r="P92" s="42" t="s">
        <v>11</v>
      </c>
      <c r="Q92" s="42" t="s">
        <v>11</v>
      </c>
      <c r="R92" s="42" t="s">
        <v>11</v>
      </c>
      <c r="S92" s="42" t="s">
        <v>11</v>
      </c>
      <c r="T92" s="42" t="s">
        <v>11</v>
      </c>
      <c r="U92" s="42" t="s">
        <v>11</v>
      </c>
      <c r="V92" s="42" t="s">
        <v>11</v>
      </c>
      <c r="W92" s="42" t="s">
        <v>11</v>
      </c>
      <c r="X92" s="42" t="s">
        <v>11</v>
      </c>
      <c r="Y92" s="42" t="s">
        <v>11</v>
      </c>
      <c r="Z92" s="42" t="s">
        <v>11</v>
      </c>
      <c r="AA92" s="42" t="s">
        <v>11</v>
      </c>
      <c r="AB92" s="42" t="s">
        <v>11</v>
      </c>
      <c r="AC92" s="42" t="s">
        <v>11</v>
      </c>
      <c r="AD92" s="83" t="s">
        <v>11</v>
      </c>
      <c r="AE92" s="44" t="s">
        <v>11</v>
      </c>
      <c r="AF92" s="85" t="s">
        <v>11</v>
      </c>
      <c r="AG92" s="57"/>
    </row>
    <row r="93" spans="1:33" x14ac:dyDescent="0.25">
      <c r="A93" s="53"/>
      <c r="B93" s="28"/>
      <c r="C93" s="28"/>
      <c r="D93" s="59"/>
      <c r="E93" s="28"/>
      <c r="F93" s="28"/>
      <c r="G93" s="30">
        <f>SUM(G81,G83,G85,G87,G89,G91)</f>
        <v>21.40625</v>
      </c>
      <c r="H93" s="31">
        <f t="shared" ref="H93:AB93" si="107">SUM(H81,H83,H85,H87,H89,H91)</f>
        <v>42.8125</v>
      </c>
      <c r="I93" s="31">
        <f t="shared" si="107"/>
        <v>85.625</v>
      </c>
      <c r="J93" s="31">
        <f t="shared" si="107"/>
        <v>171.25</v>
      </c>
      <c r="K93" s="31">
        <f t="shared" si="107"/>
        <v>342.5</v>
      </c>
      <c r="L93" s="31">
        <f t="shared" si="107"/>
        <v>685</v>
      </c>
      <c r="M93" s="31">
        <f>SUM(M81,M83,M85,M87,M89,M91)</f>
        <v>1370</v>
      </c>
      <c r="N93" s="31">
        <f t="shared" si="107"/>
        <v>2740</v>
      </c>
      <c r="O93" s="31">
        <f t="shared" ref="O93:S93" si="108">SUM(O81,O83,O85,O87,O89,O91)</f>
        <v>4110</v>
      </c>
      <c r="P93" s="31">
        <f t="shared" si="108"/>
        <v>4521</v>
      </c>
      <c r="Q93" s="31">
        <f t="shared" ref="Q93:R93" si="109">SUM(Q81,Q83,Q85,Q87,Q89,Q91)</f>
        <v>4932</v>
      </c>
      <c r="R93" s="31">
        <f t="shared" si="109"/>
        <v>5206</v>
      </c>
      <c r="S93" s="31">
        <f t="shared" si="108"/>
        <v>5343</v>
      </c>
      <c r="T93" s="31">
        <f t="shared" si="107"/>
        <v>5480</v>
      </c>
      <c r="U93" s="31">
        <f t="shared" si="107"/>
        <v>10960</v>
      </c>
      <c r="V93" s="31">
        <f t="shared" si="107"/>
        <v>21920</v>
      </c>
      <c r="W93" s="31">
        <f t="shared" si="107"/>
        <v>43840</v>
      </c>
      <c r="X93" s="31">
        <f t="shared" si="107"/>
        <v>87680</v>
      </c>
      <c r="Y93" s="31">
        <f t="shared" si="107"/>
        <v>175360</v>
      </c>
      <c r="Z93" s="31">
        <f t="shared" si="107"/>
        <v>350720</v>
      </c>
      <c r="AA93" s="31">
        <f t="shared" si="107"/>
        <v>701440</v>
      </c>
      <c r="AB93" s="31">
        <f t="shared" si="107"/>
        <v>1402880</v>
      </c>
      <c r="AC93" s="31">
        <f t="shared" ref="AC93:AF94" si="110">SUM(AC81,AC83,AC85,AC87,AC89,AC91)</f>
        <v>2805760</v>
      </c>
      <c r="AD93" s="72">
        <f t="shared" si="110"/>
        <v>5611520</v>
      </c>
      <c r="AE93" s="33">
        <f t="shared" si="110"/>
        <v>11223040</v>
      </c>
      <c r="AF93" s="84">
        <f t="shared" si="110"/>
        <v>17559290</v>
      </c>
      <c r="AG93" s="57"/>
    </row>
    <row r="94" spans="1:33" x14ac:dyDescent="0.25">
      <c r="A94" s="49" t="s">
        <v>132</v>
      </c>
      <c r="B94" s="51"/>
      <c r="C94" s="51"/>
      <c r="D94" s="51"/>
      <c r="E94" s="51"/>
      <c r="F94" s="51"/>
      <c r="G94" s="43">
        <f>SUM(G82,G84,G86,G88,G90,G92)</f>
        <v>1.11640625</v>
      </c>
      <c r="H94" s="44">
        <f t="shared" ref="H94:AB94" si="111">SUM(H82,H84,H86,H88,H90,H92)</f>
        <v>2.2328125000000001</v>
      </c>
      <c r="I94" s="44">
        <f t="shared" si="111"/>
        <v>4.4656250000000002</v>
      </c>
      <c r="J94" s="44">
        <f t="shared" si="111"/>
        <v>8.9312500000000004</v>
      </c>
      <c r="K94" s="44">
        <f t="shared" si="111"/>
        <v>17.862500000000001</v>
      </c>
      <c r="L94" s="44">
        <f t="shared" si="111"/>
        <v>35.725000000000001</v>
      </c>
      <c r="M94" s="44">
        <f t="shared" si="111"/>
        <v>71.45</v>
      </c>
      <c r="N94" s="44">
        <f t="shared" si="111"/>
        <v>142.9</v>
      </c>
      <c r="O94" s="44">
        <f t="shared" ref="O94:S94" si="112">SUM(O82,O84,O86,O88,O90,O92)</f>
        <v>214.35</v>
      </c>
      <c r="P94" s="44">
        <f t="shared" si="112"/>
        <v>235.78500000000003</v>
      </c>
      <c r="Q94" s="44">
        <f t="shared" ref="Q94:R94" si="113">SUM(Q82,Q84,Q86,Q88,Q90,Q92)</f>
        <v>257.22000000000003</v>
      </c>
      <c r="R94" s="44">
        <f t="shared" si="113"/>
        <v>271.51</v>
      </c>
      <c r="S94" s="44">
        <f t="shared" si="112"/>
        <v>278.65499999999997</v>
      </c>
      <c r="T94" s="44">
        <f t="shared" si="111"/>
        <v>285.8</v>
      </c>
      <c r="U94" s="44">
        <f t="shared" si="111"/>
        <v>571.6</v>
      </c>
      <c r="V94" s="44">
        <f t="shared" si="111"/>
        <v>1143.2</v>
      </c>
      <c r="W94" s="44">
        <f t="shared" si="111"/>
        <v>2286.4</v>
      </c>
      <c r="X94" s="44">
        <f t="shared" si="111"/>
        <v>4572.8</v>
      </c>
      <c r="Y94" s="44">
        <f t="shared" si="111"/>
        <v>9145.6</v>
      </c>
      <c r="Z94" s="44">
        <f t="shared" si="111"/>
        <v>18291.2</v>
      </c>
      <c r="AA94" s="44">
        <f t="shared" si="111"/>
        <v>36582.400000000001</v>
      </c>
      <c r="AB94" s="44">
        <f t="shared" si="111"/>
        <v>73164.800000000003</v>
      </c>
      <c r="AC94" s="44">
        <f t="shared" si="110"/>
        <v>146329.60000000001</v>
      </c>
      <c r="AD94" s="85">
        <f t="shared" si="110"/>
        <v>292659.20000000001</v>
      </c>
      <c r="AE94" s="44">
        <f t="shared" si="110"/>
        <v>585318.40000000002</v>
      </c>
      <c r="AF94" s="85">
        <f t="shared" si="110"/>
        <v>915774.65</v>
      </c>
      <c r="AG94" s="57"/>
    </row>
  </sheetData>
  <conditionalFormatting sqref="AE37:AG37 G37:AC37">
    <cfRule type="cellIs" dxfId="28" priority="36" operator="greaterThan">
      <formula>$C$16</formula>
    </cfRule>
  </conditionalFormatting>
  <conditionalFormatting sqref="AE39:AF39 G39:AC39">
    <cfRule type="cellIs" dxfId="27" priority="35" operator="greaterThan">
      <formula>$C$17</formula>
    </cfRule>
  </conditionalFormatting>
  <conditionalFormatting sqref="G58:AF58">
    <cfRule type="cellIs" dxfId="26" priority="34" operator="greaterThan">
      <formula>$C$58</formula>
    </cfRule>
  </conditionalFormatting>
  <conditionalFormatting sqref="G60:AF60">
    <cfRule type="cellIs" dxfId="25" priority="33" operator="greaterThan">
      <formula>$C$60</formula>
    </cfRule>
  </conditionalFormatting>
  <conditionalFormatting sqref="G62:AF62">
    <cfRule type="cellIs" dxfId="24" priority="32" operator="greaterThan">
      <formula>$C$62</formula>
    </cfRule>
  </conditionalFormatting>
  <conditionalFormatting sqref="G64:AF64">
    <cfRule type="cellIs" dxfId="23" priority="24" operator="greaterThan">
      <formula>$C$64</formula>
    </cfRule>
  </conditionalFormatting>
  <conditionalFormatting sqref="G66:AF66">
    <cfRule type="cellIs" dxfId="22" priority="23" operator="greaterThan">
      <formula>$C$66</formula>
    </cfRule>
  </conditionalFormatting>
  <conditionalFormatting sqref="G68:AF68">
    <cfRule type="cellIs" dxfId="21" priority="22" operator="greaterThan">
      <formula>$C$68</formula>
    </cfRule>
  </conditionalFormatting>
  <conditionalFormatting sqref="G70:AF70">
    <cfRule type="cellIs" dxfId="20" priority="21" operator="greaterThan">
      <formula>$C$70</formula>
    </cfRule>
  </conditionalFormatting>
  <conditionalFormatting sqref="G72:AF72">
    <cfRule type="cellIs" dxfId="19" priority="20" operator="greaterThan">
      <formula>$C$72</formula>
    </cfRule>
  </conditionalFormatting>
  <conditionalFormatting sqref="G74:AF74">
    <cfRule type="cellIs" dxfId="18" priority="19" operator="greaterThan">
      <formula>$C$74</formula>
    </cfRule>
  </conditionalFormatting>
  <conditionalFormatting sqref="AE28:AF28 G28:AC28">
    <cfRule type="cellIs" dxfId="17" priority="18" operator="equal">
      <formula>0</formula>
    </cfRule>
  </conditionalFormatting>
  <conditionalFormatting sqref="AE35 G35:AC35 G37:AC37 H39:AC39">
    <cfRule type="cellIs" dxfId="16" priority="17" operator="equal">
      <formula>0</formula>
    </cfRule>
  </conditionalFormatting>
  <conditionalFormatting sqref="AE37:AF37">
    <cfRule type="cellIs" dxfId="15" priority="16" operator="equal">
      <formula>0</formula>
    </cfRule>
  </conditionalFormatting>
  <conditionalFormatting sqref="AE39:AF39">
    <cfRule type="cellIs" dxfId="14" priority="15" operator="equal">
      <formula>0</formula>
    </cfRule>
  </conditionalFormatting>
  <conditionalFormatting sqref="D60">
    <cfRule type="cellIs" dxfId="13" priority="14" operator="greaterThan">
      <formula>$B$60</formula>
    </cfRule>
  </conditionalFormatting>
  <conditionalFormatting sqref="D62">
    <cfRule type="cellIs" dxfId="12" priority="13" operator="greaterThan">
      <formula>$B$62</formula>
    </cfRule>
  </conditionalFormatting>
  <conditionalFormatting sqref="D64">
    <cfRule type="cellIs" dxfId="11" priority="12" operator="greaterThan">
      <formula>$B$64</formula>
    </cfRule>
  </conditionalFormatting>
  <conditionalFormatting sqref="D66">
    <cfRule type="cellIs" dxfId="10" priority="11" operator="greaterThan">
      <formula>$B$66</formula>
    </cfRule>
  </conditionalFormatting>
  <conditionalFormatting sqref="D68">
    <cfRule type="cellIs" dxfId="9" priority="10" operator="greaterThan">
      <formula>$B$68</formula>
    </cfRule>
  </conditionalFormatting>
  <conditionalFormatting sqref="D70">
    <cfRule type="cellIs" dxfId="8" priority="9" operator="greaterThan">
      <formula>$B$70</formula>
    </cfRule>
  </conditionalFormatting>
  <conditionalFormatting sqref="D72">
    <cfRule type="cellIs" dxfId="7" priority="8" operator="greaterThan">
      <formula>$B$72</formula>
    </cfRule>
  </conditionalFormatting>
  <conditionalFormatting sqref="D74">
    <cfRule type="cellIs" dxfId="6" priority="7" operator="greaterThan">
      <formula>$B$74</formula>
    </cfRule>
  </conditionalFormatting>
  <conditionalFormatting sqref="AD37">
    <cfRule type="cellIs" dxfId="5" priority="6" operator="greaterThan">
      <formula>$C$16</formula>
    </cfRule>
  </conditionalFormatting>
  <conditionalFormatting sqref="AD39">
    <cfRule type="cellIs" dxfId="4" priority="5" operator="greaterThan">
      <formula>$C$17</formula>
    </cfRule>
  </conditionalFormatting>
  <conditionalFormatting sqref="AD28">
    <cfRule type="cellIs" dxfId="3" priority="4" operator="equal">
      <formula>0</formula>
    </cfRule>
  </conditionalFormatting>
  <conditionalFormatting sqref="AD35">
    <cfRule type="cellIs" dxfId="2" priority="3" operator="equal">
      <formula>0</formula>
    </cfRule>
  </conditionalFormatting>
  <conditionalFormatting sqref="AD37">
    <cfRule type="cellIs" dxfId="1" priority="2" operator="equal">
      <formula>0</formula>
    </cfRule>
  </conditionalFormatting>
  <conditionalFormatting sqref="AD39">
    <cfRule type="cellIs" dxfId="0" priority="1" operator="equal">
      <formula>0</formula>
    </cfRule>
  </conditionalFormatting>
  <hyperlinks>
    <hyperlink ref="D57" r:id="rId1" xr:uid="{98D6456F-EA03-4FCB-8D3D-1822F6B38CCF}"/>
    <hyperlink ref="E57" r:id="rId2" location="case-fatality-rate-of-covid-19-by-age" xr:uid="{0058192C-B05A-45D2-8597-C1F9B3D9241E}"/>
    <hyperlink ref="E80" r:id="rId3" location="case-fatality-rate-of-covid-19-by-preexisting-health-conditions" xr:uid="{110A2613-24A6-4768-B90C-571B307D13E2}"/>
    <hyperlink ref="B13" r:id="rId4" display="https://www.abs.gov.au/ausstats/abs@.nsf/0/1647509ef7e25faaca2568a900154b63?opendocument" xr:uid="{63727E5E-0850-4414-8DD8-E50A09A5AEE8}"/>
    <hyperlink ref="B57" r:id="rId5" xr:uid="{E432DB14-5D35-4B35-8F24-1C070D7F22B3}"/>
    <hyperlink ref="B14" r:id="rId6" display="https://cmmid.github.io/topics/covid19/severity/global_cfr_estimates.html" xr:uid="{49B36C88-7FC3-4DAA-BBA5-EABFD6685804}"/>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E6" sqref="E6:F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221</v>
      </c>
      <c r="C3" s="179">
        <f>Projections!B13</f>
        <v>25634000</v>
      </c>
      <c r="J3" s="2"/>
    </row>
    <row r="4" spans="2:10" x14ac:dyDescent="0.25">
      <c r="B4" s="195" t="s">
        <v>239</v>
      </c>
      <c r="C4" s="179">
        <v>32</v>
      </c>
      <c r="J4" s="2"/>
    </row>
    <row r="5" spans="2:10" x14ac:dyDescent="0.25">
      <c r="B5" s="195" t="s">
        <v>240</v>
      </c>
      <c r="C5" s="177">
        <v>43892</v>
      </c>
      <c r="J5" s="2"/>
    </row>
    <row r="6" spans="2:10" x14ac:dyDescent="0.25">
      <c r="B6" s="195" t="s">
        <v>222</v>
      </c>
      <c r="C6" s="179">
        <v>6913</v>
      </c>
    </row>
    <row r="7" spans="2:10" x14ac:dyDescent="0.25">
      <c r="B7" s="195" t="s">
        <v>224</v>
      </c>
      <c r="C7" s="177">
        <f ca="1">NOW()</f>
        <v>43959.754608101852</v>
      </c>
    </row>
    <row r="8" spans="2:10" x14ac:dyDescent="0.25">
      <c r="B8" s="195" t="s">
        <v>241</v>
      </c>
      <c r="C8" s="178">
        <f ca="1">C7-C5</f>
        <v>67.754608101851773</v>
      </c>
    </row>
    <row r="9" spans="2:10" x14ac:dyDescent="0.25">
      <c r="B9" s="195" t="s">
        <v>223</v>
      </c>
      <c r="C9" s="180">
        <f ca="1">C8/(LOG(C6/C4)/LOG(2))</f>
        <v>8.7367849817001826</v>
      </c>
      <c r="D9" t="s">
        <v>197</v>
      </c>
      <c r="F9" t="s">
        <v>242</v>
      </c>
    </row>
    <row r="10" spans="2:10" x14ac:dyDescent="0.25">
      <c r="B10" s="195" t="s">
        <v>228</v>
      </c>
      <c r="C10" s="179">
        <f>Projections!C16</f>
        <v>66648.400000000009</v>
      </c>
    </row>
    <row r="11" spans="2:10" x14ac:dyDescent="0.25">
      <c r="B11" s="196" t="s">
        <v>229</v>
      </c>
      <c r="C11" s="184">
        <f>Projections!C17</f>
        <v>1896.9159999999999</v>
      </c>
    </row>
    <row r="12" spans="2:10" s="81" customFormat="1" x14ac:dyDescent="0.25">
      <c r="B12" s="74" t="s">
        <v>276</v>
      </c>
      <c r="C12" s="185">
        <f>C6/Projections!B14</f>
        <v>8534.5679012345681</v>
      </c>
    </row>
    <row r="13" spans="2:10" s="81" customFormat="1" x14ac:dyDescent="0.25">
      <c r="B13" s="60" t="s">
        <v>277</v>
      </c>
      <c r="C13" s="186">
        <f ca="1">(C4/Projections!B14)*(2^(((C7-21)-C5)/C9))</f>
        <v>1612.9345963957389</v>
      </c>
    </row>
    <row r="14" spans="2:10" s="81" customFormat="1" x14ac:dyDescent="0.25">
      <c r="B14" s="61" t="s">
        <v>278</v>
      </c>
      <c r="C14" s="165">
        <f ca="1">C12-C13</f>
        <v>6921.6333048388296</v>
      </c>
      <c r="E14" s="182"/>
      <c r="F14" s="183" t="s">
        <v>246</v>
      </c>
      <c r="G14" s="181"/>
    </row>
    <row r="15" spans="2:10" x14ac:dyDescent="0.25">
      <c r="B15" s="16" t="s">
        <v>243</v>
      </c>
      <c r="C15" s="76">
        <f>C6*Projections!B18</f>
        <v>6359.96</v>
      </c>
      <c r="I15" s="176"/>
    </row>
    <row r="16" spans="2:10" x14ac:dyDescent="0.25">
      <c r="B16" s="53" t="s">
        <v>253</v>
      </c>
      <c r="C16" s="95">
        <f ca="1">(C4*Projections!B18)*(2^(((C7-21)-C5)/C9))</f>
        <v>1201.9588612341047</v>
      </c>
      <c r="I16" s="176"/>
    </row>
    <row r="17" spans="2:9" x14ac:dyDescent="0.25">
      <c r="B17" s="53" t="s">
        <v>244</v>
      </c>
      <c r="C17" s="95">
        <f ca="1">C15-C16</f>
        <v>5158.0011387658951</v>
      </c>
      <c r="F17" t="s">
        <v>247</v>
      </c>
      <c r="I17" s="176"/>
    </row>
    <row r="18" spans="2:9" x14ac:dyDescent="0.25">
      <c r="B18" s="16" t="s">
        <v>249</v>
      </c>
      <c r="C18" s="76">
        <f>C6*Projections!B19</f>
        <v>345.65000000000003</v>
      </c>
    </row>
    <row r="19" spans="2:9" x14ac:dyDescent="0.25">
      <c r="B19" s="53" t="s">
        <v>254</v>
      </c>
      <c r="C19" s="95">
        <f ca="1">(C4*Projections!B19)*(2^(((C7-49)-C5)/C9))</f>
        <v>7.0846555437715741</v>
      </c>
    </row>
    <row r="20" spans="2:9" x14ac:dyDescent="0.25">
      <c r="B20" s="53" t="s">
        <v>248</v>
      </c>
      <c r="C20" s="95">
        <f ca="1">C18-C19</f>
        <v>338.56534445622844</v>
      </c>
      <c r="F20" t="s">
        <v>252</v>
      </c>
    </row>
    <row r="21" spans="2:9" x14ac:dyDescent="0.25">
      <c r="B21" s="16" t="s">
        <v>250</v>
      </c>
      <c r="C21" s="76">
        <f>C6*Projections!B20</f>
        <v>207.39</v>
      </c>
      <c r="I21" s="176"/>
    </row>
    <row r="22" spans="2:9" x14ac:dyDescent="0.25">
      <c r="B22" s="53" t="s">
        <v>255</v>
      </c>
      <c r="C22" s="95">
        <f ca="1">(C4*Projections!B20)*(2^(((C7-49)-C5)/C9))</f>
        <v>4.2507933262629436</v>
      </c>
      <c r="I22" s="176"/>
    </row>
    <row r="23" spans="2:9" x14ac:dyDescent="0.25">
      <c r="B23" s="53" t="s">
        <v>251</v>
      </c>
      <c r="C23" s="95">
        <f ca="1">C21-C22</f>
        <v>203.13920667373705</v>
      </c>
      <c r="I23" s="176"/>
    </row>
    <row r="24" spans="2:9" x14ac:dyDescent="0.25">
      <c r="B24" s="16" t="s">
        <v>256</v>
      </c>
      <c r="C24" s="76">
        <f>C6*Projections!B21</f>
        <v>96.781999999999996</v>
      </c>
    </row>
    <row r="25" spans="2:9" x14ac:dyDescent="0.25">
      <c r="B25" s="49" t="s">
        <v>257</v>
      </c>
      <c r="C25" s="73">
        <f ca="1">(C4*Projections!B21)*(2^(((C7-42)-C5)/C9))</f>
        <v>3.456726597095872</v>
      </c>
      <c r="F25" t="s">
        <v>258</v>
      </c>
    </row>
    <row r="26" spans="2:9" x14ac:dyDescent="0.25">
      <c r="B26" s="53" t="s">
        <v>234</v>
      </c>
      <c r="C26" s="189">
        <f ca="1">C9*(LOG(C10/C21)/LOG(2))</f>
        <v>72.760645142809835</v>
      </c>
      <c r="D26" t="s">
        <v>197</v>
      </c>
      <c r="F26" s="81" t="s">
        <v>259</v>
      </c>
    </row>
    <row r="27" spans="2:9" x14ac:dyDescent="0.25">
      <c r="B27" s="49" t="s">
        <v>230</v>
      </c>
      <c r="C27" s="188">
        <f ca="1">C7+C26</f>
        <v>44032.515253244659</v>
      </c>
      <c r="F27" t="s">
        <v>260</v>
      </c>
    </row>
    <row r="28" spans="2:9" x14ac:dyDescent="0.25">
      <c r="B28" s="16" t="s">
        <v>235</v>
      </c>
      <c r="C28" s="187">
        <f ca="1">C9*(LOG(C11/C21)/LOG(2))</f>
        <v>27.898629935962756</v>
      </c>
      <c r="D28" t="s">
        <v>197</v>
      </c>
    </row>
    <row r="29" spans="2:9" x14ac:dyDescent="0.25">
      <c r="B29" s="49" t="s">
        <v>231</v>
      </c>
      <c r="C29" s="188">
        <f ca="1">C7+C28</f>
        <v>43987.653238037812</v>
      </c>
      <c r="F29" t="s">
        <v>260</v>
      </c>
    </row>
    <row r="30" spans="2:9" x14ac:dyDescent="0.25">
      <c r="B30" s="16" t="s">
        <v>236</v>
      </c>
      <c r="C30" s="187">
        <f ca="1">C9*(LOG((C3*0.6)/C12)/LOG(2))</f>
        <v>94.492586935119448</v>
      </c>
      <c r="D30" t="s">
        <v>197</v>
      </c>
    </row>
    <row r="31" spans="2:9" x14ac:dyDescent="0.25">
      <c r="B31" s="49" t="s">
        <v>233</v>
      </c>
      <c r="C31" s="188">
        <f ca="1">C7+C30</f>
        <v>44054.247195036973</v>
      </c>
    </row>
    <row r="34" spans="2:6" x14ac:dyDescent="0.25">
      <c r="B34" s="16" t="s">
        <v>237</v>
      </c>
      <c r="C34" s="177">
        <f ca="1">C7+30</f>
        <v>43989.754608101852</v>
      </c>
      <c r="F34" t="s">
        <v>279</v>
      </c>
    </row>
    <row r="35" spans="2:6" x14ac:dyDescent="0.25">
      <c r="B35" s="53" t="s">
        <v>238</v>
      </c>
      <c r="C35" s="95">
        <f ca="1">C6*(2^((C34-C7)/C9))</f>
        <v>74701.707569381048</v>
      </c>
      <c r="F35" t="s">
        <v>245</v>
      </c>
    </row>
    <row r="36" spans="2:6" x14ac:dyDescent="0.25">
      <c r="B36" s="53" t="s">
        <v>232</v>
      </c>
      <c r="C36" s="95">
        <f ca="1">C35/Projections!B14</f>
        <v>92224.330332569181</v>
      </c>
    </row>
    <row r="37" spans="2:6" x14ac:dyDescent="0.25">
      <c r="B37" s="53" t="s">
        <v>172</v>
      </c>
      <c r="C37" s="95">
        <f ca="1">C35*Projections!B18</f>
        <v>68725.570963830571</v>
      </c>
    </row>
    <row r="38" spans="2:6" x14ac:dyDescent="0.25">
      <c r="B38" s="53" t="s">
        <v>225</v>
      </c>
      <c r="C38" s="95">
        <f ca="1">C35*Projections!B19</f>
        <v>3735.0853784690526</v>
      </c>
    </row>
    <row r="39" spans="2:6" x14ac:dyDescent="0.25">
      <c r="B39" s="53" t="s">
        <v>226</v>
      </c>
      <c r="C39" s="95">
        <f ca="1">C35*Projections!B20</f>
        <v>2241.0512270814315</v>
      </c>
    </row>
    <row r="40" spans="2:6" x14ac:dyDescent="0.25">
      <c r="B40" s="49" t="s">
        <v>227</v>
      </c>
      <c r="C40" s="73">
        <f ca="1">C35*Projections!B21</f>
        <v>1045.8239059713346</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A1:XFD1048576"/>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J28"/>
  <sheetViews>
    <sheetView workbookViewId="0">
      <selection activeCell="I37" sqref="I37"/>
    </sheetView>
  </sheetViews>
  <sheetFormatPr defaultRowHeight="15" x14ac:dyDescent="0.25"/>
  <sheetData>
    <row r="2" spans="1:5" x14ac:dyDescent="0.25">
      <c r="A2" t="s">
        <v>303</v>
      </c>
    </row>
    <row r="3" spans="1:5" x14ac:dyDescent="0.25">
      <c r="A3" t="s">
        <v>136</v>
      </c>
      <c r="B3" t="s">
        <v>301</v>
      </c>
      <c r="C3" t="s">
        <v>302</v>
      </c>
      <c r="D3" t="s">
        <v>137</v>
      </c>
      <c r="E3" t="s">
        <v>138</v>
      </c>
    </row>
    <row r="4" spans="1:5" x14ac:dyDescent="0.25">
      <c r="A4" s="53" t="s">
        <v>13</v>
      </c>
      <c r="B4" s="28">
        <v>112</v>
      </c>
      <c r="C4" s="28">
        <v>98</v>
      </c>
      <c r="D4">
        <f>SUM(B4:C4)</f>
        <v>210</v>
      </c>
      <c r="E4" s="3">
        <f t="shared" ref="E4:E12" si="0">D4/$D$14</f>
        <v>3.3898305084745763E-2</v>
      </c>
    </row>
    <row r="5" spans="1:5" x14ac:dyDescent="0.25">
      <c r="A5" s="53" t="s">
        <v>14</v>
      </c>
      <c r="B5" s="28">
        <v>367</v>
      </c>
      <c r="C5" s="28">
        <v>311</v>
      </c>
      <c r="D5">
        <f t="shared" ref="D5:D12" si="1">SUM(B5:C5)</f>
        <v>678</v>
      </c>
      <c r="E5" s="3">
        <f t="shared" si="0"/>
        <v>0.10944309927360775</v>
      </c>
    </row>
    <row r="6" spans="1:5" x14ac:dyDescent="0.25">
      <c r="A6" s="53" t="s">
        <v>15</v>
      </c>
      <c r="B6" s="28">
        <v>520</v>
      </c>
      <c r="C6" s="28">
        <v>524</v>
      </c>
      <c r="D6">
        <f t="shared" si="1"/>
        <v>1044</v>
      </c>
      <c r="E6" s="3">
        <f t="shared" si="0"/>
        <v>0.16852300242130749</v>
      </c>
    </row>
    <row r="7" spans="1:5" x14ac:dyDescent="0.25">
      <c r="A7" s="53" t="s">
        <v>16</v>
      </c>
      <c r="B7" s="59">
        <v>488</v>
      </c>
      <c r="C7" s="59">
        <v>518</v>
      </c>
      <c r="D7">
        <f t="shared" si="1"/>
        <v>1006</v>
      </c>
      <c r="E7" s="3">
        <f t="shared" si="0"/>
        <v>0.16238902340597255</v>
      </c>
    </row>
    <row r="8" spans="1:5" x14ac:dyDescent="0.25">
      <c r="A8" s="53" t="s">
        <v>17</v>
      </c>
      <c r="B8" s="59">
        <v>452</v>
      </c>
      <c r="C8" s="59">
        <v>333</v>
      </c>
      <c r="D8">
        <f t="shared" si="1"/>
        <v>785</v>
      </c>
      <c r="E8" s="3">
        <f t="shared" si="0"/>
        <v>0.12671509281678772</v>
      </c>
    </row>
    <row r="9" spans="1:5" x14ac:dyDescent="0.25">
      <c r="A9" s="53" t="s">
        <v>18</v>
      </c>
      <c r="B9" s="59">
        <v>507</v>
      </c>
      <c r="C9" s="59">
        <v>474</v>
      </c>
      <c r="D9">
        <f t="shared" si="1"/>
        <v>981</v>
      </c>
      <c r="E9" s="3">
        <f t="shared" si="0"/>
        <v>0.15835351089588379</v>
      </c>
    </row>
    <row r="10" spans="1:5" x14ac:dyDescent="0.25">
      <c r="A10" s="53" t="s">
        <v>19</v>
      </c>
      <c r="B10" s="59">
        <v>507</v>
      </c>
      <c r="C10" s="59">
        <v>726</v>
      </c>
      <c r="D10">
        <f t="shared" si="1"/>
        <v>1233</v>
      </c>
      <c r="E10" s="3">
        <f t="shared" si="0"/>
        <v>0.1990314769975787</v>
      </c>
    </row>
    <row r="11" spans="1:5" ht="15.75" customHeight="1" x14ac:dyDescent="0.25">
      <c r="A11" s="54" t="s">
        <v>20</v>
      </c>
      <c r="B11" s="294">
        <v>88</v>
      </c>
      <c r="C11" s="294">
        <v>100</v>
      </c>
      <c r="D11">
        <f t="shared" si="1"/>
        <v>188</v>
      </c>
      <c r="E11" s="3">
        <f t="shared" si="0"/>
        <v>3.0347054075867637E-2</v>
      </c>
    </row>
    <row r="12" spans="1:5" x14ac:dyDescent="0.25">
      <c r="A12" s="54" t="s">
        <v>21</v>
      </c>
      <c r="B12" s="294">
        <v>36</v>
      </c>
      <c r="C12" s="294">
        <v>34</v>
      </c>
      <c r="D12">
        <f t="shared" si="1"/>
        <v>70</v>
      </c>
      <c r="E12" s="3">
        <f t="shared" si="0"/>
        <v>1.1299435028248588E-2</v>
      </c>
    </row>
    <row r="14" spans="1:5" x14ac:dyDescent="0.25">
      <c r="A14" t="s">
        <v>139</v>
      </c>
      <c r="D14">
        <f>SUM(D4:D12)</f>
        <v>6195</v>
      </c>
    </row>
    <row r="16" spans="1:5" x14ac:dyDescent="0.25">
      <c r="A16" t="s">
        <v>227</v>
      </c>
    </row>
    <row r="17" spans="1:10" x14ac:dyDescent="0.25">
      <c r="A17" t="s">
        <v>136</v>
      </c>
      <c r="B17" t="s">
        <v>301</v>
      </c>
      <c r="C17" t="s">
        <v>302</v>
      </c>
      <c r="D17" t="s">
        <v>227</v>
      </c>
      <c r="E17" t="s">
        <v>138</v>
      </c>
      <c r="F17" t="s">
        <v>3</v>
      </c>
      <c r="H17" s="295" t="s">
        <v>304</v>
      </c>
      <c r="I17" s="194" t="s">
        <v>305</v>
      </c>
      <c r="J17" s="194" t="s">
        <v>306</v>
      </c>
    </row>
    <row r="18" spans="1:10" x14ac:dyDescent="0.25">
      <c r="A18" s="53" t="s">
        <v>13</v>
      </c>
      <c r="B18" s="28">
        <v>26</v>
      </c>
      <c r="C18" s="28">
        <v>26</v>
      </c>
      <c r="D18">
        <f>SUM(B18:C18)</f>
        <v>52</v>
      </c>
      <c r="E18" s="3">
        <f>D18/$D$28</f>
        <v>0.53608247422680411</v>
      </c>
      <c r="F18" s="3">
        <f>D18/D4</f>
        <v>0.24761904761904763</v>
      </c>
      <c r="H18" s="296">
        <v>0.14799999999999999</v>
      </c>
      <c r="I18" s="296">
        <v>0.20200000000000001</v>
      </c>
      <c r="J18" s="296">
        <v>0.156</v>
      </c>
    </row>
    <row r="19" spans="1:10" x14ac:dyDescent="0.25">
      <c r="A19" s="53" t="s">
        <v>14</v>
      </c>
      <c r="B19" s="28">
        <v>21</v>
      </c>
      <c r="C19" s="28">
        <v>12</v>
      </c>
      <c r="D19">
        <f t="shared" ref="D19:D26" si="2">SUM(B19:C19)</f>
        <v>33</v>
      </c>
      <c r="E19" s="3">
        <f t="shared" ref="E19:E26" si="3">D19/$D$28</f>
        <v>0.34020618556701032</v>
      </c>
      <c r="F19" s="3">
        <f t="shared" ref="F19:F26" si="4">D19/D5</f>
        <v>4.8672566371681415E-2</v>
      </c>
      <c r="H19" s="297">
        <v>0.08</v>
      </c>
      <c r="I19" s="297">
        <v>0.128</v>
      </c>
      <c r="J19" s="297">
        <v>4.8000000000000001E-2</v>
      </c>
    </row>
    <row r="20" spans="1:10" x14ac:dyDescent="0.25">
      <c r="A20" s="53" t="s">
        <v>15</v>
      </c>
      <c r="B20" s="28">
        <v>5</v>
      </c>
      <c r="C20" s="28">
        <v>4</v>
      </c>
      <c r="D20">
        <f t="shared" si="2"/>
        <v>9</v>
      </c>
      <c r="E20" s="3">
        <f t="shared" si="3"/>
        <v>9.2783505154639179E-2</v>
      </c>
      <c r="F20" s="3">
        <f t="shared" si="4"/>
        <v>8.6206896551724137E-3</v>
      </c>
      <c r="H20" s="297">
        <v>3.5999999999999997E-2</v>
      </c>
      <c r="I20" s="297">
        <v>3.5000000000000003E-2</v>
      </c>
      <c r="J20" s="297">
        <v>1.9E-2</v>
      </c>
    </row>
    <row r="21" spans="1:10" x14ac:dyDescent="0.25">
      <c r="A21" s="53" t="s">
        <v>16</v>
      </c>
      <c r="B21" s="59">
        <v>1</v>
      </c>
      <c r="C21" s="59">
        <v>1</v>
      </c>
      <c r="D21">
        <f t="shared" si="2"/>
        <v>2</v>
      </c>
      <c r="E21" s="3">
        <f t="shared" si="3"/>
        <v>2.0618556701030927E-2</v>
      </c>
      <c r="F21" s="3">
        <f t="shared" si="4"/>
        <v>1.9880715705765406E-3</v>
      </c>
      <c r="H21" s="297">
        <v>1.2999999999999999E-2</v>
      </c>
      <c r="I21" s="297">
        <v>0.01</v>
      </c>
      <c r="J21" s="297">
        <v>4.0000000000000001E-3</v>
      </c>
    </row>
    <row r="22" spans="1:10" x14ac:dyDescent="0.25">
      <c r="A22" s="53" t="s">
        <v>17</v>
      </c>
      <c r="B22" s="59">
        <v>1</v>
      </c>
      <c r="C22" s="59">
        <v>0</v>
      </c>
      <c r="D22">
        <f t="shared" si="2"/>
        <v>1</v>
      </c>
      <c r="E22" s="3">
        <f t="shared" si="3"/>
        <v>1.0309278350515464E-2</v>
      </c>
      <c r="F22" s="3">
        <f t="shared" si="4"/>
        <v>1.2738853503184713E-3</v>
      </c>
      <c r="H22" s="297">
        <v>4.0000000000000001E-3</v>
      </c>
      <c r="I22" s="297">
        <v>4.0000000000000001E-3</v>
      </c>
      <c r="J22" s="297">
        <v>3.0000000000000001E-3</v>
      </c>
    </row>
    <row r="23" spans="1:10" x14ac:dyDescent="0.25">
      <c r="A23" s="53" t="s">
        <v>18</v>
      </c>
      <c r="B23" s="59">
        <v>0</v>
      </c>
      <c r="C23" s="59">
        <v>0</v>
      </c>
      <c r="D23">
        <f t="shared" si="2"/>
        <v>0</v>
      </c>
      <c r="E23" s="3">
        <f t="shared" si="3"/>
        <v>0</v>
      </c>
      <c r="F23" s="3">
        <f t="shared" si="4"/>
        <v>0</v>
      </c>
      <c r="H23" s="297">
        <v>2E-3</v>
      </c>
      <c r="I23" s="297">
        <v>3.0000000000000001E-3</v>
      </c>
      <c r="J23" s="297">
        <v>1.4E-3</v>
      </c>
    </row>
    <row r="24" spans="1:10" x14ac:dyDescent="0.25">
      <c r="A24" s="53" t="s">
        <v>19</v>
      </c>
      <c r="B24" s="59">
        <v>0</v>
      </c>
      <c r="C24" s="59">
        <v>0</v>
      </c>
      <c r="D24">
        <f t="shared" si="2"/>
        <v>0</v>
      </c>
      <c r="E24" s="3">
        <f t="shared" si="3"/>
        <v>0</v>
      </c>
      <c r="F24" s="3">
        <f t="shared" si="4"/>
        <v>0</v>
      </c>
      <c r="H24" s="297">
        <v>2E-3</v>
      </c>
      <c r="I24" s="297">
        <v>0</v>
      </c>
      <c r="J24" s="297">
        <v>2.2000000000000001E-3</v>
      </c>
    </row>
    <row r="25" spans="1:10" x14ac:dyDescent="0.25">
      <c r="A25" s="54" t="s">
        <v>20</v>
      </c>
      <c r="B25" s="294">
        <v>0</v>
      </c>
      <c r="C25" s="294">
        <v>0</v>
      </c>
      <c r="D25">
        <f t="shared" si="2"/>
        <v>0</v>
      </c>
      <c r="E25" s="3">
        <f t="shared" si="3"/>
        <v>0</v>
      </c>
      <c r="F25" s="3">
        <f t="shared" si="4"/>
        <v>0</v>
      </c>
      <c r="H25" s="297">
        <v>2E-3</v>
      </c>
      <c r="I25" s="297">
        <v>0</v>
      </c>
      <c r="J25" s="297">
        <v>0</v>
      </c>
    </row>
    <row r="26" spans="1:10" x14ac:dyDescent="0.25">
      <c r="A26" s="54" t="s">
        <v>21</v>
      </c>
      <c r="B26" s="294">
        <v>0</v>
      </c>
      <c r="C26" s="294">
        <v>0</v>
      </c>
      <c r="D26">
        <f t="shared" si="2"/>
        <v>0</v>
      </c>
      <c r="E26" s="3">
        <f t="shared" si="3"/>
        <v>0</v>
      </c>
      <c r="F26" s="3">
        <f t="shared" si="4"/>
        <v>0</v>
      </c>
      <c r="H26" s="298">
        <v>0</v>
      </c>
      <c r="I26" s="298">
        <v>0</v>
      </c>
      <c r="J26" s="298">
        <v>0</v>
      </c>
    </row>
    <row r="28" spans="1:10" x14ac:dyDescent="0.25">
      <c r="A28" t="s">
        <v>139</v>
      </c>
      <c r="B28">
        <f t="shared" ref="B28:C28" si="5">SUM(B18:B26)</f>
        <v>54</v>
      </c>
      <c r="C28">
        <f t="shared" si="5"/>
        <v>43</v>
      </c>
      <c r="D28">
        <f>SUM(D18:D26)</f>
        <v>97</v>
      </c>
    </row>
  </sheetData>
  <hyperlinks>
    <hyperlink ref="H17" r:id="rId1" location="case-fatality-rate-of-covid-19-by-age" display="Initial Chinese mortality" xr:uid="{0A2D38F3-CFFD-4A54-9984-E798414EC3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2020-05-08T08:06:38Z</dcterms:modified>
</cp:coreProperties>
</file>