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7B9C6C1-A773-40E1-AB99-AEAF9FF8DAB5}"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66" i="1" l="1"/>
  <c r="AI194" i="1" l="1"/>
  <c r="AM191" i="1" l="1"/>
  <c r="AR191" i="1" l="1"/>
  <c r="AG194" i="1"/>
  <c r="AH194" i="1"/>
  <c r="AW191" i="1" l="1"/>
  <c r="AF194" i="1"/>
  <c r="AE194" i="1" l="1"/>
  <c r="V59" i="1" l="1"/>
  <c r="BF167" i="1" l="1"/>
  <c r="Q194" i="1"/>
  <c r="R194" i="1"/>
  <c r="S194" i="1"/>
  <c r="T194" i="1"/>
  <c r="U194" i="1"/>
  <c r="V194" i="1"/>
  <c r="W194" i="1"/>
  <c r="X194" i="1"/>
  <c r="Y194" i="1"/>
  <c r="Z194" i="1"/>
  <c r="AA194" i="1"/>
  <c r="AB194" i="1"/>
  <c r="AC194" i="1"/>
  <c r="AD194" i="1"/>
  <c r="P194" i="1"/>
  <c r="E34" i="4" l="1"/>
  <c r="C45" i="4"/>
  <c r="BH171" i="1" l="1"/>
  <c r="BH168" i="1"/>
  <c r="BH167" i="1" s="1"/>
  <c r="BH175" i="1" s="1"/>
  <c r="BE171" i="1"/>
  <c r="BF171" i="1"/>
  <c r="BD171" i="1"/>
  <c r="BH173" i="1" l="1"/>
  <c r="BH172" i="1"/>
  <c r="C5" i="5"/>
  <c r="C4" i="5"/>
  <c r="B215" i="1"/>
  <c r="B211" i="1"/>
  <c r="B213" i="1"/>
  <c r="B209" i="1"/>
  <c r="B207" i="1"/>
  <c r="B205" i="1"/>
  <c r="B203" i="1"/>
  <c r="B201" i="1"/>
  <c r="B199"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166" i="1"/>
  <c r="P190" i="1"/>
  <c r="R166" i="1" l="1"/>
  <c r="Q192" i="1"/>
  <c r="S166" i="1" l="1"/>
  <c r="Q190" i="1"/>
  <c r="P192" i="1"/>
  <c r="P189" i="1"/>
  <c r="T166" i="1" l="1"/>
  <c r="R190" i="1"/>
  <c r="P177" i="1"/>
  <c r="P178" i="1" s="1"/>
  <c r="P179" i="1"/>
  <c r="P180" i="1" s="1"/>
  <c r="U166" i="1" l="1"/>
  <c r="S190" i="1"/>
  <c r="P175" i="1"/>
  <c r="P176" i="1" s="1"/>
  <c r="P171" i="1"/>
  <c r="P173" i="1" s="1"/>
  <c r="P174" i="1" s="1"/>
  <c r="C12" i="5"/>
  <c r="C7" i="5"/>
  <c r="C8" i="5" s="1"/>
  <c r="C9" i="5" s="1"/>
  <c r="C21" i="5"/>
  <c r="C18" i="5"/>
  <c r="C15" i="5"/>
  <c r="C24" i="5"/>
  <c r="C3" i="5"/>
  <c r="V166" i="1" l="1"/>
  <c r="C30" i="5"/>
  <c r="P172" i="1"/>
  <c r="T190" i="1"/>
  <c r="P169" i="1"/>
  <c r="P170" i="1" s="1"/>
  <c r="C34" i="5"/>
  <c r="W166" i="1" l="1"/>
  <c r="U190" i="1"/>
  <c r="C13" i="5"/>
  <c r="C14" i="5" s="1"/>
  <c r="BG167" i="1"/>
  <c r="P185" i="1"/>
  <c r="P183" i="1"/>
  <c r="P186" i="1"/>
  <c r="P184" i="1"/>
  <c r="BH191" i="1" l="1"/>
  <c r="BG191" i="1"/>
  <c r="X166" i="1"/>
  <c r="BG224" i="1"/>
  <c r="BG225" i="1" s="1"/>
  <c r="BG222" i="1"/>
  <c r="BG228" i="1"/>
  <c r="BG229" i="1" s="1"/>
  <c r="BG232" i="1"/>
  <c r="BG226" i="1"/>
  <c r="BG227" i="1" s="1"/>
  <c r="BG230" i="1"/>
  <c r="BG231" i="1" s="1"/>
  <c r="V190" i="1"/>
  <c r="BG168" i="1"/>
  <c r="BH181" i="1"/>
  <c r="BH179" i="1"/>
  <c r="BH177" i="1"/>
  <c r="BG175" i="1"/>
  <c r="BG171" i="1"/>
  <c r="BG173" i="1" s="1"/>
  <c r="C22" i="5"/>
  <c r="C23" i="5" s="1"/>
  <c r="C35" i="5"/>
  <c r="C40" i="5" s="1"/>
  <c r="C25" i="5"/>
  <c r="C19" i="5"/>
  <c r="C20" i="5" s="1"/>
  <c r="C16" i="5"/>
  <c r="C17" i="5" s="1"/>
  <c r="C31" i="5"/>
  <c r="AP25" i="4"/>
  <c r="E31" i="4"/>
  <c r="B17" i="4" s="1"/>
  <c r="K20" i="4" l="1"/>
  <c r="B18" i="4"/>
  <c r="B19" i="4" s="1"/>
  <c r="Y166" i="1"/>
  <c r="BG223" i="1"/>
  <c r="BG235" i="1" s="1"/>
  <c r="BG234"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166" i="1"/>
  <c r="E18" i="4"/>
  <c r="K21" i="4" s="1"/>
  <c r="N20" i="4"/>
  <c r="H17" i="4"/>
  <c r="P222" i="1"/>
  <c r="P223" i="1" s="1"/>
  <c r="AA166" i="1" l="1"/>
  <c r="E19" i="4"/>
  <c r="Q20" i="4"/>
  <c r="H18" i="4"/>
  <c r="N22" i="4" s="1"/>
  <c r="K17" i="4"/>
  <c r="Y24" i="4"/>
  <c r="B14" i="3"/>
  <c r="AB166" i="1" l="1"/>
  <c r="H19" i="4"/>
  <c r="T20" i="4"/>
  <c r="K18" i="4"/>
  <c r="K19" i="4" s="1"/>
  <c r="N21" i="4"/>
  <c r="AB24" i="4" s="1"/>
  <c r="N17" i="4"/>
  <c r="AC166" i="1" l="1"/>
  <c r="Q17" i="4"/>
  <c r="T17" i="4" s="1"/>
  <c r="W20" i="4"/>
  <c r="N18" i="4"/>
  <c r="N19" i="4" s="1"/>
  <c r="Q21" i="4"/>
  <c r="AE24" i="4" s="1"/>
  <c r="Q22" i="4"/>
  <c r="AD166" i="1" l="1"/>
  <c r="T18" i="4"/>
  <c r="T19" i="4" s="1"/>
  <c r="AC20" i="4"/>
  <c r="Z20" i="4"/>
  <c r="Q18" i="4"/>
  <c r="Q19" i="4" s="1"/>
  <c r="T21" i="4"/>
  <c r="AH24" i="4" s="1"/>
  <c r="T22" i="4"/>
  <c r="T23" i="4"/>
  <c r="W17" i="4"/>
  <c r="W21" i="4" l="1"/>
  <c r="AK24" i="4" s="1"/>
  <c r="W23" i="4"/>
  <c r="AH166" i="1"/>
  <c r="W18" i="4"/>
  <c r="W19" i="4" s="1"/>
  <c r="AF20" i="4"/>
  <c r="W22" i="4"/>
  <c r="Z21" i="4"/>
  <c r="AN24" i="4" s="1"/>
  <c r="Z23" i="4"/>
  <c r="Z22" i="4"/>
  <c r="Z17" i="4"/>
  <c r="C232" i="1"/>
  <c r="C230" i="1"/>
  <c r="C228" i="1"/>
  <c r="C226" i="1"/>
  <c r="C224" i="1"/>
  <c r="C222" i="1"/>
  <c r="P181" i="1"/>
  <c r="C5" i="3"/>
  <c r="D201" i="1" s="1"/>
  <c r="AH192" i="1" l="1"/>
  <c r="AG166" i="1"/>
  <c r="AE166" i="1"/>
  <c r="AF166" i="1"/>
  <c r="AL166" i="1"/>
  <c r="Z18" i="4"/>
  <c r="Z19" i="4" s="1"/>
  <c r="AI20" i="4"/>
  <c r="BG201" i="1"/>
  <c r="BG202" i="1"/>
  <c r="AC21" i="4"/>
  <c r="AC22" i="4"/>
  <c r="AC23" i="4"/>
  <c r="AC17" i="4"/>
  <c r="BG181" i="1"/>
  <c r="C7" i="3"/>
  <c r="D205" i="1" s="1"/>
  <c r="C4" i="3"/>
  <c r="D199" i="1" s="1"/>
  <c r="C12" i="3"/>
  <c r="D215" i="1" s="1"/>
  <c r="C11" i="3"/>
  <c r="D213" i="1" s="1"/>
  <c r="C10" i="3"/>
  <c r="D211" i="1" s="1"/>
  <c r="C9" i="3"/>
  <c r="D209" i="1" s="1"/>
  <c r="C8" i="3"/>
  <c r="D207" i="1" s="1"/>
  <c r="C6" i="3"/>
  <c r="D203" i="1" s="1"/>
  <c r="C157" i="1"/>
  <c r="C10" i="5" s="1"/>
  <c r="C26" i="5" s="1"/>
  <c r="C27" i="5" s="1"/>
  <c r="C158" i="1"/>
  <c r="C11" i="5" s="1"/>
  <c r="C28" i="5" s="1"/>
  <c r="C29" i="5" s="1"/>
  <c r="P202" i="1"/>
  <c r="P232" i="1"/>
  <c r="P230" i="1"/>
  <c r="P228" i="1"/>
  <c r="P229" i="1" s="1"/>
  <c r="P226" i="1"/>
  <c r="P227" i="1" s="1"/>
  <c r="P224" i="1"/>
  <c r="P225" i="1" s="1"/>
  <c r="C201" i="1"/>
  <c r="C203" i="1"/>
  <c r="C205" i="1"/>
  <c r="C207" i="1"/>
  <c r="C209" i="1"/>
  <c r="C211" i="1"/>
  <c r="C213" i="1"/>
  <c r="C215" i="1"/>
  <c r="C199" i="1"/>
  <c r="P168" i="1"/>
  <c r="Q167" i="1"/>
  <c r="AJ166" i="1" l="1"/>
  <c r="AK166" i="1"/>
  <c r="AE189" i="1"/>
  <c r="AE190" i="1"/>
  <c r="AG190" i="1"/>
  <c r="AG189" i="1"/>
  <c r="AF190" i="1"/>
  <c r="AF189" i="1"/>
  <c r="AE192" i="1"/>
  <c r="AG192" i="1"/>
  <c r="AF192" i="1"/>
  <c r="AQ166" i="1"/>
  <c r="BG199" i="1"/>
  <c r="BG200" i="1"/>
  <c r="AL20" i="4"/>
  <c r="AC18" i="4"/>
  <c r="AC19" i="4" s="1"/>
  <c r="BG211" i="1"/>
  <c r="BG212" i="1"/>
  <c r="BG204" i="1"/>
  <c r="BG203" i="1"/>
  <c r="BG207" i="1"/>
  <c r="BG208" i="1"/>
  <c r="BG214" i="1"/>
  <c r="BG213" i="1"/>
  <c r="BG206" i="1"/>
  <c r="BG205" i="1"/>
  <c r="BG210" i="1"/>
  <c r="BG209" i="1"/>
  <c r="P216" i="1"/>
  <c r="BG216" i="1"/>
  <c r="BG215" i="1"/>
  <c r="Q179" i="1"/>
  <c r="Q180" i="1" s="1"/>
  <c r="Q175" i="1"/>
  <c r="Q176" i="1" s="1"/>
  <c r="Q183" i="1"/>
  <c r="Q186" i="1"/>
  <c r="Q189" i="1"/>
  <c r="Q184" i="1"/>
  <c r="Q185" i="1"/>
  <c r="Q171" i="1"/>
  <c r="AF22" i="4"/>
  <c r="AF23" i="4"/>
  <c r="AF21" i="4"/>
  <c r="AF17" i="4"/>
  <c r="P200" i="1"/>
  <c r="P199" i="1"/>
  <c r="P208" i="1"/>
  <c r="P207" i="1"/>
  <c r="P211" i="1"/>
  <c r="P210" i="1"/>
  <c r="P213" i="1"/>
  <c r="P203" i="1"/>
  <c r="R167" i="1"/>
  <c r="Q226" i="1"/>
  <c r="Q227" i="1" s="1"/>
  <c r="P204" i="1"/>
  <c r="Q215" i="1"/>
  <c r="Q224" i="1"/>
  <c r="Q225" i="1" s="1"/>
  <c r="P212" i="1"/>
  <c r="Q213" i="1"/>
  <c r="Q232" i="1"/>
  <c r="P201" i="1"/>
  <c r="P209" i="1"/>
  <c r="Q230" i="1"/>
  <c r="Q231" i="1" s="1"/>
  <c r="Q228" i="1"/>
  <c r="Q229" i="1" s="1"/>
  <c r="Q211" i="1"/>
  <c r="Q204" i="1"/>
  <c r="Q208" i="1"/>
  <c r="Q212" i="1"/>
  <c r="Q216" i="1"/>
  <c r="P234" i="1"/>
  <c r="Q222" i="1"/>
  <c r="Q223" i="1" s="1"/>
  <c r="P205" i="1"/>
  <c r="Q201" i="1"/>
  <c r="P206" i="1"/>
  <c r="P214" i="1"/>
  <c r="Q205" i="1"/>
  <c r="Q202" i="1"/>
  <c r="Q209" i="1"/>
  <c r="P215" i="1"/>
  <c r="Q199" i="1"/>
  <c r="Q206" i="1"/>
  <c r="Q210" i="1"/>
  <c r="Q214" i="1"/>
  <c r="Q203" i="1"/>
  <c r="Q200" i="1"/>
  <c r="Q207" i="1"/>
  <c r="P231" i="1"/>
  <c r="P235" i="1" s="1"/>
  <c r="Q168" i="1"/>
  <c r="Q181" i="1"/>
  <c r="AK190" i="1" l="1"/>
  <c r="AK189" i="1"/>
  <c r="AJ189" i="1"/>
  <c r="AJ190" i="1"/>
  <c r="AI189" i="1"/>
  <c r="AI190" i="1"/>
  <c r="AM166" i="1"/>
  <c r="AO166" i="1"/>
  <c r="AN166" i="1"/>
  <c r="AP166" i="1"/>
  <c r="R175" i="1"/>
  <c r="R176" i="1" s="1"/>
  <c r="AV166" i="1"/>
  <c r="AS166" i="1" s="1"/>
  <c r="AO20" i="4"/>
  <c r="AF18" i="4"/>
  <c r="AF19" i="4" s="1"/>
  <c r="BG218" i="1"/>
  <c r="BG217" i="1"/>
  <c r="R224" i="1"/>
  <c r="R225" i="1" s="1"/>
  <c r="R205" i="1"/>
  <c r="R179" i="1"/>
  <c r="R180" i="1" s="1"/>
  <c r="R230" i="1"/>
  <c r="R231" i="1" s="1"/>
  <c r="R201" i="1"/>
  <c r="R200" i="1"/>
  <c r="R222" i="1"/>
  <c r="R223" i="1" s="1"/>
  <c r="R202" i="1"/>
  <c r="R168" i="1"/>
  <c r="Q172" i="1"/>
  <c r="Q173" i="1"/>
  <c r="Q174" i="1" s="1"/>
  <c r="R192" i="1"/>
  <c r="S167" i="1"/>
  <c r="R171" i="1"/>
  <c r="R181" i="1"/>
  <c r="R215" i="1"/>
  <c r="R214" i="1"/>
  <c r="R226" i="1"/>
  <c r="R227" i="1" s="1"/>
  <c r="R210" i="1"/>
  <c r="R209" i="1"/>
  <c r="R185" i="1"/>
  <c r="R183" i="1"/>
  <c r="R186" i="1"/>
  <c r="R189" i="1"/>
  <c r="R184" i="1"/>
  <c r="AI23" i="4"/>
  <c r="AI21" i="4"/>
  <c r="AI22" i="4"/>
  <c r="AI17" i="4"/>
  <c r="AI18" i="4" s="1"/>
  <c r="P218" i="1"/>
  <c r="Q218" i="1"/>
  <c r="R212" i="1"/>
  <c r="R211" i="1"/>
  <c r="R207" i="1"/>
  <c r="R204" i="1"/>
  <c r="R206" i="1"/>
  <c r="R199" i="1"/>
  <c r="R208" i="1"/>
  <c r="R213" i="1"/>
  <c r="R232" i="1"/>
  <c r="R203" i="1"/>
  <c r="R228" i="1"/>
  <c r="R229" i="1" s="1"/>
  <c r="R216" i="1"/>
  <c r="Q234" i="1"/>
  <c r="P217" i="1"/>
  <c r="Q217" i="1"/>
  <c r="Q235" i="1"/>
  <c r="AS190" i="1" l="1"/>
  <c r="AS189" i="1"/>
  <c r="AM189" i="1"/>
  <c r="AM190" i="1"/>
  <c r="AM192" i="1"/>
  <c r="AR166" i="1"/>
  <c r="BA166" i="1"/>
  <c r="AW166" i="1" s="1"/>
  <c r="AP190" i="1"/>
  <c r="AP189" i="1"/>
  <c r="AT166" i="1"/>
  <c r="AO190" i="1"/>
  <c r="AO189" i="1"/>
  <c r="AN190" i="1"/>
  <c r="AN189" i="1"/>
  <c r="AU166" i="1"/>
  <c r="S175" i="1"/>
  <c r="S176" i="1" s="1"/>
  <c r="S216" i="1"/>
  <c r="S206" i="1"/>
  <c r="S204" i="1"/>
  <c r="S202" i="1"/>
  <c r="S224" i="1"/>
  <c r="S225" i="1" s="1"/>
  <c r="S212" i="1"/>
  <c r="S211" i="1"/>
  <c r="S203" i="1"/>
  <c r="S214" i="1"/>
  <c r="S209" i="1"/>
  <c r="S232" i="1"/>
  <c r="S199" i="1"/>
  <c r="S179" i="1"/>
  <c r="S180" i="1" s="1"/>
  <c r="S210" i="1"/>
  <c r="S208" i="1"/>
  <c r="S201" i="1"/>
  <c r="S222" i="1"/>
  <c r="S223" i="1" s="1"/>
  <c r="S205" i="1"/>
  <c r="T167" i="1"/>
  <c r="S215" i="1"/>
  <c r="S213" i="1"/>
  <c r="S181" i="1"/>
  <c r="S226" i="1"/>
  <c r="S227" i="1" s="1"/>
  <c r="R235" i="1"/>
  <c r="S200" i="1"/>
  <c r="S228" i="1"/>
  <c r="S229" i="1" s="1"/>
  <c r="S230" i="1"/>
  <c r="S231" i="1" s="1"/>
  <c r="S168" i="1"/>
  <c r="S207" i="1"/>
  <c r="S192" i="1"/>
  <c r="R172" i="1"/>
  <c r="R173" i="1"/>
  <c r="R174" i="1" s="1"/>
  <c r="S184" i="1"/>
  <c r="S185" i="1"/>
  <c r="S186" i="1"/>
  <c r="S189" i="1"/>
  <c r="S183" i="1"/>
  <c r="R234" i="1"/>
  <c r="S171" i="1"/>
  <c r="AL22" i="4"/>
  <c r="AL21" i="4"/>
  <c r="AL23" i="4"/>
  <c r="AL17" i="4"/>
  <c r="AL18" i="4" s="1"/>
  <c r="AI19" i="4"/>
  <c r="R217" i="1"/>
  <c r="R218" i="1"/>
  <c r="AW189" i="1" l="1"/>
  <c r="AW190" i="1"/>
  <c r="AW192" i="1"/>
  <c r="AY166" i="1"/>
  <c r="AU190" i="1"/>
  <c r="AU189" i="1"/>
  <c r="AX166" i="1"/>
  <c r="AR189" i="1"/>
  <c r="AR190" i="1"/>
  <c r="AR192" i="1"/>
  <c r="AZ166" i="1"/>
  <c r="AT189" i="1"/>
  <c r="AT190" i="1"/>
  <c r="T211" i="1"/>
  <c r="BB166" i="1"/>
  <c r="T215" i="1"/>
  <c r="T212" i="1"/>
  <c r="T224" i="1"/>
  <c r="T225" i="1" s="1"/>
  <c r="T209" i="1"/>
  <c r="T210" i="1"/>
  <c r="T201" i="1"/>
  <c r="T207" i="1"/>
  <c r="T222" i="1"/>
  <c r="T223" i="1" s="1"/>
  <c r="S218" i="1"/>
  <c r="T208" i="1"/>
  <c r="T200" i="1"/>
  <c r="T230" i="1"/>
  <c r="T231" i="1" s="1"/>
  <c r="T214" i="1"/>
  <c r="T206" i="1"/>
  <c r="T213" i="1"/>
  <c r="T228" i="1"/>
  <c r="T229" i="1" s="1"/>
  <c r="S235" i="1"/>
  <c r="T175" i="1"/>
  <c r="T168" i="1"/>
  <c r="T202" i="1"/>
  <c r="T203" i="1"/>
  <c r="T226" i="1"/>
  <c r="T227" i="1" s="1"/>
  <c r="T171" i="1"/>
  <c r="T173" i="1" s="1"/>
  <c r="T181" i="1"/>
  <c r="T205" i="1"/>
  <c r="U167" i="1"/>
  <c r="U199" i="1" s="1"/>
  <c r="T216" i="1"/>
  <c r="S217" i="1"/>
  <c r="T204" i="1"/>
  <c r="T232" i="1"/>
  <c r="S234" i="1"/>
  <c r="T199" i="1"/>
  <c r="T192" i="1"/>
  <c r="S172" i="1"/>
  <c r="S173" i="1"/>
  <c r="S174" i="1" s="1"/>
  <c r="T184" i="1"/>
  <c r="T189" i="1"/>
  <c r="T185" i="1"/>
  <c r="T186" i="1"/>
  <c r="T183" i="1"/>
  <c r="AO21" i="4"/>
  <c r="AO22" i="4"/>
  <c r="AO23" i="4"/>
  <c r="AO17" i="4"/>
  <c r="AO18" i="4" s="1"/>
  <c r="AO19" i="4" s="1"/>
  <c r="AL19" i="4"/>
  <c r="AX189" i="1" l="1"/>
  <c r="AX190" i="1"/>
  <c r="AY190" i="1"/>
  <c r="AY189" i="1"/>
  <c r="U209" i="1"/>
  <c r="AZ190" i="1"/>
  <c r="AZ189" i="1"/>
  <c r="U212" i="1"/>
  <c r="BC166" i="1"/>
  <c r="BB189" i="1"/>
  <c r="BB190" i="1"/>
  <c r="U202" i="1"/>
  <c r="T217" i="1"/>
  <c r="T235" i="1"/>
  <c r="U215" i="1"/>
  <c r="U181" i="1"/>
  <c r="V167" i="1"/>
  <c r="V171" i="1" s="1"/>
  <c r="U204" i="1"/>
  <c r="U230" i="1"/>
  <c r="U231" i="1" s="1"/>
  <c r="U210" i="1"/>
  <c r="U211" i="1"/>
  <c r="T234" i="1"/>
  <c r="U207" i="1"/>
  <c r="T218" i="1"/>
  <c r="U168" i="1"/>
  <c r="U205" i="1"/>
  <c r="U228" i="1"/>
  <c r="U229" i="1" s="1"/>
  <c r="U175" i="1"/>
  <c r="U224" i="1"/>
  <c r="U225" i="1" s="1"/>
  <c r="U206" i="1"/>
  <c r="U171" i="1"/>
  <c r="U172" i="1" s="1"/>
  <c r="U214" i="1"/>
  <c r="U213" i="1"/>
  <c r="U208" i="1"/>
  <c r="U226" i="1"/>
  <c r="U227" i="1" s="1"/>
  <c r="U201" i="1"/>
  <c r="U222" i="1"/>
  <c r="U223" i="1" s="1"/>
  <c r="U232" i="1"/>
  <c r="U203" i="1"/>
  <c r="T172" i="1"/>
  <c r="U200" i="1"/>
  <c r="U216" i="1"/>
  <c r="U192" i="1"/>
  <c r="U184" i="1"/>
  <c r="U185" i="1"/>
  <c r="U183" i="1"/>
  <c r="U186" i="1"/>
  <c r="U189" i="1"/>
  <c r="V213" i="1" l="1"/>
  <c r="V175" i="1"/>
  <c r="BD166" i="1"/>
  <c r="BC190" i="1"/>
  <c r="BC189" i="1"/>
  <c r="V181" i="1"/>
  <c r="V210" i="1"/>
  <c r="V222" i="1"/>
  <c r="V232" i="1"/>
  <c r="V207" i="1"/>
  <c r="V208" i="1"/>
  <c r="V200" i="1"/>
  <c r="V214" i="1"/>
  <c r="V201" i="1"/>
  <c r="V199" i="1"/>
  <c r="V204" i="1"/>
  <c r="V211" i="1"/>
  <c r="V212" i="1"/>
  <c r="V168" i="1"/>
  <c r="V224" i="1"/>
  <c r="V225" i="1" s="1"/>
  <c r="V209" i="1"/>
  <c r="V202" i="1"/>
  <c r="V228" i="1"/>
  <c r="V229" i="1" s="1"/>
  <c r="V226" i="1"/>
  <c r="V227" i="1" s="1"/>
  <c r="V206" i="1"/>
  <c r="V205" i="1"/>
  <c r="W167" i="1"/>
  <c r="V216" i="1"/>
  <c r="V215" i="1"/>
  <c r="V230" i="1"/>
  <c r="V231" i="1" s="1"/>
  <c r="V203" i="1"/>
  <c r="U235" i="1"/>
  <c r="U218" i="1"/>
  <c r="U234" i="1"/>
  <c r="U217" i="1"/>
  <c r="U173" i="1"/>
  <c r="V192" i="1"/>
  <c r="V172" i="1"/>
  <c r="V173" i="1"/>
  <c r="V184" i="1"/>
  <c r="V185" i="1"/>
  <c r="V186" i="1"/>
  <c r="V183" i="1"/>
  <c r="V189" i="1"/>
  <c r="V223" i="1"/>
  <c r="W209" i="1" l="1"/>
  <c r="BE166" i="1"/>
  <c r="BD189" i="1"/>
  <c r="BD190" i="1"/>
  <c r="W212" i="1"/>
  <c r="W224" i="1"/>
  <c r="W225" i="1" s="1"/>
  <c r="W199" i="1"/>
  <c r="W222" i="1"/>
  <c r="W223" i="1" s="1"/>
  <c r="W181" i="1"/>
  <c r="W210" i="1"/>
  <c r="W215" i="1"/>
  <c r="W232" i="1"/>
  <c r="W204" i="1"/>
  <c r="X167" i="1"/>
  <c r="W211" i="1"/>
  <c r="W216" i="1"/>
  <c r="W200" i="1"/>
  <c r="V217" i="1"/>
  <c r="W206" i="1"/>
  <c r="V218" i="1"/>
  <c r="V234" i="1"/>
  <c r="W202" i="1"/>
  <c r="W213" i="1"/>
  <c r="W208" i="1"/>
  <c r="W207" i="1"/>
  <c r="W226" i="1"/>
  <c r="W227" i="1" s="1"/>
  <c r="V235" i="1"/>
  <c r="W171" i="1"/>
  <c r="W172" i="1" s="1"/>
  <c r="W228" i="1"/>
  <c r="W229" i="1" s="1"/>
  <c r="W175" i="1"/>
  <c r="W168" i="1"/>
  <c r="W201" i="1"/>
  <c r="W203" i="1"/>
  <c r="W214" i="1"/>
  <c r="W230" i="1"/>
  <c r="W231" i="1" s="1"/>
  <c r="W205" i="1"/>
  <c r="X192" i="1"/>
  <c r="W192" i="1"/>
  <c r="W190" i="1"/>
  <c r="W189" i="1"/>
  <c r="W184" i="1"/>
  <c r="W186" i="1"/>
  <c r="W185" i="1"/>
  <c r="W183" i="1"/>
  <c r="X175" i="1" l="1"/>
  <c r="BF166" i="1"/>
  <c r="BE189" i="1"/>
  <c r="BE190" i="1"/>
  <c r="X212" i="1"/>
  <c r="X215" i="1"/>
  <c r="X216" i="1"/>
  <c r="X168" i="1"/>
  <c r="X230" i="1"/>
  <c r="X231" i="1" s="1"/>
  <c r="X228" i="1"/>
  <c r="X229" i="1" s="1"/>
  <c r="X226" i="1"/>
  <c r="X227" i="1" s="1"/>
  <c r="X207" i="1"/>
  <c r="X224" i="1"/>
  <c r="X225" i="1" s="1"/>
  <c r="X210" i="1"/>
  <c r="X202" i="1"/>
  <c r="X200" i="1"/>
  <c r="X199" i="1"/>
  <c r="X208" i="1"/>
  <c r="X214" i="1"/>
  <c r="X181" i="1"/>
  <c r="X201" i="1"/>
  <c r="X209" i="1"/>
  <c r="X213" i="1"/>
  <c r="X222" i="1"/>
  <c r="X223" i="1" s="1"/>
  <c r="X206" i="1"/>
  <c r="X211" i="1"/>
  <c r="X205" i="1"/>
  <c r="X204" i="1"/>
  <c r="Y167" i="1"/>
  <c r="Y205" i="1" s="1"/>
  <c r="X203" i="1"/>
  <c r="X232" i="1"/>
  <c r="X171" i="1"/>
  <c r="X172" i="1" s="1"/>
  <c r="W218" i="1"/>
  <c r="W173" i="1"/>
  <c r="W217" i="1"/>
  <c r="W234" i="1"/>
  <c r="W235" i="1"/>
  <c r="X189" i="1"/>
  <c r="X190" i="1"/>
  <c r="X184" i="1"/>
  <c r="X186" i="1"/>
  <c r="X183" i="1"/>
  <c r="X185" i="1"/>
  <c r="Y232" i="1"/>
  <c r="Y228" i="1"/>
  <c r="Y229" i="1" s="1"/>
  <c r="Y181" i="1" l="1"/>
  <c r="Y171" i="1"/>
  <c r="Y173" i="1" s="1"/>
  <c r="Y168" i="1"/>
  <c r="BG166" i="1"/>
  <c r="BF189" i="1"/>
  <c r="BF190" i="1"/>
  <c r="X235" i="1"/>
  <c r="X234" i="1"/>
  <c r="X218" i="1"/>
  <c r="X217" i="1"/>
  <c r="Y202" i="1"/>
  <c r="Y204" i="1"/>
  <c r="Y212" i="1"/>
  <c r="Y199" i="1"/>
  <c r="Z167" i="1"/>
  <c r="Y213" i="1"/>
  <c r="Y226" i="1"/>
  <c r="Y227" i="1" s="1"/>
  <c r="Y222" i="1"/>
  <c r="Y223" i="1" s="1"/>
  <c r="Y215" i="1"/>
  <c r="Y224" i="1"/>
  <c r="Y225" i="1" s="1"/>
  <c r="Y210" i="1"/>
  <c r="Y206" i="1"/>
  <c r="Y211" i="1"/>
  <c r="Y201" i="1"/>
  <c r="Y175" i="1"/>
  <c r="Y209" i="1"/>
  <c r="Y207" i="1"/>
  <c r="Y200" i="1"/>
  <c r="Y216" i="1"/>
  <c r="Y208" i="1"/>
  <c r="Y230" i="1"/>
  <c r="Y231" i="1" s="1"/>
  <c r="Y214" i="1"/>
  <c r="Y203" i="1"/>
  <c r="X173" i="1"/>
  <c r="Y172" i="1"/>
  <c r="Y192" i="1"/>
  <c r="Y190" i="1"/>
  <c r="Y189" i="1"/>
  <c r="Y185" i="1"/>
  <c r="Y186" i="1"/>
  <c r="Y183" i="1"/>
  <c r="Y184" i="1"/>
  <c r="Z175" i="1" l="1"/>
  <c r="Z204" i="1"/>
  <c r="Z209" i="1"/>
  <c r="Z207" i="1"/>
  <c r="Z224" i="1"/>
  <c r="Z225" i="1" s="1"/>
  <c r="Z211" i="1"/>
  <c r="Y217" i="1"/>
  <c r="Z215" i="1"/>
  <c r="Z222" i="1"/>
  <c r="Z223" i="1" s="1"/>
  <c r="Z201" i="1"/>
  <c r="Z208" i="1"/>
  <c r="Z181" i="1"/>
  <c r="Z226" i="1"/>
  <c r="Z227" i="1" s="1"/>
  <c r="Z213" i="1"/>
  <c r="Z210" i="1"/>
  <c r="Z216" i="1"/>
  <c r="Z202" i="1"/>
  <c r="Z206" i="1"/>
  <c r="Z228" i="1"/>
  <c r="Z229" i="1" s="1"/>
  <c r="Z214" i="1"/>
  <c r="AA167" i="1"/>
  <c r="AA213" i="1" s="1"/>
  <c r="Z199" i="1"/>
  <c r="Z171" i="1"/>
  <c r="Z173" i="1" s="1"/>
  <c r="Y218" i="1"/>
  <c r="Z212" i="1"/>
  <c r="Z205" i="1"/>
  <c r="Z230" i="1"/>
  <c r="Z231" i="1" s="1"/>
  <c r="Z200" i="1"/>
  <c r="Z203" i="1"/>
  <c r="Z232" i="1"/>
  <c r="Z168" i="1"/>
  <c r="Y234" i="1"/>
  <c r="Y235" i="1"/>
  <c r="Z192" i="1"/>
  <c r="Z190" i="1"/>
  <c r="Z189" i="1"/>
  <c r="Z186" i="1"/>
  <c r="Z183" i="1"/>
  <c r="Z185" i="1"/>
  <c r="Z184" i="1"/>
  <c r="AA226" i="1" l="1"/>
  <c r="AA227" i="1" s="1"/>
  <c r="AA211" i="1"/>
  <c r="AA168" i="1"/>
  <c r="AA204" i="1"/>
  <c r="AA230" i="1"/>
  <c r="AA231" i="1" s="1"/>
  <c r="Z172" i="1"/>
  <c r="AA232" i="1"/>
  <c r="AA216" i="1"/>
  <c r="AA206" i="1"/>
  <c r="AA207" i="1"/>
  <c r="AA205" i="1"/>
  <c r="AA202" i="1"/>
  <c r="AA215" i="1"/>
  <c r="AA199" i="1"/>
  <c r="Z234" i="1"/>
  <c r="Z217" i="1"/>
  <c r="AA209" i="1"/>
  <c r="AA214" i="1"/>
  <c r="AA181" i="1"/>
  <c r="AA212" i="1"/>
  <c r="AA175" i="1"/>
  <c r="AA203" i="1"/>
  <c r="AA201" i="1"/>
  <c r="AB167" i="1"/>
  <c r="AB232" i="1" s="1"/>
  <c r="AA200" i="1"/>
  <c r="AA171" i="1"/>
  <c r="AA173" i="1" s="1"/>
  <c r="AA210" i="1"/>
  <c r="AA228" i="1"/>
  <c r="AA229" i="1" s="1"/>
  <c r="AA208" i="1"/>
  <c r="Z218" i="1"/>
  <c r="Z235" i="1"/>
  <c r="AA224" i="1"/>
  <c r="AA225" i="1" s="1"/>
  <c r="AA222" i="1"/>
  <c r="AA223" i="1" s="1"/>
  <c r="AA190" i="1"/>
  <c r="AA192" i="1"/>
  <c r="AA183" i="1"/>
  <c r="AA185" i="1"/>
  <c r="AA189" i="1"/>
  <c r="AA184" i="1"/>
  <c r="AA186" i="1"/>
  <c r="AB207" i="1" l="1"/>
  <c r="AB224" i="1"/>
  <c r="AB225" i="1" s="1"/>
  <c r="AB213" i="1"/>
  <c r="AB206" i="1"/>
  <c r="AB203" i="1"/>
  <c r="AB175" i="1"/>
  <c r="AB209" i="1"/>
  <c r="AB226" i="1"/>
  <c r="AB227" i="1" s="1"/>
  <c r="AB211" i="1"/>
  <c r="AB210" i="1"/>
  <c r="AB214" i="1"/>
  <c r="AB201" i="1"/>
  <c r="AB171" i="1"/>
  <c r="AB172" i="1" s="1"/>
  <c r="AB228" i="1"/>
  <c r="AB229" i="1" s="1"/>
  <c r="AB168" i="1"/>
  <c r="AA218" i="1"/>
  <c r="AA217" i="1"/>
  <c r="AB199" i="1"/>
  <c r="AB200" i="1"/>
  <c r="AB208" i="1"/>
  <c r="AB204" i="1"/>
  <c r="AB202" i="1"/>
  <c r="AB205" i="1"/>
  <c r="AA172" i="1"/>
  <c r="AB215" i="1"/>
  <c r="AC167" i="1"/>
  <c r="AB230" i="1"/>
  <c r="AB231" i="1" s="1"/>
  <c r="AA234" i="1"/>
  <c r="AB222" i="1"/>
  <c r="AB223" i="1" s="1"/>
  <c r="AB212" i="1"/>
  <c r="AB216" i="1"/>
  <c r="AB181" i="1"/>
  <c r="AA235" i="1"/>
  <c r="AB190" i="1"/>
  <c r="AB192" i="1"/>
  <c r="AB183" i="1"/>
  <c r="AB185" i="1"/>
  <c r="AB186" i="1"/>
  <c r="AB189" i="1"/>
  <c r="AB184" i="1"/>
  <c r="AC175" i="1" l="1"/>
  <c r="AB173" i="1"/>
  <c r="AB218" i="1"/>
  <c r="AB217" i="1"/>
  <c r="AC200" i="1"/>
  <c r="AC201" i="1"/>
  <c r="AC213" i="1"/>
  <c r="AC216" i="1"/>
  <c r="AC199" i="1"/>
  <c r="AC210" i="1"/>
  <c r="AC232" i="1"/>
  <c r="AC208" i="1"/>
  <c r="AC205" i="1"/>
  <c r="AC203" i="1"/>
  <c r="AC224" i="1"/>
  <c r="AC225" i="1" s="1"/>
  <c r="AC206" i="1"/>
  <c r="AC202" i="1"/>
  <c r="AC212" i="1"/>
  <c r="AC209" i="1"/>
  <c r="AC204" i="1"/>
  <c r="AC168" i="1"/>
  <c r="AD167" i="1"/>
  <c r="AC171" i="1"/>
  <c r="AC172" i="1" s="1"/>
  <c r="AC226" i="1"/>
  <c r="AC227" i="1" s="1"/>
  <c r="AC211" i="1"/>
  <c r="AC181" i="1"/>
  <c r="AC215" i="1"/>
  <c r="AB235" i="1"/>
  <c r="AB234" i="1"/>
  <c r="AC222" i="1"/>
  <c r="AC223" i="1" s="1"/>
  <c r="AC207" i="1"/>
  <c r="AC214" i="1"/>
  <c r="AC230" i="1"/>
  <c r="AC231" i="1" s="1"/>
  <c r="AC228" i="1"/>
  <c r="AC229" i="1" s="1"/>
  <c r="AC190" i="1"/>
  <c r="AC192" i="1"/>
  <c r="AC186" i="1"/>
  <c r="AC185" i="1"/>
  <c r="AC183" i="1"/>
  <c r="AC189" i="1"/>
  <c r="AC184" i="1"/>
  <c r="AD175" i="1" l="1"/>
  <c r="AD206" i="1"/>
  <c r="AD205" i="1"/>
  <c r="AD207" i="1"/>
  <c r="AD211" i="1"/>
  <c r="AH167" i="1"/>
  <c r="AH208" i="1" s="1"/>
  <c r="AD202" i="1"/>
  <c r="AD181" i="1"/>
  <c r="AD204" i="1"/>
  <c r="AD230" i="1"/>
  <c r="AD231" i="1" s="1"/>
  <c r="AD210" i="1"/>
  <c r="AD168" i="1"/>
  <c r="AD208" i="1"/>
  <c r="AD224" i="1"/>
  <c r="AD225" i="1" s="1"/>
  <c r="AD171" i="1"/>
  <c r="AD172" i="1" s="1"/>
  <c r="AD200" i="1"/>
  <c r="AD232" i="1"/>
  <c r="AD226" i="1"/>
  <c r="AD227" i="1" s="1"/>
  <c r="AD228" i="1"/>
  <c r="AD229" i="1" s="1"/>
  <c r="AD212" i="1"/>
  <c r="AC218" i="1"/>
  <c r="AD214" i="1"/>
  <c r="AD213" i="1"/>
  <c r="AD215" i="1"/>
  <c r="AD209" i="1"/>
  <c r="AD199" i="1"/>
  <c r="AD216" i="1"/>
  <c r="AC217" i="1"/>
  <c r="AC173" i="1"/>
  <c r="AC235" i="1"/>
  <c r="AC234" i="1"/>
  <c r="AD201" i="1"/>
  <c r="AD203" i="1"/>
  <c r="AD222" i="1"/>
  <c r="AD223" i="1" s="1"/>
  <c r="AD190" i="1"/>
  <c r="AD192" i="1"/>
  <c r="AD186" i="1"/>
  <c r="AD183" i="1"/>
  <c r="AD185" i="1"/>
  <c r="AD189" i="1"/>
  <c r="AD184" i="1"/>
  <c r="AH206" i="1"/>
  <c r="AH211" i="1"/>
  <c r="AH201" i="1" l="1"/>
  <c r="AE167" i="1"/>
  <c r="AG167" i="1"/>
  <c r="AF167" i="1"/>
  <c r="AH228" i="1"/>
  <c r="AH229" i="1" s="1"/>
  <c r="AH202" i="1"/>
  <c r="AH230" i="1"/>
  <c r="AH231" i="1" s="1"/>
  <c r="AH199" i="1"/>
  <c r="AH209" i="1"/>
  <c r="AH214" i="1"/>
  <c r="AH224" i="1"/>
  <c r="AH225" i="1" s="1"/>
  <c r="AH213" i="1"/>
  <c r="AH216" i="1"/>
  <c r="AH203" i="1"/>
  <c r="AH215" i="1"/>
  <c r="AH168" i="1"/>
  <c r="AH175" i="1"/>
  <c r="AH200" i="1"/>
  <c r="AH212" i="1"/>
  <c r="AH204" i="1"/>
  <c r="AH171" i="1"/>
  <c r="AH172" i="1" s="1"/>
  <c r="AH210" i="1"/>
  <c r="AH226" i="1"/>
  <c r="AH227" i="1" s="1"/>
  <c r="AH232" i="1"/>
  <c r="AH205" i="1"/>
  <c r="AL167" i="1"/>
  <c r="AH207" i="1"/>
  <c r="AH222" i="1"/>
  <c r="AH223" i="1" s="1"/>
  <c r="AH181" i="1"/>
  <c r="AD235" i="1"/>
  <c r="AD218" i="1"/>
  <c r="AD173" i="1"/>
  <c r="AD217" i="1"/>
  <c r="AD234" i="1"/>
  <c r="AH190" i="1"/>
  <c r="AH183" i="1"/>
  <c r="AH185" i="1"/>
  <c r="AH189" i="1"/>
  <c r="AH184" i="1"/>
  <c r="AH186" i="1"/>
  <c r="AL191" i="1" l="1"/>
  <c r="AI167" i="1"/>
  <c r="AJ167" i="1"/>
  <c r="AK167" i="1"/>
  <c r="AL212" i="1"/>
  <c r="AQ191" i="1"/>
  <c r="AV191" i="1" s="1"/>
  <c r="BA191" i="1" s="1"/>
  <c r="BB191" i="1" s="1"/>
  <c r="AL202" i="1"/>
  <c r="AL214" i="1"/>
  <c r="AL181" i="1"/>
  <c r="AQ167" i="1"/>
  <c r="AL213" i="1"/>
  <c r="AH173" i="1"/>
  <c r="AL216" i="1"/>
  <c r="AL228" i="1"/>
  <c r="AL229" i="1" s="1"/>
  <c r="AL203" i="1"/>
  <c r="AL199" i="1"/>
  <c r="AL224" i="1"/>
  <c r="AL225" i="1" s="1"/>
  <c r="AL207" i="1"/>
  <c r="AL209" i="1"/>
  <c r="AL168" i="1"/>
  <c r="AL230" i="1"/>
  <c r="AL231" i="1" s="1"/>
  <c r="AL226" i="1"/>
  <c r="AL227" i="1" s="1"/>
  <c r="AL232" i="1"/>
  <c r="AL215" i="1"/>
  <c r="AL200" i="1"/>
  <c r="AL201" i="1"/>
  <c r="AL208" i="1"/>
  <c r="AL175" i="1"/>
  <c r="AL222" i="1"/>
  <c r="AL223" i="1" s="1"/>
  <c r="AL205" i="1"/>
  <c r="AH217" i="1"/>
  <c r="AH218" i="1"/>
  <c r="AL211" i="1"/>
  <c r="AH234" i="1"/>
  <c r="AL171" i="1"/>
  <c r="AL172" i="1" s="1"/>
  <c r="AL204" i="1"/>
  <c r="AL206" i="1"/>
  <c r="AL210" i="1"/>
  <c r="AH235" i="1"/>
  <c r="AF224" i="1"/>
  <c r="AF225" i="1" s="1"/>
  <c r="AF230" i="1"/>
  <c r="AF231" i="1" s="1"/>
  <c r="AF226" i="1"/>
  <c r="AF227" i="1" s="1"/>
  <c r="AF181" i="1"/>
  <c r="AF168" i="1"/>
  <c r="AF171" i="1"/>
  <c r="AF222" i="1"/>
  <c r="AF175" i="1"/>
  <c r="AF232" i="1"/>
  <c r="AF228" i="1"/>
  <c r="AF229" i="1" s="1"/>
  <c r="AF202" i="1"/>
  <c r="AF201" i="1"/>
  <c r="AF210" i="1"/>
  <c r="AF203" i="1"/>
  <c r="AF207" i="1"/>
  <c r="AF209" i="1"/>
  <c r="AF213" i="1"/>
  <c r="AF204" i="1"/>
  <c r="AF208" i="1"/>
  <c r="AF214" i="1"/>
  <c r="AF215" i="1"/>
  <c r="AF211" i="1"/>
  <c r="AF199" i="1"/>
  <c r="AF205" i="1"/>
  <c r="AF216" i="1"/>
  <c r="AF212" i="1"/>
  <c r="AF206" i="1"/>
  <c r="AF200" i="1"/>
  <c r="AG224" i="1"/>
  <c r="AG225" i="1" s="1"/>
  <c r="AG230" i="1"/>
  <c r="AG231" i="1" s="1"/>
  <c r="AG171" i="1"/>
  <c r="AG226" i="1"/>
  <c r="AG227" i="1" s="1"/>
  <c r="AG228" i="1"/>
  <c r="AG229" i="1" s="1"/>
  <c r="AG222" i="1"/>
  <c r="AG175" i="1"/>
  <c r="AG232" i="1"/>
  <c r="AG181" i="1"/>
  <c r="AG168" i="1"/>
  <c r="AG201" i="1"/>
  <c r="AG202" i="1"/>
  <c r="AG213" i="1"/>
  <c r="AG214" i="1"/>
  <c r="AG203" i="1"/>
  <c r="AG207" i="1"/>
  <c r="AG199" i="1"/>
  <c r="AG210" i="1"/>
  <c r="AG209" i="1"/>
  <c r="AG204" i="1"/>
  <c r="AG208" i="1"/>
  <c r="AG206" i="1"/>
  <c r="AG215" i="1"/>
  <c r="AG211" i="1"/>
  <c r="AG205" i="1"/>
  <c r="AG216" i="1"/>
  <c r="AG212" i="1"/>
  <c r="AG200" i="1"/>
  <c r="AE168" i="1"/>
  <c r="AE175" i="1"/>
  <c r="AE222" i="1"/>
  <c r="AE171" i="1"/>
  <c r="AE232" i="1"/>
  <c r="AE228" i="1"/>
  <c r="AE229" i="1" s="1"/>
  <c r="AE181" i="1"/>
  <c r="AE224" i="1"/>
  <c r="AE225" i="1" s="1"/>
  <c r="AE230" i="1"/>
  <c r="AE231" i="1" s="1"/>
  <c r="AE226" i="1"/>
  <c r="AE227" i="1" s="1"/>
  <c r="AE201" i="1"/>
  <c r="AE202" i="1"/>
  <c r="AE203" i="1"/>
  <c r="AE207" i="1"/>
  <c r="AE209" i="1"/>
  <c r="AE213" i="1"/>
  <c r="AE204" i="1"/>
  <c r="AE208" i="1"/>
  <c r="AE214" i="1"/>
  <c r="AE210" i="1"/>
  <c r="AE211" i="1"/>
  <c r="AE199" i="1"/>
  <c r="AE205" i="1"/>
  <c r="AE216" i="1"/>
  <c r="AE212" i="1"/>
  <c r="AE200" i="1"/>
  <c r="AE215" i="1"/>
  <c r="AE206" i="1"/>
  <c r="AL192" i="1"/>
  <c r="AL190" i="1"/>
  <c r="W174" i="1" s="1"/>
  <c r="AL189" i="1"/>
  <c r="AL184" i="1"/>
  <c r="AL183" i="1"/>
  <c r="AL185" i="1"/>
  <c r="AL186" i="1"/>
  <c r="AQ203" i="1"/>
  <c r="Z176" i="1" l="1"/>
  <c r="AB182" i="1"/>
  <c r="W179" i="1"/>
  <c r="W180" i="1" s="1"/>
  <c r="V174" i="1"/>
  <c r="U174" i="1"/>
  <c r="AB174" i="1"/>
  <c r="AE176" i="1"/>
  <c r="V177" i="1"/>
  <c r="V178" i="1" s="1"/>
  <c r="AX177" i="1"/>
  <c r="AX179" i="1"/>
  <c r="AX180" i="1" s="1"/>
  <c r="AX182" i="1"/>
  <c r="T177" i="1"/>
  <c r="T178" i="1" s="1"/>
  <c r="AE179" i="1"/>
  <c r="AE180" i="1" s="1"/>
  <c r="V179" i="1"/>
  <c r="V180" i="1" s="1"/>
  <c r="Y177" i="1"/>
  <c r="Y178" i="1" s="1"/>
  <c r="AA174" i="1"/>
  <c r="Y176" i="1"/>
  <c r="AJ182" i="1"/>
  <c r="AF182" i="1"/>
  <c r="Q177" i="1"/>
  <c r="Q178" i="1" s="1"/>
  <c r="Q169" i="1" s="1"/>
  <c r="Q170" i="1" s="1"/>
  <c r="AC174" i="1"/>
  <c r="V176" i="1"/>
  <c r="V169" i="1" s="1"/>
  <c r="V170" i="1" s="1"/>
  <c r="U176" i="1"/>
  <c r="AE182" i="1"/>
  <c r="T174" i="1"/>
  <c r="AG182" i="1"/>
  <c r="U177" i="1"/>
  <c r="U178" i="1" s="1"/>
  <c r="X179" i="1"/>
  <c r="X180" i="1" s="1"/>
  <c r="AD182" i="1"/>
  <c r="U179" i="1"/>
  <c r="U180" i="1" s="1"/>
  <c r="T176" i="1"/>
  <c r="S177" i="1"/>
  <c r="S178" i="1" s="1"/>
  <c r="S169" i="1" s="1"/>
  <c r="S170" i="1" s="1"/>
  <c r="Z174" i="1"/>
  <c r="Y179" i="1"/>
  <c r="Y180" i="1" s="1"/>
  <c r="R177" i="1"/>
  <c r="R178" i="1" s="1"/>
  <c r="R169" i="1" s="1"/>
  <c r="R170" i="1" s="1"/>
  <c r="W177" i="1"/>
  <c r="W178" i="1" s="1"/>
  <c r="AC182" i="1"/>
  <c r="Z177" i="1"/>
  <c r="Z178" i="1" s="1"/>
  <c r="X176" i="1"/>
  <c r="AI182" i="1"/>
  <c r="T179" i="1"/>
  <c r="T180" i="1" s="1"/>
  <c r="W176" i="1"/>
  <c r="Y174" i="1"/>
  <c r="X174" i="1"/>
  <c r="Z179" i="1"/>
  <c r="Z180" i="1" s="1"/>
  <c r="AK182" i="1"/>
  <c r="X177" i="1"/>
  <c r="X178" i="1" s="1"/>
  <c r="AQ175" i="1"/>
  <c r="AQ228" i="1"/>
  <c r="AQ229" i="1" s="1"/>
  <c r="AN167" i="1"/>
  <c r="AQ222" i="1"/>
  <c r="AQ223" i="1" s="1"/>
  <c r="AM167" i="1"/>
  <c r="AO167" i="1"/>
  <c r="AP167" i="1"/>
  <c r="AQ171" i="1"/>
  <c r="AQ173" i="1" s="1"/>
  <c r="AV167" i="1"/>
  <c r="AV181" i="1" s="1"/>
  <c r="AQ206" i="1"/>
  <c r="AQ181" i="1"/>
  <c r="AQ215" i="1"/>
  <c r="AQ212" i="1"/>
  <c r="AQ205" i="1"/>
  <c r="AQ207" i="1"/>
  <c r="AQ216" i="1"/>
  <c r="AQ210" i="1"/>
  <c r="AQ232" i="1"/>
  <c r="AQ200" i="1"/>
  <c r="AQ208" i="1"/>
  <c r="AQ201" i="1"/>
  <c r="AQ214" i="1"/>
  <c r="AQ226" i="1"/>
  <c r="AQ227" i="1" s="1"/>
  <c r="AQ230" i="1"/>
  <c r="AQ231" i="1" s="1"/>
  <c r="AK171" i="1"/>
  <c r="AK226" i="1"/>
  <c r="AK227" i="1" s="1"/>
  <c r="AK230" i="1"/>
  <c r="AK231" i="1" s="1"/>
  <c r="AK199" i="1"/>
  <c r="AK203" i="1"/>
  <c r="AK207" i="1"/>
  <c r="AK211" i="1"/>
  <c r="AK215" i="1"/>
  <c r="AK222" i="1"/>
  <c r="AK206" i="1"/>
  <c r="AK200" i="1"/>
  <c r="AK204" i="1"/>
  <c r="AK208" i="1"/>
  <c r="AK212" i="1"/>
  <c r="AK216" i="1"/>
  <c r="AK191" i="1"/>
  <c r="AK214" i="1"/>
  <c r="AK224" i="1"/>
  <c r="AK225" i="1" s="1"/>
  <c r="AK228" i="1"/>
  <c r="AK229" i="1" s="1"/>
  <c r="AK232" i="1"/>
  <c r="AK201" i="1"/>
  <c r="AK205" i="1"/>
  <c r="AK209" i="1"/>
  <c r="AK213" i="1"/>
  <c r="AK210" i="1"/>
  <c r="AK202" i="1"/>
  <c r="AK181" i="1"/>
  <c r="AK175" i="1"/>
  <c r="AK168" i="1"/>
  <c r="AQ204" i="1"/>
  <c r="AQ168" i="1"/>
  <c r="AJ175" i="1"/>
  <c r="AJ226" i="1"/>
  <c r="AJ227" i="1" s="1"/>
  <c r="AJ230" i="1"/>
  <c r="AJ231" i="1" s="1"/>
  <c r="AJ199" i="1"/>
  <c r="AJ203" i="1"/>
  <c r="AJ207" i="1"/>
  <c r="AJ211" i="1"/>
  <c r="AJ215" i="1"/>
  <c r="AJ228" i="1"/>
  <c r="AJ229" i="1" s="1"/>
  <c r="AJ205" i="1"/>
  <c r="AJ202" i="1"/>
  <c r="AJ222" i="1"/>
  <c r="AJ224" i="1"/>
  <c r="AJ225" i="1" s="1"/>
  <c r="AJ201" i="1"/>
  <c r="AJ213" i="1"/>
  <c r="AJ210" i="1"/>
  <c r="AJ200" i="1"/>
  <c r="AJ204" i="1"/>
  <c r="AJ208" i="1"/>
  <c r="AJ212" i="1"/>
  <c r="AJ216" i="1"/>
  <c r="AJ232" i="1"/>
  <c r="AJ209" i="1"/>
  <c r="AJ191" i="1"/>
  <c r="AJ206" i="1"/>
  <c r="AJ214" i="1"/>
  <c r="AJ168" i="1"/>
  <c r="AJ171" i="1"/>
  <c r="AJ181" i="1"/>
  <c r="AQ211" i="1"/>
  <c r="AQ202" i="1"/>
  <c r="AQ209" i="1"/>
  <c r="AQ199" i="1"/>
  <c r="AQ213" i="1"/>
  <c r="AQ224" i="1"/>
  <c r="AQ225" i="1" s="1"/>
  <c r="AI181" i="1"/>
  <c r="AI222" i="1"/>
  <c r="AI210" i="1"/>
  <c r="AI203" i="1"/>
  <c r="AI207" i="1"/>
  <c r="AI200" i="1"/>
  <c r="AI204" i="1"/>
  <c r="AI208" i="1"/>
  <c r="AI212" i="1"/>
  <c r="AI216" i="1"/>
  <c r="AI202" i="1"/>
  <c r="AI226" i="1"/>
  <c r="AI227" i="1" s="1"/>
  <c r="AI211" i="1"/>
  <c r="AI215" i="1"/>
  <c r="AI224" i="1"/>
  <c r="AI225" i="1" s="1"/>
  <c r="AI228" i="1"/>
  <c r="AI229" i="1" s="1"/>
  <c r="AI232" i="1"/>
  <c r="AI201" i="1"/>
  <c r="AI205" i="1"/>
  <c r="AI209" i="1"/>
  <c r="AI213" i="1"/>
  <c r="AI214" i="1"/>
  <c r="AI199" i="1"/>
  <c r="AI206" i="1"/>
  <c r="AI230" i="1"/>
  <c r="AI231" i="1" s="1"/>
  <c r="AI168" i="1"/>
  <c r="AI175" i="1"/>
  <c r="AI171" i="1"/>
  <c r="BC191" i="1"/>
  <c r="BB192" i="1"/>
  <c r="AL173" i="1"/>
  <c r="AL234" i="1"/>
  <c r="AL217" i="1"/>
  <c r="AL235" i="1"/>
  <c r="AL218" i="1"/>
  <c r="AG218" i="1"/>
  <c r="AE218" i="1"/>
  <c r="AE172" i="1"/>
  <c r="AE173" i="1"/>
  <c r="AE174" i="1" s="1"/>
  <c r="AE234" i="1"/>
  <c r="AE223" i="1"/>
  <c r="AE235" i="1" s="1"/>
  <c r="AF217" i="1"/>
  <c r="AG223" i="1"/>
  <c r="AG235" i="1" s="1"/>
  <c r="AG234" i="1"/>
  <c r="AG217" i="1"/>
  <c r="AG172" i="1"/>
  <c r="AG173" i="1"/>
  <c r="AF223" i="1"/>
  <c r="AF235" i="1" s="1"/>
  <c r="AF234" i="1"/>
  <c r="AE217" i="1"/>
  <c r="AF172" i="1"/>
  <c r="AF173" i="1"/>
  <c r="AF218" i="1"/>
  <c r="AD174" i="1"/>
  <c r="AB176" i="1"/>
  <c r="AC176" i="1"/>
  <c r="AD176" i="1"/>
  <c r="AA176" i="1"/>
  <c r="AA179" i="1"/>
  <c r="AA180" i="1" s="1"/>
  <c r="AA177" i="1"/>
  <c r="AA178" i="1" s="1"/>
  <c r="AB177" i="1"/>
  <c r="AB178" i="1" s="1"/>
  <c r="AB179" i="1"/>
  <c r="AB180" i="1" s="1"/>
  <c r="AC179" i="1"/>
  <c r="AC180" i="1" s="1"/>
  <c r="AC177" i="1"/>
  <c r="AC178" i="1" s="1"/>
  <c r="AD179" i="1"/>
  <c r="AD180" i="1" s="1"/>
  <c r="AH182" i="1"/>
  <c r="AQ190" i="1"/>
  <c r="AQ192" i="1"/>
  <c r="AQ184" i="1"/>
  <c r="AQ185" i="1"/>
  <c r="AQ183" i="1"/>
  <c r="AQ186" i="1"/>
  <c r="AQ189" i="1"/>
  <c r="U169" i="1" l="1"/>
  <c r="U170" i="1" s="1"/>
  <c r="T169" i="1"/>
  <c r="T170" i="1" s="1"/>
  <c r="W169" i="1"/>
  <c r="W170" i="1" s="1"/>
  <c r="AV203" i="1"/>
  <c r="AX178" i="1"/>
  <c r="Y169" i="1"/>
  <c r="Y170" i="1" s="1"/>
  <c r="X169" i="1"/>
  <c r="X170" i="1" s="1"/>
  <c r="Z169" i="1"/>
  <c r="Z170" i="1" s="1"/>
  <c r="AN224" i="1"/>
  <c r="AN225" i="1" s="1"/>
  <c r="AN228" i="1"/>
  <c r="AN229" i="1" s="1"/>
  <c r="AN232" i="1"/>
  <c r="AN200" i="1"/>
  <c r="AN203" i="1"/>
  <c r="AN206" i="1"/>
  <c r="AN209" i="1"/>
  <c r="AN212" i="1"/>
  <c r="AN215" i="1"/>
  <c r="AN204" i="1"/>
  <c r="AN216" i="1"/>
  <c r="AN201" i="1"/>
  <c r="AN210" i="1"/>
  <c r="AN213" i="1"/>
  <c r="AN222" i="1"/>
  <c r="AN226" i="1"/>
  <c r="AN227" i="1" s="1"/>
  <c r="AN207" i="1"/>
  <c r="AN230" i="1"/>
  <c r="AN231" i="1" s="1"/>
  <c r="AN199" i="1"/>
  <c r="AN202" i="1"/>
  <c r="AN205" i="1"/>
  <c r="AN208" i="1"/>
  <c r="AN211" i="1"/>
  <c r="AN214" i="1"/>
  <c r="AM215" i="1"/>
  <c r="AM208" i="1"/>
  <c r="AM211" i="1"/>
  <c r="AM224" i="1"/>
  <c r="AM225" i="1" s="1"/>
  <c r="AM228" i="1"/>
  <c r="AM229" i="1" s="1"/>
  <c r="AM232" i="1"/>
  <c r="AM200" i="1"/>
  <c r="AM203" i="1"/>
  <c r="AM206" i="1"/>
  <c r="AM209" i="1"/>
  <c r="AM212" i="1"/>
  <c r="AM202" i="1"/>
  <c r="AM205" i="1"/>
  <c r="AM222" i="1"/>
  <c r="AM226" i="1"/>
  <c r="AM227" i="1" s="1"/>
  <c r="AM201" i="1"/>
  <c r="AM204" i="1"/>
  <c r="AM207" i="1"/>
  <c r="AM210" i="1"/>
  <c r="AM213" i="1"/>
  <c r="AM216" i="1"/>
  <c r="AM214" i="1"/>
  <c r="AM230" i="1"/>
  <c r="AM231" i="1" s="1"/>
  <c r="AM199" i="1"/>
  <c r="AT167" i="1"/>
  <c r="AR167" i="1"/>
  <c r="AU167" i="1"/>
  <c r="AP204" i="1"/>
  <c r="AP230" i="1"/>
  <c r="AP231" i="1" s="1"/>
  <c r="AP199" i="1"/>
  <c r="AP202" i="1"/>
  <c r="AP205" i="1"/>
  <c r="AP208" i="1"/>
  <c r="AP211" i="1"/>
  <c r="AP214" i="1"/>
  <c r="AP210" i="1"/>
  <c r="AP201" i="1"/>
  <c r="AP222" i="1"/>
  <c r="AP226" i="1"/>
  <c r="AP227" i="1" s="1"/>
  <c r="AP224" i="1"/>
  <c r="AP225" i="1" s="1"/>
  <c r="AP228" i="1"/>
  <c r="AP229" i="1" s="1"/>
  <c r="AP232" i="1"/>
  <c r="AP200" i="1"/>
  <c r="AP203" i="1"/>
  <c r="AP206" i="1"/>
  <c r="AP209" i="1"/>
  <c r="AP212" i="1"/>
  <c r="AP215" i="1"/>
  <c r="AP207" i="1"/>
  <c r="AP216" i="1"/>
  <c r="AP213" i="1"/>
  <c r="AS167" i="1"/>
  <c r="AO230" i="1"/>
  <c r="AO231" i="1" s="1"/>
  <c r="AO199" i="1"/>
  <c r="AO202" i="1"/>
  <c r="AO205" i="1"/>
  <c r="AO208" i="1"/>
  <c r="AO211" i="1"/>
  <c r="AO214" i="1"/>
  <c r="AO204" i="1"/>
  <c r="AO210" i="1"/>
  <c r="AO224" i="1"/>
  <c r="AO225" i="1" s="1"/>
  <c r="AO228" i="1"/>
  <c r="AO229" i="1" s="1"/>
  <c r="AO232" i="1"/>
  <c r="AO200" i="1"/>
  <c r="AO203" i="1"/>
  <c r="AO206" i="1"/>
  <c r="AO209" i="1"/>
  <c r="AO212" i="1"/>
  <c r="AO215" i="1"/>
  <c r="AO213" i="1"/>
  <c r="AO207" i="1"/>
  <c r="AO216" i="1"/>
  <c r="AO222" i="1"/>
  <c r="AO226" i="1"/>
  <c r="AO227" i="1" s="1"/>
  <c r="AO201" i="1"/>
  <c r="AV205" i="1"/>
  <c r="AV207" i="1"/>
  <c r="AV211" i="1"/>
  <c r="AV209" i="1"/>
  <c r="AV199" i="1"/>
  <c r="AV201" i="1"/>
  <c r="BA167" i="1"/>
  <c r="D163" i="1" s="1"/>
  <c r="AV168" i="1"/>
  <c r="AQ172" i="1"/>
  <c r="AV202" i="1"/>
  <c r="AI192" i="1"/>
  <c r="AN191" i="1"/>
  <c r="AJ192" i="1"/>
  <c r="AO191" i="1"/>
  <c r="AV232" i="1"/>
  <c r="AP168" i="1"/>
  <c r="AP181" i="1"/>
  <c r="AP171" i="1"/>
  <c r="AP175" i="1"/>
  <c r="AV206" i="1"/>
  <c r="AV215" i="1"/>
  <c r="AV210" i="1"/>
  <c r="AV204" i="1"/>
  <c r="AV226" i="1"/>
  <c r="AV227" i="1" s="1"/>
  <c r="AO168" i="1"/>
  <c r="AO181" i="1"/>
  <c r="AO171" i="1"/>
  <c r="AO175" i="1"/>
  <c r="AK192" i="1"/>
  <c r="AP191" i="1"/>
  <c r="AM168" i="1"/>
  <c r="AM181" i="1"/>
  <c r="AM171" i="1"/>
  <c r="AM175" i="1"/>
  <c r="AV208" i="1"/>
  <c r="AV230" i="1"/>
  <c r="AV231" i="1" s="1"/>
  <c r="AV212" i="1"/>
  <c r="AV200" i="1"/>
  <c r="AV228" i="1"/>
  <c r="AV229" i="1" s="1"/>
  <c r="AV175" i="1"/>
  <c r="AV224" i="1"/>
  <c r="AV225" i="1" s="1"/>
  <c r="AV213" i="1"/>
  <c r="AV216" i="1"/>
  <c r="AV222" i="1"/>
  <c r="AV171" i="1"/>
  <c r="AV173" i="1" s="1"/>
  <c r="AN168" i="1"/>
  <c r="AN181" i="1"/>
  <c r="AN171" i="1"/>
  <c r="AN175" i="1"/>
  <c r="AV214" i="1"/>
  <c r="AK217" i="1"/>
  <c r="AQ217" i="1"/>
  <c r="AQ234" i="1"/>
  <c r="AQ218" i="1"/>
  <c r="AQ235" i="1"/>
  <c r="AI173" i="1"/>
  <c r="AI172" i="1"/>
  <c r="AJ173" i="1"/>
  <c r="AJ172" i="1"/>
  <c r="AJ217" i="1"/>
  <c r="AK218" i="1"/>
  <c r="AI218" i="1"/>
  <c r="AI223" i="1"/>
  <c r="AI235" i="1" s="1"/>
  <c r="AI234" i="1"/>
  <c r="AK223" i="1"/>
  <c r="AK235" i="1" s="1"/>
  <c r="AK234" i="1"/>
  <c r="AK173" i="1"/>
  <c r="AK172" i="1"/>
  <c r="AJ223" i="1"/>
  <c r="AJ235" i="1" s="1"/>
  <c r="AJ234" i="1"/>
  <c r="AI217" i="1"/>
  <c r="AJ218" i="1"/>
  <c r="BD191" i="1"/>
  <c r="BC192" i="1"/>
  <c r="AC169" i="1"/>
  <c r="AC170" i="1" s="1"/>
  <c r="AB169" i="1"/>
  <c r="AB170" i="1" s="1"/>
  <c r="AA169" i="1"/>
  <c r="AA170" i="1" s="1"/>
  <c r="AV190" i="1"/>
  <c r="AW177" i="1" s="1"/>
  <c r="AV192" i="1"/>
  <c r="AV185" i="1"/>
  <c r="AV184" i="1"/>
  <c r="AV183" i="1"/>
  <c r="AV186" i="1"/>
  <c r="AV189" i="1"/>
  <c r="BA226" i="1"/>
  <c r="BA227" i="1" s="1"/>
  <c r="BA222" i="1"/>
  <c r="BA228" i="1"/>
  <c r="BA229" i="1" s="1"/>
  <c r="BA200" i="1"/>
  <c r="BA205" i="1"/>
  <c r="BA211" i="1" l="1"/>
  <c r="BA171" i="1"/>
  <c r="BA173" i="1" s="1"/>
  <c r="AW179" i="1"/>
  <c r="AW180" i="1" s="1"/>
  <c r="AW178" i="1" s="1"/>
  <c r="AX167" i="1"/>
  <c r="AY167" i="1"/>
  <c r="AZ167" i="1"/>
  <c r="AW167" i="1"/>
  <c r="BA208" i="1"/>
  <c r="BA215" i="1"/>
  <c r="AW182" i="1"/>
  <c r="BA210" i="1"/>
  <c r="BA213" i="1"/>
  <c r="BA224" i="1"/>
  <c r="BA225" i="1" s="1"/>
  <c r="AM217" i="1"/>
  <c r="AM218" i="1"/>
  <c r="BA209" i="1"/>
  <c r="BA206" i="1"/>
  <c r="BA212" i="1"/>
  <c r="BA175" i="1"/>
  <c r="BA214" i="1"/>
  <c r="BA204" i="1"/>
  <c r="BA216" i="1"/>
  <c r="BA201" i="1"/>
  <c r="BA199" i="1"/>
  <c r="BA232" i="1"/>
  <c r="BA181" i="1"/>
  <c r="BA168" i="1"/>
  <c r="BA230" i="1"/>
  <c r="BA231" i="1" s="1"/>
  <c r="AR177" i="1"/>
  <c r="AR182" i="1"/>
  <c r="AO192" i="1"/>
  <c r="AT191" i="1"/>
  <c r="AN192" i="1"/>
  <c r="AS191" i="1"/>
  <c r="AO217" i="1"/>
  <c r="AS222" i="1"/>
  <c r="AS226" i="1"/>
  <c r="AS227" i="1" s="1"/>
  <c r="AS201" i="1"/>
  <c r="AS204" i="1"/>
  <c r="AS207" i="1"/>
  <c r="AS210" i="1"/>
  <c r="AS213" i="1"/>
  <c r="AS216" i="1"/>
  <c r="AS230" i="1"/>
  <c r="AS231" i="1" s="1"/>
  <c r="AS199" i="1"/>
  <c r="AS202" i="1"/>
  <c r="AS205" i="1"/>
  <c r="AS208" i="1"/>
  <c r="AS211" i="1"/>
  <c r="AS214" i="1"/>
  <c r="AS168" i="1"/>
  <c r="AS181" i="1"/>
  <c r="AS224" i="1"/>
  <c r="AS225" i="1" s="1"/>
  <c r="AS228" i="1"/>
  <c r="AS229" i="1" s="1"/>
  <c r="AS232" i="1"/>
  <c r="AS200" i="1"/>
  <c r="AS203" i="1"/>
  <c r="AS206" i="1"/>
  <c r="AS209" i="1"/>
  <c r="AS212" i="1"/>
  <c r="AS215" i="1"/>
  <c r="AS171" i="1"/>
  <c r="AS175" i="1"/>
  <c r="AP218" i="1"/>
  <c r="AU175" i="1"/>
  <c r="AU222" i="1"/>
  <c r="AU226" i="1"/>
  <c r="AU227" i="1" s="1"/>
  <c r="AU201" i="1"/>
  <c r="AU204" i="1"/>
  <c r="AU207" i="1"/>
  <c r="AU210" i="1"/>
  <c r="AU213" i="1"/>
  <c r="AU216" i="1"/>
  <c r="AU230" i="1"/>
  <c r="AU231" i="1" s="1"/>
  <c r="AU199" i="1"/>
  <c r="AU202" i="1"/>
  <c r="AU205" i="1"/>
  <c r="AU208" i="1"/>
  <c r="AU211" i="1"/>
  <c r="AU214" i="1"/>
  <c r="AU168" i="1"/>
  <c r="AU181" i="1"/>
  <c r="AU224" i="1"/>
  <c r="AU225" i="1" s="1"/>
  <c r="AU228" i="1"/>
  <c r="AU229" i="1" s="1"/>
  <c r="AU232" i="1"/>
  <c r="AU200" i="1"/>
  <c r="AU203" i="1"/>
  <c r="AU206" i="1"/>
  <c r="AU209" i="1"/>
  <c r="AU212" i="1"/>
  <c r="AU215" i="1"/>
  <c r="AU171" i="1"/>
  <c r="AN234" i="1"/>
  <c r="AN223" i="1"/>
  <c r="AN235" i="1" s="1"/>
  <c r="AO223" i="1"/>
  <c r="AO235" i="1" s="1"/>
  <c r="AO234" i="1"/>
  <c r="AP223" i="1"/>
  <c r="AP235" i="1" s="1"/>
  <c r="AP234" i="1"/>
  <c r="AR222" i="1"/>
  <c r="AR226" i="1"/>
  <c r="AR227" i="1" s="1"/>
  <c r="AR201" i="1"/>
  <c r="AR204" i="1"/>
  <c r="AR207" i="1"/>
  <c r="AR210" i="1"/>
  <c r="AR213" i="1"/>
  <c r="AR216" i="1"/>
  <c r="AR230" i="1"/>
  <c r="AR231" i="1" s="1"/>
  <c r="AR199" i="1"/>
  <c r="AR202" i="1"/>
  <c r="AR205" i="1"/>
  <c r="AR208" i="1"/>
  <c r="AR211" i="1"/>
  <c r="AR214" i="1"/>
  <c r="AR168" i="1"/>
  <c r="AR181" i="1"/>
  <c r="AR224" i="1"/>
  <c r="AR225" i="1" s="1"/>
  <c r="AR228" i="1"/>
  <c r="AR229" i="1" s="1"/>
  <c r="AR232" i="1"/>
  <c r="AR200" i="1"/>
  <c r="AR203" i="1"/>
  <c r="AR206" i="1"/>
  <c r="AR209" i="1"/>
  <c r="AR212" i="1"/>
  <c r="AR215" i="1"/>
  <c r="AR171" i="1"/>
  <c r="AR175" i="1"/>
  <c r="AR176" i="1" s="1"/>
  <c r="AM234" i="1"/>
  <c r="AM223" i="1"/>
  <c r="AM235" i="1" s="1"/>
  <c r="AP217" i="1"/>
  <c r="AT206" i="1"/>
  <c r="AT171" i="1"/>
  <c r="AT212" i="1"/>
  <c r="AT222" i="1"/>
  <c r="AT226" i="1"/>
  <c r="AT227" i="1" s="1"/>
  <c r="AT201" i="1"/>
  <c r="AT204" i="1"/>
  <c r="AT207" i="1"/>
  <c r="AT210" i="1"/>
  <c r="AT213" i="1"/>
  <c r="AT216" i="1"/>
  <c r="AT228" i="1"/>
  <c r="AT229" i="1" s="1"/>
  <c r="AT200" i="1"/>
  <c r="AT203" i="1"/>
  <c r="AT209" i="1"/>
  <c r="AT230" i="1"/>
  <c r="AT231" i="1" s="1"/>
  <c r="AT199" i="1"/>
  <c r="AT202" i="1"/>
  <c r="AT205" i="1"/>
  <c r="AT208" i="1"/>
  <c r="AT211" i="1"/>
  <c r="AT214" i="1"/>
  <c r="AT168" i="1"/>
  <c r="AT224" i="1"/>
  <c r="AT225" i="1" s="1"/>
  <c r="AT181" i="1"/>
  <c r="AT215" i="1"/>
  <c r="AT175" i="1"/>
  <c r="AT232" i="1"/>
  <c r="AN218" i="1"/>
  <c r="AV234" i="1"/>
  <c r="AO218" i="1"/>
  <c r="AN217" i="1"/>
  <c r="AP192" i="1"/>
  <c r="AU191" i="1"/>
  <c r="BA207" i="1"/>
  <c r="BB167" i="1"/>
  <c r="BB205" i="1" s="1"/>
  <c r="AV217" i="1"/>
  <c r="BA203" i="1"/>
  <c r="BA202" i="1"/>
  <c r="AV172" i="1"/>
  <c r="AN176" i="1"/>
  <c r="AV218" i="1"/>
  <c r="AO173" i="1"/>
  <c r="AO174" i="1" s="1"/>
  <c r="AO172" i="1"/>
  <c r="AN173" i="1"/>
  <c r="AN172" i="1"/>
  <c r="AP172" i="1"/>
  <c r="AP173" i="1"/>
  <c r="AV223" i="1"/>
  <c r="AV235" i="1" s="1"/>
  <c r="AI176" i="1"/>
  <c r="AM182" i="1"/>
  <c r="AN179" i="1"/>
  <c r="AN180" i="1" s="1"/>
  <c r="AN182" i="1"/>
  <c r="AN177" i="1"/>
  <c r="AP182" i="1"/>
  <c r="AM179" i="1"/>
  <c r="AM180" i="1" s="1"/>
  <c r="AM176" i="1"/>
  <c r="AM173" i="1"/>
  <c r="AM174" i="1" s="1"/>
  <c r="AM172" i="1"/>
  <c r="AJ177" i="1"/>
  <c r="AI177" i="1"/>
  <c r="AJ179" i="1"/>
  <c r="AJ180" i="1" s="1"/>
  <c r="AI179" i="1"/>
  <c r="AI180" i="1" s="1"/>
  <c r="AK177" i="1"/>
  <c r="AK179" i="1"/>
  <c r="AK180" i="1" s="1"/>
  <c r="AJ174" i="1"/>
  <c r="AI174" i="1"/>
  <c r="AK174" i="1"/>
  <c r="AJ176" i="1"/>
  <c r="AK176" i="1"/>
  <c r="BE191" i="1"/>
  <c r="BD192" i="1"/>
  <c r="BA172" i="1"/>
  <c r="BB230" i="1"/>
  <c r="BB231" i="1" s="1"/>
  <c r="BB228" i="1"/>
  <c r="BB229" i="1" s="1"/>
  <c r="BA190" i="1"/>
  <c r="AO179" i="1" s="1"/>
  <c r="AO180" i="1" s="1"/>
  <c r="BA192" i="1"/>
  <c r="BA186" i="1"/>
  <c r="BA183" i="1"/>
  <c r="BA189" i="1"/>
  <c r="BA184" i="1"/>
  <c r="BA185" i="1"/>
  <c r="BA223" i="1"/>
  <c r="BA235" i="1" s="1"/>
  <c r="BB181" i="1" l="1"/>
  <c r="BB202" i="1"/>
  <c r="BB200" i="1"/>
  <c r="BB168" i="1"/>
  <c r="AS192" i="1"/>
  <c r="AX191" i="1"/>
  <c r="AX192" i="1" s="1"/>
  <c r="AT192" i="1"/>
  <c r="AU176" i="1" s="1"/>
  <c r="AY191" i="1"/>
  <c r="AY192" i="1" s="1"/>
  <c r="AU192" i="1"/>
  <c r="AV174" i="1" s="1"/>
  <c r="AZ191" i="1"/>
  <c r="AZ192" i="1" s="1"/>
  <c r="BA176" i="1" s="1"/>
  <c r="AW222" i="1"/>
  <c r="AW226" i="1"/>
  <c r="AW227" i="1" s="1"/>
  <c r="AW230" i="1"/>
  <c r="AW231" i="1" s="1"/>
  <c r="AW168" i="1"/>
  <c r="AW224" i="1"/>
  <c r="AW225" i="1" s="1"/>
  <c r="AW181" i="1"/>
  <c r="AW228" i="1"/>
  <c r="AW229" i="1" s="1"/>
  <c r="AW232" i="1"/>
  <c r="AW171" i="1"/>
  <c r="AW175" i="1"/>
  <c r="AW176" i="1" s="1"/>
  <c r="AW169" i="1" s="1"/>
  <c r="AW170" i="1" s="1"/>
  <c r="AW202" i="1"/>
  <c r="AW201" i="1"/>
  <c r="AW204" i="1"/>
  <c r="AW207" i="1"/>
  <c r="AW212" i="1"/>
  <c r="AW199" i="1"/>
  <c r="AW215" i="1"/>
  <c r="AW200" i="1"/>
  <c r="AW216" i="1"/>
  <c r="AW209" i="1"/>
  <c r="AW211" i="1"/>
  <c r="AW214" i="1"/>
  <c r="AW205" i="1"/>
  <c r="AW208" i="1"/>
  <c r="AW203" i="1"/>
  <c r="AW210" i="1"/>
  <c r="AW213" i="1"/>
  <c r="AW206" i="1"/>
  <c r="AZ228" i="1"/>
  <c r="AZ229" i="1" s="1"/>
  <c r="AZ222" i="1"/>
  <c r="AZ226" i="1"/>
  <c r="AZ227" i="1" s="1"/>
  <c r="AZ181" i="1"/>
  <c r="AZ171" i="1"/>
  <c r="AZ230" i="1"/>
  <c r="AZ231" i="1" s="1"/>
  <c r="AZ168" i="1"/>
  <c r="AZ232" i="1"/>
  <c r="AZ175" i="1"/>
  <c r="AZ224" i="1"/>
  <c r="AZ225" i="1" s="1"/>
  <c r="AZ202" i="1"/>
  <c r="AZ201" i="1"/>
  <c r="AZ216" i="1"/>
  <c r="AZ208" i="1"/>
  <c r="AZ214" i="1"/>
  <c r="AZ211" i="1"/>
  <c r="AZ206" i="1"/>
  <c r="AZ215" i="1"/>
  <c r="AZ210" i="1"/>
  <c r="AZ199" i="1"/>
  <c r="AZ212" i="1"/>
  <c r="AZ213" i="1"/>
  <c r="AZ204" i="1"/>
  <c r="AZ209" i="1"/>
  <c r="AZ200" i="1"/>
  <c r="AZ207" i="1"/>
  <c r="AZ205" i="1"/>
  <c r="AZ203" i="1"/>
  <c r="AY175" i="1"/>
  <c r="AY222" i="1"/>
  <c r="AY226" i="1"/>
  <c r="AY227" i="1" s="1"/>
  <c r="AY232" i="1"/>
  <c r="AY230" i="1"/>
  <c r="AY231" i="1" s="1"/>
  <c r="AY168" i="1"/>
  <c r="AY171" i="1"/>
  <c r="AY181" i="1"/>
  <c r="AY224" i="1"/>
  <c r="AY225" i="1" s="1"/>
  <c r="AY228" i="1"/>
  <c r="AY229" i="1" s="1"/>
  <c r="AY202" i="1"/>
  <c r="AY201" i="1"/>
  <c r="AY211" i="1"/>
  <c r="AY203" i="1"/>
  <c r="AY216" i="1"/>
  <c r="AY206" i="1"/>
  <c r="AY212" i="1"/>
  <c r="AY199" i="1"/>
  <c r="AY213" i="1"/>
  <c r="AY205" i="1"/>
  <c r="AY215" i="1"/>
  <c r="AY210" i="1"/>
  <c r="AY214" i="1"/>
  <c r="AY204" i="1"/>
  <c r="AY207" i="1"/>
  <c r="AY209" i="1"/>
  <c r="AY200" i="1"/>
  <c r="AY208" i="1"/>
  <c r="AX222" i="1"/>
  <c r="AX226" i="1"/>
  <c r="AX227" i="1" s="1"/>
  <c r="AX230" i="1"/>
  <c r="AX231" i="1" s="1"/>
  <c r="AX168" i="1"/>
  <c r="AX175" i="1"/>
  <c r="AX176" i="1" s="1"/>
  <c r="AX181" i="1"/>
  <c r="AX232" i="1"/>
  <c r="AX171" i="1"/>
  <c r="AX228" i="1"/>
  <c r="AX229" i="1" s="1"/>
  <c r="AX224" i="1"/>
  <c r="AX225" i="1" s="1"/>
  <c r="AX201" i="1"/>
  <c r="AX202" i="1"/>
  <c r="AX203" i="1"/>
  <c r="AX206" i="1"/>
  <c r="AX208" i="1"/>
  <c r="AX210" i="1"/>
  <c r="AX213" i="1"/>
  <c r="AX215" i="1"/>
  <c r="AX212" i="1"/>
  <c r="AX204" i="1"/>
  <c r="AX199" i="1"/>
  <c r="AX207" i="1"/>
  <c r="AX209" i="1"/>
  <c r="AX214" i="1"/>
  <c r="AX200" i="1"/>
  <c r="AX205" i="1"/>
  <c r="AX216" i="1"/>
  <c r="AX211" i="1"/>
  <c r="AX169" i="1"/>
  <c r="AX170" i="1" s="1"/>
  <c r="BB203" i="1"/>
  <c r="BB201" i="1"/>
  <c r="BA218" i="1"/>
  <c r="AM177" i="1"/>
  <c r="AM178" i="1" s="1"/>
  <c r="AM169" i="1" s="1"/>
  <c r="AM170" i="1" s="1"/>
  <c r="AP177" i="1"/>
  <c r="AR179" i="1"/>
  <c r="AR180" i="1" s="1"/>
  <c r="AR178" i="1" s="1"/>
  <c r="AR169" i="1" s="1"/>
  <c r="AR170" i="1" s="1"/>
  <c r="AS176" i="1"/>
  <c r="AS177" i="1"/>
  <c r="AS182" i="1"/>
  <c r="AS179" i="1"/>
  <c r="AS180" i="1" s="1"/>
  <c r="AO176" i="1"/>
  <c r="AT176" i="1"/>
  <c r="AO182" i="1"/>
  <c r="AN174" i="1"/>
  <c r="BA217" i="1"/>
  <c r="AP176" i="1"/>
  <c r="BA234" i="1"/>
  <c r="AP179" i="1"/>
  <c r="AP180" i="1" s="1"/>
  <c r="AO177" i="1"/>
  <c r="AO178" i="1" s="1"/>
  <c r="AO169" i="1" s="1"/>
  <c r="AO170" i="1" s="1"/>
  <c r="AP174" i="1"/>
  <c r="AT217" i="1"/>
  <c r="BB175" i="1"/>
  <c r="BB176" i="1" s="1"/>
  <c r="BB232" i="1"/>
  <c r="BB199" i="1"/>
  <c r="AT234" i="1"/>
  <c r="AT223" i="1"/>
  <c r="AT235" i="1" s="1"/>
  <c r="BC167" i="1"/>
  <c r="BC216" i="1" s="1"/>
  <c r="BB222" i="1"/>
  <c r="BB223" i="1" s="1"/>
  <c r="BB226" i="1"/>
  <c r="BB227" i="1" s="1"/>
  <c r="AT172" i="1"/>
  <c r="AT173" i="1"/>
  <c r="AT174" i="1" s="1"/>
  <c r="AS172" i="1"/>
  <c r="AS173" i="1"/>
  <c r="AS174" i="1" s="1"/>
  <c r="AS217" i="1"/>
  <c r="BB216" i="1"/>
  <c r="BB224" i="1"/>
  <c r="BB225" i="1" s="1"/>
  <c r="BB171" i="1"/>
  <c r="BB173" i="1" s="1"/>
  <c r="BB174" i="1" s="1"/>
  <c r="AR234" i="1"/>
  <c r="AR223" i="1"/>
  <c r="AR235" i="1" s="1"/>
  <c r="AS234" i="1"/>
  <c r="AS223" i="1"/>
  <c r="AS235" i="1" s="1"/>
  <c r="AS218" i="1"/>
  <c r="BB213" i="1"/>
  <c r="AU218" i="1"/>
  <c r="BB214" i="1"/>
  <c r="BB212" i="1"/>
  <c r="BB211" i="1"/>
  <c r="AU172" i="1"/>
  <c r="AU173" i="1"/>
  <c r="AU217" i="1"/>
  <c r="AT179" i="1"/>
  <c r="AT180" i="1" s="1"/>
  <c r="AT182" i="1"/>
  <c r="AT177" i="1"/>
  <c r="BB215" i="1"/>
  <c r="BB210" i="1"/>
  <c r="BB208" i="1"/>
  <c r="BB209" i="1"/>
  <c r="AR218" i="1"/>
  <c r="AU234" i="1"/>
  <c r="AU223" i="1"/>
  <c r="AU235" i="1" s="1"/>
  <c r="AU177" i="1"/>
  <c r="AU182" i="1"/>
  <c r="AU179" i="1"/>
  <c r="AU180" i="1" s="1"/>
  <c r="BB206" i="1"/>
  <c r="BB207" i="1"/>
  <c r="BB204" i="1"/>
  <c r="AT218" i="1"/>
  <c r="AR172" i="1"/>
  <c r="AR173" i="1"/>
  <c r="AR174" i="1" s="1"/>
  <c r="AR217" i="1"/>
  <c r="AN178" i="1"/>
  <c r="AN169" i="1" s="1"/>
  <c r="AN170" i="1" s="1"/>
  <c r="AK178" i="1"/>
  <c r="AK169" i="1" s="1"/>
  <c r="AK170" i="1" s="1"/>
  <c r="AI178" i="1"/>
  <c r="AI169" i="1" s="1"/>
  <c r="AI170" i="1" s="1"/>
  <c r="AJ178" i="1"/>
  <c r="AJ169" i="1" s="1"/>
  <c r="AJ170" i="1" s="1"/>
  <c r="AH177" i="1"/>
  <c r="AL177" i="1"/>
  <c r="BF191" i="1"/>
  <c r="BF192" i="1" s="1"/>
  <c r="BE192" i="1"/>
  <c r="AF179" i="1"/>
  <c r="AF180" i="1" s="1"/>
  <c r="AF176" i="1"/>
  <c r="AF174" i="1"/>
  <c r="AH176" i="1"/>
  <c r="AL176" i="1"/>
  <c r="AQ176" i="1"/>
  <c r="AG176" i="1"/>
  <c r="AQ174" i="1"/>
  <c r="AG177" i="1"/>
  <c r="AG174" i="1"/>
  <c r="AG179" i="1"/>
  <c r="AG180" i="1" s="1"/>
  <c r="AF177" i="1"/>
  <c r="BB182" i="1"/>
  <c r="AH174" i="1"/>
  <c r="AL174" i="1"/>
  <c r="AH179" i="1"/>
  <c r="AH180" i="1" s="1"/>
  <c r="AL182" i="1"/>
  <c r="BD177" i="1"/>
  <c r="BE177" i="1"/>
  <c r="BE179" i="1"/>
  <c r="BE180" i="1" s="1"/>
  <c r="BC208" i="1"/>
  <c r="BB179" i="1"/>
  <c r="BB180" i="1" s="1"/>
  <c r="BC182" i="1"/>
  <c r="BE182" i="1"/>
  <c r="BD182" i="1"/>
  <c r="BC168" i="1"/>
  <c r="BD179" i="1"/>
  <c r="BD180" i="1" s="1"/>
  <c r="BB177" i="1"/>
  <c r="BC179" i="1"/>
  <c r="BC180" i="1" s="1"/>
  <c r="BC177" i="1"/>
  <c r="AD177" i="1"/>
  <c r="AD178" i="1" s="1"/>
  <c r="AQ182" i="1"/>
  <c r="BG190" i="1"/>
  <c r="BG192" i="1"/>
  <c r="BG177" i="1" s="1"/>
  <c r="BG186" i="1"/>
  <c r="BG183" i="1"/>
  <c r="BG189" i="1"/>
  <c r="BH166" i="1"/>
  <c r="BG185" i="1"/>
  <c r="BG184" i="1"/>
  <c r="AY176" i="1" l="1"/>
  <c r="BA177" i="1"/>
  <c r="AP178" i="1"/>
  <c r="BA182" i="1"/>
  <c r="BA174" i="1"/>
  <c r="AU174" i="1"/>
  <c r="AV176" i="1"/>
  <c r="BC213" i="1"/>
  <c r="BC211" i="1"/>
  <c r="BC207" i="1"/>
  <c r="BC214" i="1"/>
  <c r="BC212" i="1"/>
  <c r="AZ176" i="1"/>
  <c r="AW217" i="1"/>
  <c r="AP169" i="1"/>
  <c r="AP170" i="1" s="1"/>
  <c r="AV182" i="1"/>
  <c r="AY172" i="1"/>
  <c r="AY173" i="1"/>
  <c r="AY174" i="1" s="1"/>
  <c r="AY217" i="1"/>
  <c r="AX218" i="1"/>
  <c r="AX234" i="1"/>
  <c r="AX223" i="1"/>
  <c r="AX235" i="1" s="1"/>
  <c r="AZ217" i="1"/>
  <c r="AY218" i="1"/>
  <c r="AW234" i="1"/>
  <c r="AW223" i="1"/>
  <c r="AW235" i="1" s="1"/>
  <c r="AY234" i="1"/>
  <c r="AY223" i="1"/>
  <c r="AY235" i="1" s="1"/>
  <c r="AZ172" i="1"/>
  <c r="AZ173" i="1"/>
  <c r="AZ174" i="1" s="1"/>
  <c r="AX172" i="1"/>
  <c r="AX173" i="1"/>
  <c r="AX174" i="1" s="1"/>
  <c r="AZ179" i="1"/>
  <c r="AZ180" i="1" s="1"/>
  <c r="AZ177" i="1"/>
  <c r="AZ182" i="1"/>
  <c r="AW173" i="1"/>
  <c r="AW174" i="1" s="1"/>
  <c r="AW172" i="1"/>
  <c r="AZ234" i="1"/>
  <c r="AZ223" i="1"/>
  <c r="AZ235" i="1" s="1"/>
  <c r="AY179" i="1"/>
  <c r="AY180" i="1" s="1"/>
  <c r="AY177" i="1"/>
  <c r="AY182" i="1"/>
  <c r="BB217" i="1"/>
  <c r="AX217" i="1"/>
  <c r="AZ218" i="1"/>
  <c r="AW218" i="1"/>
  <c r="BB218" i="1"/>
  <c r="AS178" i="1"/>
  <c r="AS169" i="1" s="1"/>
  <c r="AS170" i="1" s="1"/>
  <c r="AU178" i="1"/>
  <c r="AU169" i="1" s="1"/>
  <c r="AU170" i="1" s="1"/>
  <c r="BB172" i="1"/>
  <c r="BC209" i="1"/>
  <c r="BC210" i="1"/>
  <c r="BC205" i="1"/>
  <c r="BC206" i="1"/>
  <c r="BB234" i="1"/>
  <c r="BC202" i="1"/>
  <c r="BB235" i="1"/>
  <c r="BC199" i="1"/>
  <c r="BC200" i="1"/>
  <c r="BC201" i="1"/>
  <c r="BC228" i="1"/>
  <c r="BC229" i="1" s="1"/>
  <c r="BC230" i="1"/>
  <c r="BC231" i="1" s="1"/>
  <c r="BC232" i="1"/>
  <c r="BC204" i="1"/>
  <c r="BD167" i="1"/>
  <c r="BD214" i="1" s="1"/>
  <c r="BC222" i="1"/>
  <c r="BC223" i="1" s="1"/>
  <c r="BC226" i="1"/>
  <c r="BC227" i="1" s="1"/>
  <c r="BC203" i="1"/>
  <c r="BC175" i="1"/>
  <c r="BC176" i="1" s="1"/>
  <c r="BC171" i="1"/>
  <c r="BC173" i="1" s="1"/>
  <c r="BC174" i="1" s="1"/>
  <c r="AT178" i="1"/>
  <c r="AT169" i="1" s="1"/>
  <c r="AT170" i="1" s="1"/>
  <c r="BC224" i="1"/>
  <c r="BC225" i="1" s="1"/>
  <c r="BC181" i="1"/>
  <c r="BC215" i="1"/>
  <c r="BF182" i="1"/>
  <c r="AG178" i="1"/>
  <c r="AG169" i="1" s="1"/>
  <c r="AG170" i="1" s="1"/>
  <c r="AF178" i="1"/>
  <c r="AF169" i="1" s="1"/>
  <c r="AF170" i="1" s="1"/>
  <c r="BE178" i="1"/>
  <c r="BD178" i="1"/>
  <c r="BF179" i="1"/>
  <c r="BF180" i="1" s="1"/>
  <c r="BG174" i="1"/>
  <c r="BB178" i="1"/>
  <c r="BB169" i="1" s="1"/>
  <c r="BB170" i="1" s="1"/>
  <c r="AD169" i="1"/>
  <c r="AD170" i="1" s="1"/>
  <c r="BC178" i="1"/>
  <c r="BA179" i="1"/>
  <c r="BA180" i="1" s="1"/>
  <c r="BA178" i="1" s="1"/>
  <c r="AQ177" i="1"/>
  <c r="BG182" i="1"/>
  <c r="AH178" i="1"/>
  <c r="AV179" i="1"/>
  <c r="AV180" i="1" s="1"/>
  <c r="AL179" i="1"/>
  <c r="AL180" i="1" s="1"/>
  <c r="AV177" i="1"/>
  <c r="AQ179" i="1"/>
  <c r="AQ180" i="1" s="1"/>
  <c r="BG176" i="1"/>
  <c r="BG179" i="1"/>
  <c r="BG180" i="1" s="1"/>
  <c r="BG178" i="1" s="1"/>
  <c r="BH190" i="1"/>
  <c r="BF177" i="1" s="1"/>
  <c r="BH189" i="1"/>
  <c r="BH192" i="1"/>
  <c r="AY178" i="1" l="1"/>
  <c r="AY169" i="1" s="1"/>
  <c r="AY170" i="1" s="1"/>
  <c r="BD201" i="1"/>
  <c r="BD205" i="1"/>
  <c r="BC218" i="1"/>
  <c r="AZ178" i="1"/>
  <c r="AZ169" i="1" s="1"/>
  <c r="AZ170" i="1" s="1"/>
  <c r="BD230" i="1"/>
  <c r="BD231" i="1" s="1"/>
  <c r="BD203" i="1"/>
  <c r="BD212" i="1"/>
  <c r="BD216" i="1"/>
  <c r="BD210" i="1"/>
  <c r="BD208" i="1"/>
  <c r="BD175" i="1"/>
  <c r="BD176" i="1" s="1"/>
  <c r="BD169" i="1" s="1"/>
  <c r="BD170" i="1" s="1"/>
  <c r="BD206" i="1"/>
  <c r="BC217" i="1"/>
  <c r="BC235" i="1"/>
  <c r="BC169" i="1"/>
  <c r="BC170" i="1" s="1"/>
  <c r="BD204" i="1"/>
  <c r="BD211" i="1"/>
  <c r="BD202" i="1"/>
  <c r="BD224" i="1"/>
  <c r="BD225" i="1" s="1"/>
  <c r="BD200" i="1"/>
  <c r="BD226" i="1"/>
  <c r="BD227" i="1" s="1"/>
  <c r="BD232" i="1"/>
  <c r="BE167" i="1"/>
  <c r="BE226" i="1" s="1"/>
  <c r="BE227" i="1" s="1"/>
  <c r="BD207" i="1"/>
  <c r="BD213" i="1"/>
  <c r="BD181" i="1"/>
  <c r="BD199" i="1"/>
  <c r="BC234" i="1"/>
  <c r="BD168" i="1"/>
  <c r="BD215" i="1"/>
  <c r="BD228" i="1"/>
  <c r="BD229" i="1" s="1"/>
  <c r="BC172" i="1"/>
  <c r="BD222" i="1"/>
  <c r="BD223" i="1" s="1"/>
  <c r="BD209" i="1"/>
  <c r="BH182" i="1"/>
  <c r="AE177" i="1"/>
  <c r="AE178" i="1" s="1"/>
  <c r="AE169" i="1" s="1"/>
  <c r="AE170" i="1" s="1"/>
  <c r="AV178" i="1"/>
  <c r="AV169" i="1" s="1"/>
  <c r="AV170" i="1" s="1"/>
  <c r="BG169" i="1"/>
  <c r="BG170" i="1" s="1"/>
  <c r="BF178" i="1"/>
  <c r="BD172" i="1"/>
  <c r="BD173" i="1"/>
  <c r="BD174" i="1" s="1"/>
  <c r="AH169" i="1"/>
  <c r="AH170" i="1" s="1"/>
  <c r="AQ178" i="1"/>
  <c r="AQ169" i="1" s="1"/>
  <c r="AQ170" i="1" s="1"/>
  <c r="AL178" i="1"/>
  <c r="AL169" i="1" s="1"/>
  <c r="AL170" i="1" s="1"/>
  <c r="BA169" i="1"/>
  <c r="BA170" i="1" s="1"/>
  <c r="BE211" i="1" l="1"/>
  <c r="BD218" i="1"/>
  <c r="BE209" i="1"/>
  <c r="BE204" i="1"/>
  <c r="BE207" i="1"/>
  <c r="BE206" i="1"/>
  <c r="BE202" i="1"/>
  <c r="BE200" i="1"/>
  <c r="BE201" i="1"/>
  <c r="BE222" i="1"/>
  <c r="BE223" i="1" s="1"/>
  <c r="BE232" i="1"/>
  <c r="BE175" i="1"/>
  <c r="BE176" i="1" s="1"/>
  <c r="BE169" i="1" s="1"/>
  <c r="BE170" i="1" s="1"/>
  <c r="BE168" i="1"/>
  <c r="BE216" i="1"/>
  <c r="BE214" i="1"/>
  <c r="BE224" i="1"/>
  <c r="BE225" i="1" s="1"/>
  <c r="BE212" i="1"/>
  <c r="BE205" i="1"/>
  <c r="BE203" i="1"/>
  <c r="BE228" i="1"/>
  <c r="BE229" i="1" s="1"/>
  <c r="BE230" i="1"/>
  <c r="BE231" i="1" s="1"/>
  <c r="BE215" i="1"/>
  <c r="BE210" i="1"/>
  <c r="BE213" i="1"/>
  <c r="BE208" i="1"/>
  <c r="BD217" i="1"/>
  <c r="BE181" i="1"/>
  <c r="BE199" i="1"/>
  <c r="BD235" i="1"/>
  <c r="BD234" i="1"/>
  <c r="BF224" i="1"/>
  <c r="BF225" i="1" s="1"/>
  <c r="BF222" i="1"/>
  <c r="BF228" i="1"/>
  <c r="BF229" i="1" s="1"/>
  <c r="BF232" i="1"/>
  <c r="BF200" i="1"/>
  <c r="BF202" i="1"/>
  <c r="BF204" i="1"/>
  <c r="BF206" i="1"/>
  <c r="BF208" i="1"/>
  <c r="BF210" i="1"/>
  <c r="BF212" i="1"/>
  <c r="BF214" i="1"/>
  <c r="BF216" i="1"/>
  <c r="BF226" i="1"/>
  <c r="BF227" i="1" s="1"/>
  <c r="BF230" i="1"/>
  <c r="BF231" i="1" s="1"/>
  <c r="BF199" i="1"/>
  <c r="BF201" i="1"/>
  <c r="BF203" i="1"/>
  <c r="BF205" i="1"/>
  <c r="BF207" i="1"/>
  <c r="BF209" i="1"/>
  <c r="BF211" i="1"/>
  <c r="BF213" i="1"/>
  <c r="BF215" i="1"/>
  <c r="BE173" i="1"/>
  <c r="BE174" i="1" s="1"/>
  <c r="BE172" i="1"/>
  <c r="BF181" i="1"/>
  <c r="BF168" i="1"/>
  <c r="BF175" i="1"/>
  <c r="BE218" i="1" l="1"/>
  <c r="BE217" i="1"/>
  <c r="BE235" i="1"/>
  <c r="BE234" i="1"/>
  <c r="BF176" i="1"/>
  <c r="BF169" i="1" s="1"/>
  <c r="BF170" i="1" s="1"/>
  <c r="BF217" i="1"/>
  <c r="BF218" i="1"/>
  <c r="BF172" i="1"/>
  <c r="BF173" i="1"/>
  <c r="BF174" i="1" s="1"/>
  <c r="BF223" i="1"/>
  <c r="BF235" i="1" s="1"/>
  <c r="BF234" i="1"/>
</calcChain>
</file>

<file path=xl/sharedStrings.xml><?xml version="1.0" encoding="utf-8"?>
<sst xmlns="http://schemas.openxmlformats.org/spreadsheetml/2006/main" count="436" uniqueCount="346">
  <si>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</si>
  <si>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</si>
  <si>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</si>
  <si>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</si>
  <si>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</si>
  <si>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</si>
  <si>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</si>
  <si>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</si>
  <si>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</si>
  <si>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</si>
  <si>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</si>
  <si>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</si>
  <si>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</si>
  <si>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</si>
  <si>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</si>
  <si>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</si>
  <si>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</si>
  <si>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</si>
  <si>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</si>
  <si>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</si>
  <si>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</si>
  <si>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</si>
  <si>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</si>
  <si>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</si>
  <si>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</si>
  <si>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</si>
  <si>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</si>
  <si>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</si>
  <si>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</si>
  <si>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</si>
  <si>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</si>
  <si>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</si>
  <si>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</si>
  <si>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</si>
  <si>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</si>
  <si>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</si>
  <si>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</si>
  <si>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</si>
  <si>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</si>
  <si>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</si>
  <si>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</si>
  <si>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</si>
  <si>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</si>
  <si>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</si>
  <si>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</si>
  <si>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</si>
  <si>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</si>
  <si>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</si>
  <si>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</si>
  <si>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</si>
  <si>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</si>
  <si>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</si>
  <si>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</si>
  <si>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</si>
  <si>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</si>
  <si>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</si>
  <si>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</si>
  <si>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</si>
  <si>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</si>
  <si>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</si>
  <si>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</si>
  <si>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</si>
  <si>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</si>
  <si>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</si>
  <si>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</si>
  <si>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</si>
  <si>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</si>
  <si>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</si>
  <si>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</si>
  <si>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</si>
  <si>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</si>
  <si>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</si>
  <si>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</si>
  <si>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</si>
  <si>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</si>
  <si>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</si>
  <si>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</si>
  <si>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</si>
  <si>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</si>
  <si>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</si>
  <si>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</si>
  <si>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</si>
  <si>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</si>
  <si>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</si>
  <si>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</si>
  <si>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</si>
  <si>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</si>
  <si>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</si>
  <si>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</si>
  <si>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</si>
  <si>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</si>
  <si>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</si>
  <si>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</si>
  <si>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</si>
  <si>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</si>
  <si>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</si>
  <si>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</si>
  <si>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</si>
  <si>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</si>
  <si>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</si>
  <si>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</si>
  <si>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</si>
  <si>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</si>
  <si>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</si>
  <si>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</si>
  <si>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</si>
  <si>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</si>
  <si>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</si>
  <si>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</si>
  <si>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</si>
  <si>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</si>
  <si>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</si>
  <si>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</si>
  <si>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</si>
  <si>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</si>
  <si>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</si>
  <si>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</si>
  <si>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</si>
  <si>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</si>
  <si>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</si>
  <si>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</si>
  <si>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</si>
  <si>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</si>
  <si>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</si>
  <si>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</si>
  <si>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</si>
  <si>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</si>
  <si>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</si>
  <si>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</si>
  <si>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</si>
  <si>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</si>
  <si>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</si>
  <si>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</si>
  <si>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</si>
  <si>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</si>
  <si>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</si>
  <si>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</si>
  <si>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</si>
  <si>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</si>
  <si>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</si>
  <si>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</si>
  <si>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</si>
  <si>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</si>
  <si>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</si>
  <si>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</si>
  <si>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</si>
  <si>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</si>
  <si>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</si>
  <si>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</si>
  <si>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</si>
  <si>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</si>
  <si>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</si>
  <si>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</si>
  <si>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</si>
  <si>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</si>
  <si>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</si>
  <si>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</si>
  <si>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</si>
  <si>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</si>
  <si>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</si>
  <si>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</si>
  <si>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</si>
  <si>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</si>
  <si>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</si>
  <si>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</si>
  <si>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</si>
  <si>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</si>
  <si>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</si>
  <si>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</si>
  <si>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</si>
  <si>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</si>
  <si>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</si>
  <si>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</si>
  <si>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</si>
  <si>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</si>
  <si>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</si>
  <si>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</si>
  <si>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</si>
  <si>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</si>
  <si>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</si>
  <si>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</si>
  <si>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</si>
  <si>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</si>
  <si>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</si>
  <si>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</si>
  <si>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</si>
  <si>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</si>
  <si>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</si>
  <si>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</si>
  <si>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</si>
  <si>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</si>
  <si>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</si>
  <si>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</si>
  <si>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</si>
  <si>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</si>
  <si>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</si>
  <si>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</si>
  <si>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</si>
  <si>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</si>
  <si>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</si>
  <si>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</si>
  <si>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</si>
  <si>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</si>
  <si>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</si>
  <si>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</si>
  <si>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</si>
  <si>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</si>
  <si>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</si>
  <si>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</si>
  <si>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</si>
  <si>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</si>
  <si>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</si>
  <si>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</si>
  <si>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</si>
  <si>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</si>
  <si>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</si>
  <si>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</si>
  <si>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</si>
  <si>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</si>
  <si>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</si>
  <si>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</si>
  <si>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</si>
  <si>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</si>
  <si>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</si>
  <si>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</si>
  <si>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</si>
  <si>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</si>
  <si>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</si>
  <si>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</si>
  <si>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</si>
  <si>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</si>
  <si>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</si>
  <si>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</si>
  <si>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</si>
  <si>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</si>
  <si>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</si>
  <si>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</si>
  <si>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</si>
  <si>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</si>
  <si>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</si>
  <si>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</si>
  <si>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</si>
  <si>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</si>
  <si>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</si>
  <si>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</si>
  <si>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</si>
  <si>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</si>
  <si>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</si>
  <si>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</si>
  <si>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</si>
  <si>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</si>
  <si>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</si>
  <si>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</si>
  <si>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</si>
  <si>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</si>
  <si>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</si>
  <si>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</si>
  <si>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</si>
  <si>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</si>
  <si>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</si>
  <si>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</si>
  <si>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</si>
  <si>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</si>
  <si>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</si>
  <si>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</si>
  <si>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</si>
  <si>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</si>
  <si>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</si>
  <si>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</si>
  <si>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</si>
  <si>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</si>
  <si>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</si>
  <si>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</si>
  <si>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</si>
  <si>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</si>
  <si>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</si>
  <si>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</si>
  <si>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</si>
  <si>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</si>
  <si>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</si>
  <si>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</si>
  <si>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</si>
  <si>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</si>
  <si>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</si>
  <si>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</si>
  <si>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</si>
  <si>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</si>
  <si>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</si>
  <si>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</si>
  <si>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</si>
  <si>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</si>
  <si>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</si>
  <si>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</si>
  <si>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</si>
  <si>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</si>
  <si>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</si>
  <si>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</si>
  <si>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</si>
  <si>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</si>
  <si>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</si>
  <si>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</si>
  <si>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</si>
  <si>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</si>
  <si>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</si>
  <si>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</si>
  <si>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</si>
  <si>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</si>
  <si>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</si>
  <si>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</si>
  <si>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</si>
  <si>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</si>
  <si>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</si>
  <si>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</si>
  <si>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</si>
  <si>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</si>
  <si>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</si>
  <si>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</si>
  <si>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</si>
  <si>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</si>
  <si>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</si>
  <si>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</si>
  <si>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</si>
  <si>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</si>
  <si>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</si>
  <si>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</si>
  <si>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</si>
  <si>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</si>
  <si>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</si>
  <si>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</si>
  <si>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</si>
  <si>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</si>
  <si>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</si>
  <si>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</si>
  <si>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</si>
  <si>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</si>
  <si>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</si>
  <si>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</si>
  <si>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</si>
  <si>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</si>
  <si>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t>
  </si>
  <si>
    <t>Projections less meaningful as rates begin to decrease</t>
  </si>
  <si>
    <t>Rick Bright lodges a whistleblower complaint against the WH, painting the WH response in an unfavourable light</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</si>
  <si>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</si>
  <si>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</si>
  <si>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CDC was to release guidelines for reopening the previous Friday, but WH has now stated that it is to be shelved and will not see the light of day</t>
  </si>
  <si>
    <t>Trump confirms that he is pushing ahead with attempts to abolish health care, without promising any details of what would go in its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</si>
</sst>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Projections!$P$167:$BG$167</c15:sqref>
                  </c15:fullRef>
                </c:ext>
              </c:extLst>
              <c:f>Projections!$P$167:$AL$167</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Projections!$A$191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Projections!$P$191:$BG$191</c15:sqref>
                  </c15:fullRef>
                </c:ext>
              </c:extLst>
              <c:f>Projections!$P$191:$AL$191</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Projections!$P$181:$BG$181</c15:sqref>
                  </c15:fullRef>
                </c:ext>
              </c:extLst>
              <c:f>Projections!$P$181:$AL$181</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50BE-40C1-B679-81AF0BCE3FCD}"/>
            </c:ext>
          </c:extLst>
        </c:ser>
        <c:ser>
          <c:idx val="1"/>
          <c:order val="1"/>
          <c:tx>
            <c:strRef>
              <c:f>Projections!$A$195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Projections!$P$195:$BG$195</c15:sqref>
                  </c15:fullRef>
                </c:ext>
              </c:extLst>
              <c:f>Projections!$P$195:$AL$195</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Projections!$P$177:$BG$177</c15:sqref>
                  </c15:fullRef>
                </c:ext>
              </c:extLst>
              <c:f>Projections!$P$177:$AQ$177</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695420.09638552763</c:v>
                </c:pt>
                <c:pt idx="21">
                  <c:v>296852.34990976623</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0-A3C2-4B4C-996C-CDB1A252886F}"/>
            </c:ext>
          </c:extLst>
        </c:ser>
        <c:ser>
          <c:idx val="2"/>
          <c:order val="1"/>
          <c:tx>
            <c:strRef>
              <c:f>Projections!$A$178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Projections!$P$178:$BG$178</c15:sqref>
                  </c15:fullRef>
                </c:ext>
              </c:extLst>
              <c:f>Projections!$P$178:$AQ$178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636170.71340758877</c:v>
                </c:pt>
                <c:pt idx="21">
                  <c:v>0</c:v>
                </c:pt>
                <c:pt idx="22">
                  <c:v>183131.90395536859</c:v>
                </c:pt>
                <c:pt idx="23">
                  <c:v>470027.63490696007</c:v>
                </c:pt>
                <c:pt idx="24">
                  <c:v>96940.47123519404</c:v>
                </c:pt>
                <c:pt idx="25">
                  <c:v>211067.13758120735</c:v>
                </c:pt>
                <c:pt idx="26">
                  <c:v>0</c:v>
                </c:pt>
                <c:pt idx="27">
                  <c:v>120400.38882585507</c:v>
                </c:pt>
              </c:numCache>
            </c:numRef>
          </c:val>
          <c:smooth val="0"/>
          <c:extLst>
            <c:ext xmlns:c16="http://schemas.microsoft.com/office/drawing/2014/chart" uri="{C3380CC4-5D6E-409C-BE32-E72D297353CC}">
              <c16:uniqueId val="{00000001-A3C2-4B4C-996C-CDB1A252886F}"/>
            </c:ext>
          </c:extLst>
        </c:ser>
        <c:ser>
          <c:idx val="0"/>
          <c:order val="2"/>
          <c:tx>
            <c:strRef>
              <c:f>Projections!$A$179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61572.988963700482</c:v>
                </c:pt>
                <c:pt idx="21">
                  <c:v>213818.6361690232</c:v>
                </c:pt>
                <c:pt idx="22">
                  <c:v>88996.021400140351</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2-A3C2-4B4C-996C-CDB1A252886F}"/>
            </c:ext>
          </c:extLst>
        </c:ser>
        <c:ser>
          <c:idx val="4"/>
          <c:order val="3"/>
          <c:tx>
            <c:strRef>
              <c:f>Projections!$A$180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20544.911077719866</c:v>
                </c:pt>
                <c:pt idx="21">
                  <c:v>178872.55865173941</c:v>
                </c:pt>
                <c:pt idx="22">
                  <c:v>42400.499171367694</c:v>
                </c:pt>
                <c:pt idx="23">
                  <c:v>0</c:v>
                </c:pt>
                <c:pt idx="24">
                  <c:v>173147.04652534609</c:v>
                </c:pt>
                <c:pt idx="25">
                  <c:v>150473.53169511273</c:v>
                </c:pt>
                <c:pt idx="26">
                  <c:v>204203.72976794056</c:v>
                </c:pt>
                <c:pt idx="27">
                  <c:v>203957.27579973071</c:v>
                </c:pt>
              </c:numCache>
            </c:numRef>
          </c:val>
          <c:smooth val="0"/>
          <c:extLst>
            <c:ext xmlns:c16="http://schemas.microsoft.com/office/drawing/2014/chart" uri="{C3380CC4-5D6E-409C-BE32-E72D297353CC}">
              <c16:uniqueId val="{00000003-A3C2-4B4C-996C-CDB1A252886F}"/>
            </c:ext>
          </c:extLst>
        </c:ser>
        <c:ser>
          <c:idx val="1"/>
          <c:order val="4"/>
          <c:tx>
            <c:strRef>
              <c:f>Projections!$A$181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Projections!$A$201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Projections!$A$203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Projections!$A$205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Projections!$P$205:$BG$205</c15:sqref>
                  </c15:fullRef>
                </c:ext>
              </c:extLst>
              <c:f>Projections!$P$205:$AQ$205</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Projections!$A$207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Projections!$A$209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Projections!$A$211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Projections!$A$213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Projections!$A$215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Projections!$A$199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Projections!$A$201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Projections!$A$203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Projections!$A$205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Projections!$P$206:$BG$206</c15:sqref>
                  </c15:fullRef>
                </c:ext>
              </c:extLst>
              <c:f>Projections!$P$206:$AQ$206</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Projections!$A$207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Projections!$A$209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Projections!$A$211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Projections!$A$213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Projections!$A$215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Projections!$A$226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Projections!$A$232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Projections!$A$222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Projections!$P$222:$BG$222</c15:sqref>
                  </c15:fullRef>
                </c:ext>
              </c:extLst>
              <c:f>Projections!$P$222:$AQ$222</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Projections!$A$224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Projections!$A$226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Projections!$A$222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Projections!$P$223:$BG$223</c15:sqref>
                  </c15:fullRef>
                </c:ext>
              </c:extLst>
              <c:f>Projections!$P$223:$AQ$223</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Projections!$A$224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Projections!$P$167:$BG$167</c15:sqref>
                  </c15:fullRef>
                </c:ext>
              </c:extLst>
              <c:f>Projections!$P$167:$AL$167</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Projections!$A$191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Projections!$P$191:$BG$191</c15:sqref>
                  </c15:fullRef>
                </c:ext>
              </c:extLst>
              <c:f>Projections!$P$191:$AL$191</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Projections!$P$181:$BG$181</c15:sqref>
                  </c15:fullRef>
                </c:ext>
              </c:extLst>
              <c:f>Projections!$P$181:$AL$181</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FE1B-4946-A476-7952C5C71231}"/>
            </c:ext>
          </c:extLst>
        </c:ser>
        <c:ser>
          <c:idx val="1"/>
          <c:order val="1"/>
          <c:tx>
            <c:strRef>
              <c:f>Projections!$A$195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Projections!$P$166:$AL$166</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Projections!$P$195:$BG$195</c15:sqref>
                  </c15:fullRef>
                </c:ext>
              </c:extLst>
              <c:f>Projections!$P$195:$AL$195</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43919.787340277777</c:v>
                </c:pt>
                <c:pt idx="1">
                  <c:v>43922.787340277777</c:v>
                </c:pt>
                <c:pt idx="2">
                  <c:v>43925.787340277777</c:v>
                </c:pt>
                <c:pt idx="3">
                  <c:v>43928.787340277777</c:v>
                </c:pt>
                <c:pt idx="4">
                  <c:v>43931.787340277777</c:v>
                </c:pt>
                <c:pt idx="5">
                  <c:v>43934.787340277777</c:v>
                </c:pt>
                <c:pt idx="6">
                  <c:v>43937.787340277777</c:v>
                </c:pt>
                <c:pt idx="7">
                  <c:v>43940.787340277777</c:v>
                </c:pt>
                <c:pt idx="8">
                  <c:v>43943.787340277777</c:v>
                </c:pt>
                <c:pt idx="9">
                  <c:v>43946.787340277777</c:v>
                </c:pt>
                <c:pt idx="10">
                  <c:v>43949.787340277777</c:v>
                </c:pt>
                <c:pt idx="11">
                  <c:v>43952.787340277777</c:v>
                </c:pt>
                <c:pt idx="12">
                  <c:v>43955.787340277777</c:v>
                </c:pt>
                <c:pt idx="13">
                  <c:v>43958.787340277777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Projections!$P$177:$BG$177</c15:sqref>
                  </c15:fullRef>
                </c:ext>
              </c:extLst>
              <c:f>Projections!$P$177:$AQ$177</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695420.09638552763</c:v>
                </c:pt>
                <c:pt idx="21">
                  <c:v>296852.34990976623</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3-5231-4BE2-97ED-54F0C3DB105C}"/>
            </c:ext>
          </c:extLst>
        </c:ser>
        <c:ser>
          <c:idx val="2"/>
          <c:order val="1"/>
          <c:tx>
            <c:strRef>
              <c:f>Projections!$A$178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Projections!$P$178:$BG$178</c15:sqref>
                  </c15:fullRef>
                </c:ext>
              </c:extLst>
              <c:f>Projections!$P$178:$AQ$178</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636170.71340758877</c:v>
                </c:pt>
                <c:pt idx="21">
                  <c:v>0</c:v>
                </c:pt>
                <c:pt idx="22">
                  <c:v>183131.90395536859</c:v>
                </c:pt>
                <c:pt idx="23">
                  <c:v>470027.63490696007</c:v>
                </c:pt>
                <c:pt idx="24">
                  <c:v>96940.47123519404</c:v>
                </c:pt>
                <c:pt idx="25">
                  <c:v>211067.13758120735</c:v>
                </c:pt>
                <c:pt idx="26">
                  <c:v>0</c:v>
                </c:pt>
                <c:pt idx="27">
                  <c:v>120400.38882585507</c:v>
                </c:pt>
              </c:numCache>
            </c:numRef>
          </c:val>
          <c:smooth val="0"/>
          <c:extLst>
            <c:ext xmlns:c16="http://schemas.microsoft.com/office/drawing/2014/chart" uri="{C3380CC4-5D6E-409C-BE32-E72D297353CC}">
              <c16:uniqueId val="{00000002-9381-4A4E-BB43-DCD8EC2F4E00}"/>
            </c:ext>
          </c:extLst>
        </c:ser>
        <c:ser>
          <c:idx val="0"/>
          <c:order val="2"/>
          <c:tx>
            <c:strRef>
              <c:f>Projections!$A$179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61572.988963700482</c:v>
                </c:pt>
                <c:pt idx="21">
                  <c:v>213818.6361690232</c:v>
                </c:pt>
                <c:pt idx="22">
                  <c:v>88996.021400140351</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0-9381-4A4E-BB43-DCD8EC2F4E00}"/>
            </c:ext>
          </c:extLst>
        </c:ser>
        <c:ser>
          <c:idx val="4"/>
          <c:order val="3"/>
          <c:tx>
            <c:strRef>
              <c:f>Projections!$A$180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20544.911077719866</c:v>
                </c:pt>
                <c:pt idx="21">
                  <c:v>178872.55865173941</c:v>
                </c:pt>
                <c:pt idx="22">
                  <c:v>42400.499171367694</c:v>
                </c:pt>
                <c:pt idx="23">
                  <c:v>0</c:v>
                </c:pt>
                <c:pt idx="24">
                  <c:v>173147.04652534609</c:v>
                </c:pt>
                <c:pt idx="25">
                  <c:v>150473.53169511273</c:v>
                </c:pt>
                <c:pt idx="26">
                  <c:v>204203.72976794056</c:v>
                </c:pt>
                <c:pt idx="27">
                  <c:v>203957.27579973071</c:v>
                </c:pt>
              </c:numCache>
            </c:numRef>
          </c:val>
          <c:smooth val="0"/>
          <c:extLst>
            <c:ext xmlns:c16="http://schemas.microsoft.com/office/drawing/2014/chart" uri="{C3380CC4-5D6E-409C-BE32-E72D297353CC}">
              <c16:uniqueId val="{00000003-9381-4A4E-BB43-DCD8EC2F4E00}"/>
            </c:ext>
          </c:extLst>
        </c:ser>
        <c:ser>
          <c:idx val="1"/>
          <c:order val="4"/>
          <c:tx>
            <c:strRef>
              <c:f>Projections!$A$181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Projections!$P$199:$BG$199</c15:sqref>
                  </c15:fullRef>
                </c:ext>
              </c:extLst>
              <c:f>Projections!$P$199:$AQ$199</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Projections!$A$201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Projections!$A$203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Projections!$A$205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Projections!$P$205:$BG$205</c15:sqref>
                  </c15:fullRef>
                </c:ext>
              </c:extLst>
              <c:f>Projections!$P$205:$AQ$205</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Projections!$A$207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Projections!$A$209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Projections!$A$211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Projections!$A$213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Projections!$A$215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Projections!$A$199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Projections!$P$200:$BG$200</c15:sqref>
                  </c15:fullRef>
                </c:ext>
              </c:extLst>
              <c:f>Projections!$P$200:$AQ$200</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Projections!$A$201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Projections!$A$203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Projections!$A$205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Projections!$P$206:$BG$206</c15:sqref>
                  </c15:fullRef>
                </c:ext>
              </c:extLst>
              <c:f>Projections!$P$206:$AQ$206</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Projections!$A$207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Projections!$A$209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Projections!$A$211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Projections!$A$213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Projections!$A$215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Projections!$A$226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Projections!$A$232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Projections!$A$222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Projections!$P$222:$BG$222</c15:sqref>
                  </c15:fullRef>
                </c:ext>
              </c:extLst>
              <c:f>Projections!$P$222:$AQ$222</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Projections!$A$224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Projections!$A$228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Projections!$A$226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Projections!$A$222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Projections!$P$223:$BG$223</c15:sqref>
                  </c15:fullRef>
                </c:ext>
              </c:extLst>
              <c:f>Projections!$P$223:$AQ$223</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Projections!$A$224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Projections!$A$230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Projections!$P$166:$BG$166</c15:sqref>
                  </c15:fullRef>
                </c:ext>
              </c:extLst>
              <c:f>Projections!$P$166:$AQ$166</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165</xdr:row>
      <xdr:rowOff>104775</xdr:rowOff>
    </xdr:from>
    <xdr:to>
      <xdr:col>72</xdr:col>
      <xdr:colOff>600075</xdr:colOff>
      <xdr:row>197</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237</xdr:row>
      <xdr:rowOff>120114</xdr:rowOff>
    </xdr:from>
    <xdr:to>
      <xdr:col>73</xdr:col>
      <xdr:colOff>19050</xdr:colOff>
      <xdr:row>260</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261</xdr:row>
      <xdr:rowOff>124876</xdr:rowOff>
    </xdr:from>
    <xdr:to>
      <xdr:col>73</xdr:col>
      <xdr:colOff>28575</xdr:colOff>
      <xdr:row>278</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279</xdr:row>
      <xdr:rowOff>105825</xdr:rowOff>
    </xdr:from>
    <xdr:to>
      <xdr:col>73</xdr:col>
      <xdr:colOff>38099</xdr:colOff>
      <xdr:row>295</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296</xdr:row>
      <xdr:rowOff>124875</xdr:rowOff>
    </xdr:from>
    <xdr:to>
      <xdr:col>73</xdr:col>
      <xdr:colOff>19050</xdr:colOff>
      <xdr:row>315</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199</xdr:row>
      <xdr:rowOff>119062</xdr:rowOff>
    </xdr:from>
    <xdr:to>
      <xdr:col>73</xdr:col>
      <xdr:colOff>19050</xdr:colOff>
      <xdr:row>219</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220</xdr:row>
      <xdr:rowOff>117021</xdr:rowOff>
    </xdr:from>
    <xdr:to>
      <xdr:col>72</xdr:col>
      <xdr:colOff>590550</xdr:colOff>
      <xdr:row>236</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165</xdr:row>
      <xdr:rowOff>104775</xdr:rowOff>
    </xdr:from>
    <xdr:to>
      <xdr:col>86</xdr:col>
      <xdr:colOff>161925</xdr:colOff>
      <xdr:row>197</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237</xdr:row>
      <xdr:rowOff>101064</xdr:rowOff>
    </xdr:from>
    <xdr:to>
      <xdr:col>86</xdr:col>
      <xdr:colOff>209550</xdr:colOff>
      <xdr:row>260</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261</xdr:row>
      <xdr:rowOff>115351</xdr:rowOff>
    </xdr:from>
    <xdr:to>
      <xdr:col>86</xdr:col>
      <xdr:colOff>200025</xdr:colOff>
      <xdr:row>278</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279</xdr:row>
      <xdr:rowOff>105825</xdr:rowOff>
    </xdr:from>
    <xdr:to>
      <xdr:col>86</xdr:col>
      <xdr:colOff>219074</xdr:colOff>
      <xdr:row>295</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296</xdr:row>
      <xdr:rowOff>124875</xdr:rowOff>
    </xdr:from>
    <xdr:to>
      <xdr:col>86</xdr:col>
      <xdr:colOff>228600</xdr:colOff>
      <xdr:row>315</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199</xdr:row>
      <xdr:rowOff>128587</xdr:rowOff>
    </xdr:from>
    <xdr:to>
      <xdr:col>86</xdr:col>
      <xdr:colOff>200025</xdr:colOff>
      <xdr:row>219</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220</xdr:row>
      <xdr:rowOff>117021</xdr:rowOff>
    </xdr:from>
    <xdr:to>
      <xdr:col>86</xdr:col>
      <xdr:colOff>161925</xdr:colOff>
      <xdr:row>236</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/Projections!B155</f>
        <v>138.88888888888891</v>
      </c>
      <c r="C17" s="103"/>
      <c r="D17" s="104"/>
      <c r="E17" s="98">
        <f>B17*2</f>
        <v>277.77777777777783</v>
      </c>
      <c r="F17" s="103"/>
      <c r="G17" s="98"/>
      <c r="H17" s="98">
        <f>E17*2</f>
        <v>555.55555555555566</v>
      </c>
      <c r="I17" s="103"/>
      <c r="J17" s="104"/>
      <c r="K17" s="95">
        <f>H17*2</f>
        <v>1111.1111111111113</v>
      </c>
      <c r="L17" s="93"/>
      <c r="M17" s="94"/>
      <c r="N17" s="95">
        <f>K17*2</f>
        <v>2222.2222222222226</v>
      </c>
      <c r="O17" s="93"/>
      <c r="P17" s="94"/>
      <c r="Q17" s="95">
        <f>N17*2</f>
        <v>4444.4444444444453</v>
      </c>
      <c r="R17" s="93"/>
      <c r="S17" s="94"/>
      <c r="T17" s="95">
        <f>Q17*2</f>
        <v>8888.8888888888905</v>
      </c>
      <c r="U17" s="93"/>
      <c r="V17" s="94"/>
      <c r="W17" s="95">
        <f>T17*2</f>
        <v>17777.777777777781</v>
      </c>
      <c r="X17" s="93"/>
      <c r="Y17" s="94"/>
      <c r="Z17" s="95">
        <f>W17*2</f>
        <v>35555.555555555562</v>
      </c>
      <c r="AA17" s="93"/>
      <c r="AB17" s="94"/>
      <c r="AC17" s="95">
        <f>Z17*2</f>
        <v>71111.111111111124</v>
      </c>
      <c r="AD17" s="93"/>
      <c r="AE17" s="94"/>
      <c r="AF17" s="95">
        <f>AC17*2</f>
        <v>142222.22222222225</v>
      </c>
      <c r="AG17" s="93"/>
      <c r="AH17" s="94"/>
      <c r="AI17" s="95">
        <f>AF17*2</f>
        <v>284444.4444444445</v>
      </c>
      <c r="AJ17" s="93"/>
      <c r="AK17" s="94"/>
      <c r="AL17" s="95">
        <f>AI17*2</f>
        <v>568888.88888888899</v>
      </c>
      <c r="AM17" s="93"/>
      <c r="AN17" s="94"/>
      <c r="AO17" s="95">
        <f>AL17*2</f>
        <v>1137777.777777778</v>
      </c>
      <c r="AP17" s="98"/>
      <c r="AQ17" t="s">
        <v>92</v>
      </c>
    </row>
    <row r="18" spans="1:43" s="69" customFormat="1" x14ac:dyDescent="0.25">
      <c r="A18" s="69" t="s">
        <v>166</v>
      </c>
      <c r="B18" s="88">
        <f>B17*$E$34</f>
        <v>122.22222222222224</v>
      </c>
      <c r="C18" s="105"/>
      <c r="D18" s="105"/>
      <c r="E18" s="105">
        <f>E17*$E$34</f>
        <v>244.44444444444449</v>
      </c>
      <c r="F18" s="105"/>
      <c r="G18" s="33"/>
      <c r="H18" s="105">
        <f>H17*$E$34</f>
        <v>488.88888888888897</v>
      </c>
      <c r="I18" s="105"/>
      <c r="J18" s="105"/>
      <c r="K18" s="105">
        <f>K17*$E$34</f>
        <v>977.77777777777794</v>
      </c>
      <c r="L18" s="105"/>
      <c r="M18" s="105"/>
      <c r="N18" s="105">
        <f>N17*$E$34</f>
        <v>1955.5555555555559</v>
      </c>
      <c r="O18" s="105"/>
      <c r="P18" s="105"/>
      <c r="Q18" s="105">
        <f>Q17*$E$34</f>
        <v>3911.1111111111118</v>
      </c>
      <c r="R18" s="105"/>
      <c r="S18" s="105"/>
      <c r="T18" s="105">
        <f>T17*$E$34</f>
        <v>7822.2222222222235</v>
      </c>
      <c r="U18" s="105"/>
      <c r="V18" s="105"/>
      <c r="W18" s="105">
        <f>W17*$E$34</f>
        <v>15644.444444444447</v>
      </c>
      <c r="X18" s="105"/>
      <c r="Y18" s="105"/>
      <c r="Z18" s="105">
        <f>Z17*$E$34</f>
        <v>31288.888888888894</v>
      </c>
      <c r="AA18" s="105"/>
      <c r="AB18" s="105"/>
      <c r="AC18" s="105">
        <f>AC17*$E$34</f>
        <v>62577.777777777788</v>
      </c>
      <c r="AD18" s="105"/>
      <c r="AE18" s="105"/>
      <c r="AF18" s="105">
        <f>AF17*$E$34</f>
        <v>125155.55555555558</v>
      </c>
      <c r="AG18" s="105"/>
      <c r="AH18" s="105"/>
      <c r="AI18" s="105">
        <f>AI17*$E$34</f>
        <v>250311.11111111115</v>
      </c>
      <c r="AJ18" s="105"/>
      <c r="AK18" s="105"/>
      <c r="AL18" s="105">
        <f>AL17*$E$34</f>
        <v>500622.22222222231</v>
      </c>
      <c r="AM18" s="105"/>
      <c r="AN18" s="105"/>
      <c r="AO18" s="105">
        <f>AO17*$E$34</f>
        <v>1001244.4444444446</v>
      </c>
      <c r="AP18" s="33"/>
      <c r="AQ18" s="69" t="s">
        <v>166</v>
      </c>
    </row>
    <row r="19" spans="1:43" s="69" customFormat="1" x14ac:dyDescent="0.25">
      <c r="A19" s="47" t="s">
        <v>168</v>
      </c>
      <c r="B19" s="86">
        <f>B18</f>
        <v>122.22222222222224</v>
      </c>
      <c r="C19" s="87"/>
      <c r="D19" s="87"/>
      <c r="E19" s="87">
        <f>E18</f>
        <v>244.44444444444449</v>
      </c>
      <c r="F19" s="87"/>
      <c r="G19" s="34"/>
      <c r="H19" s="87">
        <f>H18</f>
        <v>488.88888888888897</v>
      </c>
      <c r="I19" s="87"/>
      <c r="J19" s="87"/>
      <c r="K19" s="87">
        <f>K18</f>
        <v>977.77777777777794</v>
      </c>
      <c r="L19" s="87"/>
      <c r="M19" s="87"/>
      <c r="N19" s="87">
        <f>N18</f>
        <v>1955.5555555555559</v>
      </c>
      <c r="O19" s="87"/>
      <c r="P19" s="87"/>
      <c r="Q19" s="87">
        <f>Q18</f>
        <v>3911.1111111111118</v>
      </c>
      <c r="R19" s="87"/>
      <c r="S19" s="87"/>
      <c r="T19" s="87">
        <f>T18</f>
        <v>7822.2222222222235</v>
      </c>
      <c r="U19" s="87"/>
      <c r="V19" s="87"/>
      <c r="W19" s="121">
        <f>W18-B18</f>
        <v>15522.222222222224</v>
      </c>
      <c r="X19" s="121"/>
      <c r="Y19" s="121"/>
      <c r="Z19" s="121">
        <f>Z18-E18</f>
        <v>31044.444444444449</v>
      </c>
      <c r="AA19" s="121"/>
      <c r="AB19" s="121"/>
      <c r="AC19" s="121">
        <f>AC18-H18</f>
        <v>62088.888888888898</v>
      </c>
      <c r="AD19" s="121"/>
      <c r="AE19" s="121"/>
      <c r="AF19" s="121">
        <f>AF18-K18</f>
        <v>124177.7777777778</v>
      </c>
      <c r="AG19" s="121"/>
      <c r="AH19" s="121"/>
      <c r="AI19" s="121">
        <f>AI18-N18</f>
        <v>248355.55555555559</v>
      </c>
      <c r="AJ19" s="121"/>
      <c r="AK19" s="121"/>
      <c r="AL19" s="121">
        <f>AL18-Q18</f>
        <v>496711.11111111118</v>
      </c>
      <c r="AM19" s="121"/>
      <c r="AN19" s="121"/>
      <c r="AO19" s="121">
        <f>AO18-T18</f>
        <v>993422.22222222236</v>
      </c>
      <c r="AP19" s="122"/>
      <c r="AQ19" s="47" t="s">
        <v>168</v>
      </c>
    </row>
    <row r="20" spans="1:43" s="69" customFormat="1" x14ac:dyDescent="0.25">
      <c r="A20" t="s">
        <v>93</v>
      </c>
      <c r="B20" s="88"/>
      <c r="C20" s="105"/>
      <c r="D20" s="105"/>
      <c r="E20" s="105"/>
      <c r="F20" s="105"/>
      <c r="G20" s="33"/>
      <c r="H20" s="106"/>
      <c r="I20" s="107"/>
      <c r="J20" s="108"/>
      <c r="K20" s="131">
        <f>B17*(1-$E$34)</f>
        <v>16.666666666666668</v>
      </c>
      <c r="L20" s="128"/>
      <c r="M20" s="129"/>
      <c r="N20" s="130">
        <f>E17*(1-$E$34)</f>
        <v>33.333333333333336</v>
      </c>
      <c r="O20" s="128"/>
      <c r="P20" s="129"/>
      <c r="Q20" s="130">
        <f>H17*(1-$E$34)</f>
        <v>66.666666666666671</v>
      </c>
      <c r="R20" s="128"/>
      <c r="S20" s="129"/>
      <c r="T20" s="130">
        <f>K17*(1-$E$34)</f>
        <v>133.33333333333334</v>
      </c>
      <c r="U20" s="128"/>
      <c r="V20" s="129"/>
      <c r="W20" s="130">
        <f>N17*(1-$E$34)</f>
        <v>266.66666666666669</v>
      </c>
      <c r="X20" s="128"/>
      <c r="Y20" s="129"/>
      <c r="Z20" s="130">
        <f>Q17*(1-$E$34)</f>
        <v>533.33333333333337</v>
      </c>
      <c r="AA20" s="128"/>
      <c r="AB20" s="129"/>
      <c r="AC20" s="130">
        <f>T17*(1-$E$34)</f>
        <v>1066.6666666666667</v>
      </c>
      <c r="AD20" s="128"/>
      <c r="AE20" s="129"/>
      <c r="AF20" s="130">
        <f>W17*(1-$E$34)</f>
        <v>2133.3333333333335</v>
      </c>
      <c r="AG20" s="128"/>
      <c r="AH20" s="129"/>
      <c r="AI20" s="130">
        <f>Z17*(1-$E$34)</f>
        <v>4266.666666666667</v>
      </c>
      <c r="AJ20" s="128"/>
      <c r="AK20" s="129"/>
      <c r="AL20" s="130">
        <f>AC17*(1-$E$34)</f>
        <v>8533.3333333333339</v>
      </c>
      <c r="AM20" s="128"/>
      <c r="AN20" s="129"/>
      <c r="AO20" s="130">
        <f>AF17*(1-$E$34)</f>
        <v>17066.666666666668</v>
      </c>
      <c r="AP20" s="79"/>
      <c r="AQ20" t="s">
        <v>93</v>
      </c>
    </row>
    <row r="21" spans="1:43" s="69" customFormat="1" x14ac:dyDescent="0.25">
      <c r="A21" s="69" t="s">
        <v>74</v>
      </c>
      <c r="B21" s="80"/>
      <c r="C21" s="81"/>
      <c r="D21" s="81"/>
      <c r="E21" s="81"/>
      <c r="F21" s="81"/>
      <c r="G21" s="82"/>
      <c r="H21" s="123">
        <f>B17-B18</f>
        <v>16.666666666666671</v>
      </c>
      <c r="I21" s="123"/>
      <c r="J21" s="123"/>
      <c r="K21" s="123">
        <f>E17-E18</f>
        <v>33.333333333333343</v>
      </c>
      <c r="L21" s="123"/>
      <c r="M21" s="123"/>
      <c r="N21" s="123">
        <f>(H17-H18)*$E$35</f>
        <v>54.000000000000021</v>
      </c>
      <c r="O21" s="123"/>
      <c r="P21" s="123"/>
      <c r="Q21" s="123">
        <f>(K17-K18)*$E$35</f>
        <v>108.00000000000004</v>
      </c>
      <c r="R21" s="123"/>
      <c r="S21" s="123"/>
      <c r="T21" s="123">
        <f>(N17-N18)*$E$35</f>
        <v>216.00000000000009</v>
      </c>
      <c r="U21" s="123"/>
      <c r="V21" s="123"/>
      <c r="W21" s="123">
        <f>((Q17-Q18)*$E$35)-(H21*$E$35)</f>
        <v>418.50000000000017</v>
      </c>
      <c r="X21" s="123"/>
      <c r="Y21" s="123"/>
      <c r="Z21" s="123">
        <f>((T17-T18)*$E$35)-(K21*$E$35)</f>
        <v>837.00000000000034</v>
      </c>
      <c r="AA21" s="123"/>
      <c r="AB21" s="123"/>
      <c r="AC21" s="123">
        <f>((W17-W18)*$E$35)-N21</f>
        <v>1674.0000000000007</v>
      </c>
      <c r="AD21" s="123"/>
      <c r="AE21" s="123"/>
      <c r="AF21" s="123">
        <f>((Z17-Z18)*$E$35)-Q21</f>
        <v>3348.0000000000014</v>
      </c>
      <c r="AG21" s="123"/>
      <c r="AH21" s="123"/>
      <c r="AI21" s="123">
        <f>((AC17-AC18)*$E$35)-T21</f>
        <v>6696.0000000000027</v>
      </c>
      <c r="AJ21" s="123"/>
      <c r="AK21" s="123"/>
      <c r="AL21" s="123">
        <f>((AF17-AF18)*$E$35)-W21</f>
        <v>13405.500000000005</v>
      </c>
      <c r="AM21" s="123"/>
      <c r="AN21" s="123"/>
      <c r="AO21" s="123">
        <f>((AI17-AI18)*$E$35)-Z21</f>
        <v>26811.000000000011</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12.66666666666667</v>
      </c>
      <c r="O22" s="125"/>
      <c r="P22" s="125"/>
      <c r="Q22" s="125">
        <f>(K17-K18)*($E$36+$E$37)</f>
        <v>25.333333333333339</v>
      </c>
      <c r="R22" s="125"/>
      <c r="S22" s="125"/>
      <c r="T22" s="125">
        <f>(N17-N18)*$E$36</f>
        <v>37.33333333333335</v>
      </c>
      <c r="U22" s="125"/>
      <c r="V22" s="125"/>
      <c r="W22" s="125">
        <f>(Q17-Q18)*$E$36</f>
        <v>74.6666666666667</v>
      </c>
      <c r="X22" s="125"/>
      <c r="Y22" s="125"/>
      <c r="Z22" s="125">
        <f>(T17-T18)*$E$36</f>
        <v>149.3333333333334</v>
      </c>
      <c r="AA22" s="125"/>
      <c r="AB22" s="125"/>
      <c r="AC22" s="125">
        <f>(W17-W18)*$E$36</f>
        <v>298.6666666666668</v>
      </c>
      <c r="AD22" s="125"/>
      <c r="AE22" s="125"/>
      <c r="AF22" s="125">
        <f>(Z17-Z18)*$E$36</f>
        <v>597.3333333333336</v>
      </c>
      <c r="AG22" s="125"/>
      <c r="AH22" s="125"/>
      <c r="AI22" s="125">
        <f>(AC17-AC18)*$E$36</f>
        <v>1194.6666666666672</v>
      </c>
      <c r="AJ22" s="125"/>
      <c r="AK22" s="125"/>
      <c r="AL22" s="125">
        <f>(AF17-AF18)*$E$36</f>
        <v>2389.3333333333344</v>
      </c>
      <c r="AM22" s="125"/>
      <c r="AN22" s="125"/>
      <c r="AO22" s="125">
        <f>(AI17-AI18)*$E$36</f>
        <v>4778.6666666666688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13.333333333333337</v>
      </c>
      <c r="U23" s="40"/>
      <c r="V23" s="40"/>
      <c r="W23" s="40">
        <f>(Q17-Q18)*$E$37</f>
        <v>26.666666666666675</v>
      </c>
      <c r="X23" s="40"/>
      <c r="Y23" s="40"/>
      <c r="Z23" s="40">
        <f>(T17-T18)*$E$37</f>
        <v>53.33333333333335</v>
      </c>
      <c r="AA23" s="40"/>
      <c r="AB23" s="40"/>
      <c r="AC23" s="40">
        <f>(W17-W18)*$E$37</f>
        <v>106.6666666666667</v>
      </c>
      <c r="AD23" s="40"/>
      <c r="AE23" s="40"/>
      <c r="AF23" s="40">
        <f>(Z17-Z18)*$E$37</f>
        <v>213.3333333333334</v>
      </c>
      <c r="AG23" s="40"/>
      <c r="AH23" s="40"/>
      <c r="AI23" s="40">
        <f>(AC17-AC18)*$E$37</f>
        <v>426.6666666666668</v>
      </c>
      <c r="AJ23" s="40"/>
      <c r="AK23" s="40"/>
      <c r="AL23" s="40">
        <f>(AF17-AF18)*$E$37</f>
        <v>853.3333333333336</v>
      </c>
      <c r="AM23" s="40"/>
      <c r="AN23" s="40"/>
      <c r="AO23" s="40">
        <f>(AI17-AI18)*$E$37</f>
        <v>1706.6666666666672</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13.500000000000005</v>
      </c>
      <c r="W24" s="109"/>
      <c r="X24" s="109"/>
      <c r="Y24" s="109">
        <f>K21*$E$35</f>
        <v>27.000000000000011</v>
      </c>
      <c r="Z24" s="109"/>
      <c r="AA24" s="109"/>
      <c r="AB24" s="109">
        <f>N21</f>
        <v>54.000000000000021</v>
      </c>
      <c r="AC24" s="109"/>
      <c r="AD24" s="109"/>
      <c r="AE24" s="109">
        <f>Q21</f>
        <v>108.00000000000004</v>
      </c>
      <c r="AF24" s="109"/>
      <c r="AG24" s="109"/>
      <c r="AH24" s="109">
        <f>T21</f>
        <v>216.00000000000009</v>
      </c>
      <c r="AI24" s="109"/>
      <c r="AJ24" s="109"/>
      <c r="AK24" s="109">
        <f>W21</f>
        <v>418.50000000000017</v>
      </c>
      <c r="AL24" s="109"/>
      <c r="AM24" s="109"/>
      <c r="AN24" s="109">
        <f>Z21</f>
        <v>837.00000000000034</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43919.787340277777</v>
      </c>
      <c r="C26" s="90">
        <f t="shared" ca="1" si="0"/>
        <v>43920.787340277777</v>
      </c>
      <c r="D26" s="90">
        <f t="shared" ca="1" si="0"/>
        <v>43921.787340277777</v>
      </c>
      <c r="E26" s="90">
        <f t="shared" ca="1" si="0"/>
        <v>43922.787340277777</v>
      </c>
      <c r="F26" s="90">
        <f t="shared" ca="1" si="0"/>
        <v>43923.787340277777</v>
      </c>
      <c r="G26" s="91">
        <f t="shared" ca="1" si="0"/>
        <v>43924.787340277777</v>
      </c>
      <c r="H26" s="90">
        <f t="shared" ref="H26:U26" ca="1" si="1">I26-1</f>
        <v>43925.787340277777</v>
      </c>
      <c r="I26" s="90">
        <f t="shared" ca="1" si="1"/>
        <v>43926.787340277777</v>
      </c>
      <c r="J26" s="90">
        <f t="shared" ca="1" si="1"/>
        <v>43927.787340277777</v>
      </c>
      <c r="K26" s="90">
        <f t="shared" ca="1" si="1"/>
        <v>43928.787340277777</v>
      </c>
      <c r="L26" s="90">
        <f t="shared" ca="1" si="1"/>
        <v>43929.787340277777</v>
      </c>
      <c r="M26" s="90">
        <f t="shared" ca="1" si="1"/>
        <v>43930.787340277777</v>
      </c>
      <c r="N26" s="91">
        <f t="shared" ca="1" si="1"/>
        <v>43931.787340277777</v>
      </c>
      <c r="O26" s="89">
        <f t="shared" ca="1" si="1"/>
        <v>43932.787340277777</v>
      </c>
      <c r="P26" s="90">
        <f t="shared" ca="1" si="1"/>
        <v>43933.787340277777</v>
      </c>
      <c r="Q26" s="90">
        <f t="shared" ca="1" si="1"/>
        <v>43934.787340277777</v>
      </c>
      <c r="R26" s="90">
        <f t="shared" ca="1" si="1"/>
        <v>43935.787340277777</v>
      </c>
      <c r="S26" s="90">
        <f t="shared" ca="1" si="1"/>
        <v>43936.787340277777</v>
      </c>
      <c r="T26" s="90">
        <f t="shared" ca="1" si="1"/>
        <v>43937.787340277777</v>
      </c>
      <c r="U26" s="91">
        <f t="shared" ca="1" si="1"/>
        <v>43938.787340277777</v>
      </c>
      <c r="V26" s="89">
        <f t="shared" ref="V26:AN26" ca="1" si="2">W26-1</f>
        <v>43939.787340277777</v>
      </c>
      <c r="W26" s="90">
        <f t="shared" ca="1" si="2"/>
        <v>43940.787340277777</v>
      </c>
      <c r="X26" s="90">
        <f t="shared" ca="1" si="2"/>
        <v>43941.787340277777</v>
      </c>
      <c r="Y26" s="90">
        <f t="shared" ca="1" si="2"/>
        <v>43942.787340277777</v>
      </c>
      <c r="Z26" s="90">
        <f t="shared" ca="1" si="2"/>
        <v>43943.787340277777</v>
      </c>
      <c r="AA26" s="90">
        <f t="shared" ca="1" si="2"/>
        <v>43944.787340277777</v>
      </c>
      <c r="AB26" s="91">
        <f t="shared" ca="1" si="2"/>
        <v>43945.787340277777</v>
      </c>
      <c r="AC26" s="89">
        <f t="shared" ca="1" si="2"/>
        <v>43946.787340277777</v>
      </c>
      <c r="AD26" s="90">
        <f t="shared" ca="1" si="2"/>
        <v>43947.787340277777</v>
      </c>
      <c r="AE26" s="90">
        <f t="shared" ca="1" si="2"/>
        <v>43948.787340277777</v>
      </c>
      <c r="AF26" s="90">
        <f t="shared" ca="1" si="2"/>
        <v>43949.787340277777</v>
      </c>
      <c r="AG26" s="90">
        <f t="shared" ca="1" si="2"/>
        <v>43950.787340277777</v>
      </c>
      <c r="AH26" s="90">
        <f t="shared" ca="1" si="2"/>
        <v>43951.787340277777</v>
      </c>
      <c r="AI26" s="91">
        <f t="shared" ca="1" si="2"/>
        <v>43952.787340277777</v>
      </c>
      <c r="AJ26" s="89">
        <f t="shared" ca="1" si="2"/>
        <v>43953.787340277777</v>
      </c>
      <c r="AK26" s="90">
        <f t="shared" ca="1" si="2"/>
        <v>43954.787340277777</v>
      </c>
      <c r="AL26" s="90">
        <f t="shared" ca="1" si="2"/>
        <v>43955.787340277777</v>
      </c>
      <c r="AM26" s="90">
        <f t="shared" ca="1" si="2"/>
        <v>43956.787340277777</v>
      </c>
      <c r="AN26" s="90">
        <f t="shared" ca="1" si="2"/>
        <v>43957.787340277777</v>
      </c>
      <c r="AO26" s="90">
        <f ca="1">AP26-1</f>
        <v>43958.787340277777</v>
      </c>
      <c r="AP26" s="111">
        <f ca="1">NOW()</f>
        <v>43959.787340277777</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8" t="s">
        <v>68</v>
      </c>
      <c r="C28" s="289"/>
      <c r="D28" s="289"/>
      <c r="E28" s="289"/>
      <c r="F28" s="289"/>
      <c r="G28" s="290"/>
      <c r="H28" s="294" t="s">
        <v>57</v>
      </c>
      <c r="I28" s="294"/>
      <c r="J28" s="294"/>
      <c r="K28" s="294"/>
      <c r="L28" s="294"/>
      <c r="M28" s="294"/>
      <c r="N28" s="295"/>
      <c r="O28" s="293" t="s">
        <v>58</v>
      </c>
      <c r="P28" s="294"/>
      <c r="Q28" s="294"/>
      <c r="R28" s="294"/>
      <c r="S28" s="294"/>
      <c r="T28" s="294"/>
      <c r="U28" s="295"/>
      <c r="V28" s="293" t="s">
        <v>59</v>
      </c>
      <c r="W28" s="294"/>
      <c r="X28" s="294"/>
      <c r="Y28" s="294"/>
      <c r="Z28" s="294"/>
      <c r="AA28" s="294"/>
      <c r="AB28" s="295"/>
      <c r="AC28" s="293" t="s">
        <v>60</v>
      </c>
      <c r="AD28" s="294"/>
      <c r="AE28" s="294"/>
      <c r="AF28" s="294"/>
      <c r="AG28" s="294"/>
      <c r="AH28" s="294"/>
      <c r="AI28" s="295"/>
      <c r="AJ28" s="293" t="s">
        <v>61</v>
      </c>
      <c r="AK28" s="294"/>
      <c r="AL28" s="294"/>
      <c r="AM28" s="294"/>
      <c r="AN28" s="294"/>
      <c r="AO28" s="294"/>
      <c r="AP28" s="295"/>
    </row>
    <row r="29" spans="1:43" x14ac:dyDescent="0.25">
      <c r="B29" s="51" t="s">
        <v>80</v>
      </c>
      <c r="C29" s="96"/>
      <c r="D29" s="96"/>
      <c r="E29" s="96"/>
      <c r="F29" s="96"/>
      <c r="G29" s="97"/>
      <c r="H29" s="291" t="s">
        <v>67</v>
      </c>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2"/>
    </row>
    <row r="31" spans="1:43" x14ac:dyDescent="0.25">
      <c r="B31" s="57" t="s">
        <v>69</v>
      </c>
      <c r="C31" s="138" t="s">
        <v>193</v>
      </c>
      <c r="D31" s="9"/>
      <c r="E31" s="85">
        <f>VLOOKUP(C31,B43:C54,2,FALSE)</f>
        <v>0.06</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188</v>
      </c>
      <c r="C34" s="16"/>
      <c r="D34" s="16"/>
      <c r="E34" s="140">
        <f>1-Projections!B155</f>
        <v>0.88</v>
      </c>
      <c r="F34" s="16" t="s">
        <v>190</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193</v>
      </c>
      <c r="C45" s="27">
        <f>Projections!B162</f>
        <v>0.06</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35"/>
  <sheetViews>
    <sheetView tabSelected="1" topLeftCell="M149" zoomScale="85" zoomScaleNormal="85" workbookViewId="0">
      <selection activeCell="K189" sqref="K189"/>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5" x14ac:dyDescent="0.25">
      <c r="C1" t="s">
        <v>117</v>
      </c>
    </row>
    <row r="2" spans="3:35" x14ac:dyDescent="0.25">
      <c r="C2" s="276">
        <v>2017</v>
      </c>
      <c r="D2" t="s">
        <v>283</v>
      </c>
    </row>
    <row r="3" spans="3:35" x14ac:dyDescent="0.25">
      <c r="C3" s="276">
        <v>2018</v>
      </c>
      <c r="D3" t="s">
        <v>282</v>
      </c>
    </row>
    <row r="4" spans="3:35" x14ac:dyDescent="0.25">
      <c r="C4" s="217">
        <v>43829</v>
      </c>
      <c r="D4" t="s">
        <v>268</v>
      </c>
    </row>
    <row r="5" spans="3:35" x14ac:dyDescent="0.25">
      <c r="C5" s="217">
        <v>43830</v>
      </c>
      <c r="D5" t="s">
        <v>271</v>
      </c>
    </row>
    <row r="6" spans="3:35" x14ac:dyDescent="0.25">
      <c r="C6" s="217"/>
      <c r="D6" s="217">
        <v>43833</v>
      </c>
      <c r="E6" t="s">
        <v>267</v>
      </c>
    </row>
    <row r="7" spans="3:35" x14ac:dyDescent="0.25">
      <c r="D7" s="271">
        <v>43835</v>
      </c>
      <c r="E7" s="69" t="s">
        <v>263</v>
      </c>
      <c r="F7" s="69"/>
      <c r="G7" s="69"/>
      <c r="H7" s="69"/>
      <c r="I7" s="69"/>
      <c r="J7" s="69"/>
      <c r="K7" s="69"/>
      <c r="L7" s="69"/>
      <c r="M7" s="69"/>
      <c r="N7" s="165"/>
      <c r="P7" s="217"/>
    </row>
    <row r="8" spans="3:35" x14ac:dyDescent="0.25">
      <c r="D8" s="158">
        <v>43836</v>
      </c>
      <c r="E8" s="159" t="s">
        <v>195</v>
      </c>
      <c r="F8" s="159"/>
      <c r="G8" s="159"/>
      <c r="H8" s="159"/>
      <c r="I8" s="159"/>
      <c r="J8" s="159"/>
      <c r="K8" s="159"/>
      <c r="L8" s="159"/>
      <c r="M8" s="159"/>
      <c r="N8" s="158">
        <v>43850</v>
      </c>
      <c r="P8" s="217"/>
    </row>
    <row r="9" spans="3:35" x14ac:dyDescent="0.25">
      <c r="D9" s="271">
        <v>43837</v>
      </c>
      <c r="E9" s="69" t="s">
        <v>232</v>
      </c>
      <c r="F9" s="69"/>
      <c r="G9" s="69"/>
      <c r="H9" s="69"/>
      <c r="I9" s="69"/>
      <c r="J9" s="69"/>
      <c r="K9" s="69"/>
      <c r="L9" s="69"/>
      <c r="M9" s="69"/>
      <c r="N9" s="165"/>
      <c r="P9" s="217"/>
    </row>
    <row r="10" spans="3:35" x14ac:dyDescent="0.25">
      <c r="C10" s="69"/>
      <c r="D10" s="165">
        <v>43838</v>
      </c>
      <c r="E10" s="69" t="s">
        <v>272</v>
      </c>
      <c r="F10" s="69"/>
      <c r="G10" s="69"/>
      <c r="H10" s="69"/>
      <c r="I10" s="69"/>
      <c r="J10" s="69"/>
      <c r="K10" s="69"/>
      <c r="L10" s="69"/>
      <c r="M10" s="69"/>
      <c r="N10" s="165"/>
      <c r="O10" s="69"/>
      <c r="P10" s="165"/>
      <c r="Q10" s="69"/>
      <c r="R10" s="69"/>
      <c r="S10" s="69"/>
      <c r="T10" s="69"/>
      <c r="U10" s="69"/>
      <c r="V10" s="69"/>
      <c r="W10" s="69"/>
      <c r="X10" s="69"/>
      <c r="Y10" s="69"/>
      <c r="Z10" s="69"/>
      <c r="AA10" s="69"/>
      <c r="AB10" s="69"/>
      <c r="AC10" s="69"/>
      <c r="AD10" s="69"/>
      <c r="AE10" s="69"/>
      <c r="AF10" s="69"/>
      <c r="AG10" s="69"/>
      <c r="AH10" s="69"/>
    </row>
    <row r="11" spans="3:35" x14ac:dyDescent="0.25">
      <c r="D11" s="271">
        <v>43839</v>
      </c>
      <c r="E11" s="69" t="s">
        <v>233</v>
      </c>
      <c r="F11" s="69"/>
      <c r="G11" s="69"/>
      <c r="H11" s="69"/>
      <c r="I11" s="69"/>
      <c r="J11" s="69"/>
      <c r="K11" s="69"/>
      <c r="L11" s="69"/>
      <c r="M11" s="69"/>
      <c r="N11" s="165"/>
      <c r="P11" s="217"/>
    </row>
    <row r="12" spans="3:35" x14ac:dyDescent="0.25">
      <c r="D12" s="271">
        <v>43840</v>
      </c>
      <c r="E12" s="69" t="s">
        <v>305</v>
      </c>
      <c r="F12" s="69"/>
      <c r="G12" s="69"/>
      <c r="H12" s="69"/>
      <c r="I12" s="69"/>
      <c r="J12" s="69"/>
      <c r="K12" s="69"/>
      <c r="L12" s="69"/>
      <c r="M12" s="69"/>
      <c r="N12" s="165"/>
      <c r="P12" s="217"/>
    </row>
    <row r="13" spans="3:35" x14ac:dyDescent="0.25">
      <c r="D13" s="165">
        <v>43841</v>
      </c>
      <c r="E13" s="69" t="s">
        <v>240</v>
      </c>
      <c r="F13" s="69"/>
      <c r="G13" s="69"/>
      <c r="H13" s="69"/>
      <c r="I13" s="69"/>
      <c r="J13" s="69"/>
      <c r="K13" s="69"/>
      <c r="L13" s="69"/>
      <c r="M13" s="69"/>
      <c r="N13" s="165"/>
      <c r="P13" s="217"/>
    </row>
    <row r="14" spans="3:35" x14ac:dyDescent="0.25">
      <c r="D14" s="165">
        <v>43842</v>
      </c>
      <c r="E14" s="69" t="s">
        <v>269</v>
      </c>
      <c r="F14" s="69"/>
      <c r="G14" s="69"/>
      <c r="H14" s="69"/>
      <c r="I14" s="69"/>
      <c r="J14" s="69"/>
      <c r="K14" s="69"/>
      <c r="L14" s="69"/>
      <c r="M14" s="69"/>
      <c r="N14" s="165"/>
      <c r="P14" s="217"/>
    </row>
    <row r="15" spans="3:35" x14ac:dyDescent="0.25">
      <c r="D15" s="271">
        <v>43844</v>
      </c>
      <c r="E15" s="69" t="s">
        <v>264</v>
      </c>
      <c r="F15" s="69"/>
      <c r="G15" s="69"/>
      <c r="H15" s="69"/>
      <c r="I15" s="69"/>
      <c r="J15" s="69"/>
      <c r="K15" s="69"/>
      <c r="L15" s="69"/>
      <c r="M15" s="69"/>
      <c r="N15" s="165"/>
      <c r="P15" s="217"/>
    </row>
    <row r="16" spans="3:35" x14ac:dyDescent="0.25">
      <c r="D16" s="165">
        <v>43845</v>
      </c>
      <c r="E16" s="69" t="s">
        <v>275</v>
      </c>
      <c r="F16" s="69"/>
      <c r="G16" s="69"/>
      <c r="H16" s="69"/>
      <c r="I16" s="69"/>
      <c r="J16" s="69"/>
      <c r="K16" s="69"/>
      <c r="L16" s="69"/>
      <c r="M16" s="69"/>
      <c r="N16" s="165"/>
      <c r="P16" s="217"/>
      <c r="AI16" s="69"/>
    </row>
    <row r="17" spans="3:40" x14ac:dyDescent="0.25">
      <c r="D17" s="165">
        <v>43846</v>
      </c>
      <c r="E17" s="69" t="s">
        <v>196</v>
      </c>
      <c r="F17" s="69"/>
      <c r="G17" s="69"/>
      <c r="H17" s="69"/>
      <c r="I17" s="69"/>
      <c r="J17" s="69"/>
      <c r="K17" s="69"/>
      <c r="L17" s="69"/>
      <c r="M17" s="69"/>
      <c r="N17" s="165"/>
      <c r="P17" s="217"/>
    </row>
    <row r="18" spans="3:40" x14ac:dyDescent="0.25">
      <c r="D18" s="158">
        <v>43847</v>
      </c>
      <c r="E18" s="159" t="s">
        <v>225</v>
      </c>
      <c r="F18" s="159"/>
      <c r="G18" s="159"/>
      <c r="H18" s="159"/>
      <c r="I18" s="159"/>
      <c r="J18" s="159"/>
      <c r="K18" s="159"/>
      <c r="L18" s="159"/>
      <c r="M18" s="159"/>
      <c r="N18" s="158">
        <v>43861</v>
      </c>
      <c r="P18" s="217"/>
    </row>
    <row r="19" spans="3:40" x14ac:dyDescent="0.25">
      <c r="D19" s="270">
        <v>43848</v>
      </c>
      <c r="E19" s="69" t="s">
        <v>206</v>
      </c>
      <c r="F19" s="69"/>
      <c r="G19" s="69"/>
      <c r="H19" s="69"/>
      <c r="I19" s="69"/>
      <c r="J19" s="69"/>
      <c r="K19" s="69"/>
      <c r="L19" s="69"/>
      <c r="M19" s="69"/>
      <c r="N19" s="165"/>
      <c r="O19" s="69"/>
      <c r="P19" s="165"/>
    </row>
    <row r="20" spans="3:40" x14ac:dyDescent="0.25">
      <c r="D20" s="217">
        <v>43851</v>
      </c>
      <c r="E20" t="s">
        <v>197</v>
      </c>
    </row>
    <row r="21" spans="3:40" x14ac:dyDescent="0.25">
      <c r="D21" s="270">
        <v>43852</v>
      </c>
      <c r="E21" t="s">
        <v>198</v>
      </c>
    </row>
    <row r="22" spans="3:40" x14ac:dyDescent="0.25">
      <c r="C22" s="69"/>
      <c r="D22" s="271">
        <v>43853</v>
      </c>
      <c r="E22" s="69" t="s">
        <v>238</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3:40" x14ac:dyDescent="0.25">
      <c r="C23" s="69"/>
      <c r="D23" s="270">
        <v>43854</v>
      </c>
      <c r="E23" s="69" t="s">
        <v>234</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3:40" x14ac:dyDescent="0.25">
      <c r="C24" s="69"/>
      <c r="D24" s="165">
        <v>43857</v>
      </c>
      <c r="E24" s="69" t="s">
        <v>207</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3:40" x14ac:dyDescent="0.25">
      <c r="C25" s="69"/>
      <c r="D25" s="158">
        <v>43858</v>
      </c>
      <c r="E25" s="159" t="s">
        <v>274</v>
      </c>
      <c r="F25" s="159"/>
      <c r="G25" s="159"/>
      <c r="H25" s="159"/>
      <c r="I25" s="159"/>
      <c r="J25" s="159"/>
      <c r="K25" s="159"/>
      <c r="L25" s="159"/>
      <c r="M25" s="159"/>
      <c r="N25" s="158">
        <v>43873</v>
      </c>
      <c r="O25" s="69"/>
      <c r="P25" s="69"/>
      <c r="Q25" s="69"/>
      <c r="R25" s="69"/>
      <c r="S25" s="69"/>
      <c r="T25" s="69"/>
      <c r="U25" s="69"/>
      <c r="V25" s="69"/>
      <c r="W25" s="69"/>
      <c r="X25" s="69"/>
      <c r="Y25" s="69"/>
      <c r="Z25" s="69"/>
      <c r="AA25" s="69"/>
      <c r="AB25" s="69"/>
      <c r="AC25" s="69"/>
      <c r="AD25" s="69"/>
      <c r="AE25" s="69"/>
      <c r="AF25" s="69"/>
      <c r="AG25" s="69"/>
      <c r="AH25" s="69"/>
    </row>
    <row r="26" spans="3:40" x14ac:dyDescent="0.25">
      <c r="C26" s="69"/>
      <c r="D26" s="165">
        <v>43859</v>
      </c>
      <c r="E26" s="69" t="s">
        <v>208</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3:40" x14ac:dyDescent="0.25">
      <c r="D27" s="217">
        <v>43859</v>
      </c>
      <c r="E27" t="s">
        <v>199</v>
      </c>
      <c r="Q27" s="217"/>
    </row>
    <row r="28" spans="3:40" x14ac:dyDescent="0.25">
      <c r="D28" s="271">
        <v>43860</v>
      </c>
      <c r="E28" t="s">
        <v>241</v>
      </c>
      <c r="AI28" s="69"/>
      <c r="AJ28" s="69"/>
      <c r="AK28" s="69"/>
      <c r="AL28" s="69"/>
      <c r="AM28" s="69"/>
      <c r="AN28" s="69"/>
    </row>
    <row r="29" spans="3:40" x14ac:dyDescent="0.25">
      <c r="D29" s="270">
        <v>43860</v>
      </c>
      <c r="E29" t="s">
        <v>209</v>
      </c>
      <c r="AI29" s="69"/>
    </row>
    <row r="30" spans="3:40" x14ac:dyDescent="0.25">
      <c r="D30" s="270">
        <v>43860</v>
      </c>
      <c r="E30" t="s">
        <v>286</v>
      </c>
      <c r="AI30" s="69"/>
    </row>
    <row r="31" spans="3:40" x14ac:dyDescent="0.25">
      <c r="C31" s="69"/>
      <c r="D31" s="165">
        <v>43860</v>
      </c>
      <c r="E31" s="69" t="s">
        <v>270</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2" spans="3:40" x14ac:dyDescent="0.25">
      <c r="D32" s="165">
        <v>43861</v>
      </c>
      <c r="E32" s="69" t="s">
        <v>247</v>
      </c>
      <c r="F32" s="69"/>
      <c r="G32" s="69"/>
      <c r="H32" s="69"/>
      <c r="I32" s="69"/>
      <c r="J32" s="69"/>
      <c r="K32" s="69"/>
      <c r="L32" s="69"/>
      <c r="M32" s="69"/>
      <c r="N32" s="69"/>
      <c r="O32" s="165"/>
      <c r="AI32" s="69"/>
    </row>
    <row r="33" spans="3:40" x14ac:dyDescent="0.25">
      <c r="D33" s="270">
        <v>43861</v>
      </c>
      <c r="E33" s="69" t="s">
        <v>250</v>
      </c>
      <c r="F33" s="69"/>
      <c r="G33" s="69"/>
      <c r="H33" s="69"/>
      <c r="I33" s="69"/>
      <c r="J33" s="69"/>
      <c r="K33" s="69"/>
      <c r="L33" s="69"/>
      <c r="M33" s="69"/>
      <c r="N33" s="69"/>
      <c r="O33" s="165"/>
    </row>
    <row r="34" spans="3:40" x14ac:dyDescent="0.25">
      <c r="D34" s="165">
        <v>43861</v>
      </c>
      <c r="E34" s="69" t="s">
        <v>248</v>
      </c>
      <c r="F34" s="69"/>
      <c r="G34" s="69"/>
      <c r="H34" s="69"/>
      <c r="I34" s="69"/>
      <c r="J34" s="69"/>
      <c r="K34" s="69"/>
      <c r="L34" s="69"/>
      <c r="M34" s="69"/>
      <c r="N34" s="69"/>
      <c r="O34" s="165"/>
    </row>
    <row r="35" spans="3:40" x14ac:dyDescent="0.25">
      <c r="D35" s="165" t="s">
        <v>210</v>
      </c>
      <c r="E35" t="s">
        <v>211</v>
      </c>
    </row>
    <row r="36" spans="3:40" x14ac:dyDescent="0.25">
      <c r="D36" s="165"/>
      <c r="E36" s="217">
        <v>43862</v>
      </c>
      <c r="F36" t="s">
        <v>244</v>
      </c>
    </row>
    <row r="37" spans="3:40" x14ac:dyDescent="0.25">
      <c r="E37" s="158">
        <v>43863</v>
      </c>
      <c r="F37" s="159" t="s">
        <v>201</v>
      </c>
      <c r="G37" s="159"/>
      <c r="H37" s="159"/>
      <c r="I37" s="159"/>
      <c r="J37" s="159"/>
      <c r="K37" s="159"/>
      <c r="L37" s="159"/>
      <c r="M37" s="159"/>
      <c r="N37" s="158"/>
      <c r="O37" s="158">
        <v>43877</v>
      </c>
      <c r="AI37" s="69"/>
    </row>
    <row r="38" spans="3:40" x14ac:dyDescent="0.25">
      <c r="C38" s="69"/>
      <c r="D38" s="69"/>
      <c r="E38" s="165"/>
      <c r="F38" s="272" t="s">
        <v>236</v>
      </c>
      <c r="G38" s="69" t="s">
        <v>237</v>
      </c>
      <c r="H38" s="69"/>
      <c r="I38" s="69"/>
      <c r="J38" s="69"/>
      <c r="K38" s="69"/>
      <c r="L38" s="69"/>
      <c r="M38" s="69"/>
      <c r="N38" s="165"/>
      <c r="O38" s="165"/>
      <c r="P38" s="69"/>
      <c r="Q38" s="69"/>
      <c r="R38" s="69"/>
      <c r="S38" s="69"/>
      <c r="T38" s="69"/>
      <c r="U38" s="69"/>
      <c r="V38" s="69"/>
      <c r="W38" s="69"/>
      <c r="X38" s="69"/>
      <c r="Y38" s="69"/>
      <c r="Z38" s="69"/>
      <c r="AA38" s="69"/>
      <c r="AB38" s="69"/>
      <c r="AC38" s="69"/>
      <c r="AD38" s="69"/>
      <c r="AE38" s="69"/>
      <c r="AF38" s="69"/>
      <c r="AG38" s="69"/>
      <c r="AH38" s="69"/>
    </row>
    <row r="39" spans="3:40" x14ac:dyDescent="0.25">
      <c r="C39" s="69"/>
      <c r="D39" s="69"/>
      <c r="E39" s="165"/>
      <c r="F39" s="270">
        <v>43863</v>
      </c>
      <c r="G39" s="69" t="s">
        <v>291</v>
      </c>
      <c r="H39" s="69"/>
      <c r="I39" s="69"/>
      <c r="J39" s="69"/>
      <c r="K39" s="69"/>
      <c r="L39" s="69"/>
      <c r="M39" s="69"/>
      <c r="N39" s="165"/>
      <c r="O39" s="165"/>
      <c r="P39" s="69"/>
      <c r="Q39" s="69"/>
      <c r="R39" s="69"/>
      <c r="S39" s="69"/>
      <c r="T39" s="69"/>
      <c r="U39" s="69"/>
      <c r="V39" s="69"/>
      <c r="W39" s="69"/>
      <c r="X39" s="69"/>
      <c r="Y39" s="69"/>
      <c r="Z39" s="69"/>
      <c r="AA39" s="69"/>
      <c r="AB39" s="69"/>
      <c r="AC39" s="69"/>
      <c r="AD39" s="69"/>
      <c r="AE39" s="69"/>
      <c r="AF39" s="69"/>
      <c r="AG39" s="69"/>
      <c r="AH39" s="69"/>
    </row>
    <row r="40" spans="3:40" s="69" customFormat="1" x14ac:dyDescent="0.25">
      <c r="C40"/>
      <c r="D40"/>
      <c r="E40" s="165"/>
      <c r="F40" s="165">
        <v>43866</v>
      </c>
      <c r="G40" s="69" t="s">
        <v>249</v>
      </c>
      <c r="N40" s="165"/>
      <c r="O40" s="165"/>
      <c r="P40"/>
      <c r="Q40"/>
      <c r="R40"/>
      <c r="S40"/>
      <c r="T40"/>
      <c r="U40"/>
      <c r="V40"/>
      <c r="W40"/>
      <c r="X40"/>
      <c r="Y40"/>
      <c r="Z40"/>
      <c r="AA40"/>
      <c r="AB40"/>
      <c r="AC40"/>
      <c r="AD40"/>
      <c r="AE40"/>
      <c r="AF40"/>
      <c r="AG40"/>
      <c r="AH40"/>
      <c r="AI40"/>
    </row>
    <row r="41" spans="3:40" x14ac:dyDescent="0.25">
      <c r="E41" s="165"/>
      <c r="F41" s="165">
        <v>43867</v>
      </c>
      <c r="G41" s="16" t="s">
        <v>315</v>
      </c>
      <c r="H41" s="69"/>
      <c r="I41" s="69"/>
      <c r="J41" s="69"/>
      <c r="K41" s="69"/>
      <c r="L41" s="69"/>
      <c r="M41" s="69"/>
      <c r="N41" s="165"/>
      <c r="O41" s="165"/>
      <c r="AJ41" s="69"/>
      <c r="AK41" s="69"/>
      <c r="AL41" s="69"/>
      <c r="AM41" s="69"/>
      <c r="AN41" s="69"/>
    </row>
    <row r="42" spans="3:40" x14ac:dyDescent="0.25">
      <c r="E42" s="165"/>
      <c r="F42" s="165">
        <v>43868</v>
      </c>
      <c r="G42" s="69" t="s">
        <v>266</v>
      </c>
      <c r="H42" s="69"/>
      <c r="I42" s="69"/>
      <c r="J42" s="69"/>
      <c r="K42" s="69"/>
      <c r="L42" s="69"/>
      <c r="M42" s="69"/>
      <c r="N42" s="165"/>
      <c r="O42" s="165"/>
      <c r="AJ42" s="69"/>
      <c r="AK42" s="69"/>
      <c r="AL42" s="69"/>
      <c r="AM42" s="69"/>
      <c r="AN42" s="69"/>
    </row>
    <row r="43" spans="3:40" x14ac:dyDescent="0.25">
      <c r="E43" s="165"/>
      <c r="F43" s="270">
        <v>43871</v>
      </c>
      <c r="G43" s="69" t="s">
        <v>287</v>
      </c>
      <c r="H43" s="69"/>
      <c r="I43" s="69"/>
      <c r="J43" s="69"/>
      <c r="K43" s="69"/>
      <c r="L43" s="69"/>
      <c r="M43" s="69"/>
      <c r="N43" s="165"/>
      <c r="O43" s="165"/>
      <c r="AJ43" s="69"/>
      <c r="AK43" s="69"/>
      <c r="AL43" s="69"/>
      <c r="AM43" s="69"/>
      <c r="AN43" s="69"/>
    </row>
    <row r="44" spans="3:40" x14ac:dyDescent="0.25">
      <c r="E44" s="165"/>
      <c r="F44" s="270">
        <v>43872</v>
      </c>
      <c r="G44" s="69" t="s">
        <v>281</v>
      </c>
      <c r="H44" s="69"/>
      <c r="I44" s="69"/>
      <c r="J44" s="69"/>
      <c r="K44" s="69"/>
      <c r="L44" s="69"/>
      <c r="M44" s="69"/>
      <c r="N44" s="165"/>
      <c r="O44" s="165"/>
      <c r="AJ44" s="69"/>
      <c r="AK44" s="69"/>
      <c r="AL44" s="69"/>
      <c r="AM44" s="69"/>
      <c r="AN44" s="69"/>
    </row>
    <row r="45" spans="3:40" x14ac:dyDescent="0.25">
      <c r="E45" s="165"/>
      <c r="F45" s="271">
        <v>43873</v>
      </c>
      <c r="G45" s="69" t="s">
        <v>278</v>
      </c>
      <c r="H45" s="69"/>
      <c r="I45" s="69"/>
      <c r="J45" s="69"/>
      <c r="K45" s="69"/>
      <c r="L45" s="69"/>
      <c r="M45" s="69"/>
      <c r="N45" s="165"/>
      <c r="O45" s="165"/>
      <c r="AI45" s="69"/>
    </row>
    <row r="46" spans="3:40" x14ac:dyDescent="0.25">
      <c r="E46" s="165"/>
      <c r="G46" s="270">
        <v>43880</v>
      </c>
      <c r="H46" s="69" t="s">
        <v>212</v>
      </c>
      <c r="I46" s="69"/>
      <c r="J46" s="69"/>
      <c r="K46" s="69"/>
      <c r="L46" s="69"/>
      <c r="M46" s="69"/>
      <c r="N46" s="69"/>
      <c r="O46" s="165"/>
      <c r="P46" s="165"/>
      <c r="AI46" s="69"/>
    </row>
    <row r="47" spans="3:40" x14ac:dyDescent="0.25">
      <c r="E47" s="165"/>
      <c r="F47" s="165"/>
      <c r="G47" s="69"/>
      <c r="H47" s="69"/>
      <c r="I47" s="69"/>
      <c r="J47" s="69"/>
      <c r="K47" s="69"/>
      <c r="L47" s="69"/>
      <c r="M47" s="69"/>
      <c r="N47" s="165"/>
      <c r="O47" s="165"/>
      <c r="P47" s="217">
        <v>43882</v>
      </c>
      <c r="Q47" t="s">
        <v>213</v>
      </c>
    </row>
    <row r="48" spans="3:40" x14ac:dyDescent="0.25">
      <c r="E48" s="165"/>
      <c r="F48" s="165"/>
      <c r="G48" s="69"/>
      <c r="H48" s="69"/>
      <c r="I48" s="69"/>
      <c r="J48" s="69"/>
      <c r="K48" s="69"/>
      <c r="L48" s="69"/>
      <c r="M48" s="69"/>
      <c r="N48" s="165"/>
      <c r="O48" s="165"/>
      <c r="P48" s="271">
        <v>43883</v>
      </c>
      <c r="Q48" t="s">
        <v>235</v>
      </c>
    </row>
    <row r="49" spans="3:54" x14ac:dyDescent="0.25">
      <c r="E49" s="165"/>
      <c r="F49" s="165"/>
      <c r="G49" s="69"/>
      <c r="H49" s="69"/>
      <c r="I49" s="69"/>
      <c r="J49" s="69"/>
      <c r="K49" s="69"/>
      <c r="L49" s="69"/>
      <c r="M49" s="69"/>
      <c r="N49" s="165"/>
      <c r="O49" s="165"/>
      <c r="P49" s="217">
        <v>43884</v>
      </c>
      <c r="Q49" t="s">
        <v>214</v>
      </c>
      <c r="AJ49" s="69"/>
      <c r="AK49" s="69"/>
      <c r="AL49" s="69"/>
      <c r="AM49" s="69"/>
      <c r="AN49" s="69"/>
    </row>
    <row r="50" spans="3:54" x14ac:dyDescent="0.25">
      <c r="D50" s="217"/>
      <c r="P50" s="270">
        <v>43885</v>
      </c>
      <c r="Q50" t="s">
        <v>200</v>
      </c>
    </row>
    <row r="51" spans="3:54" x14ac:dyDescent="0.25">
      <c r="P51" s="165">
        <v>43886</v>
      </c>
      <c r="Q51" t="s">
        <v>215</v>
      </c>
    </row>
    <row r="52" spans="3:54" x14ac:dyDescent="0.25">
      <c r="P52" s="270">
        <v>43886</v>
      </c>
      <c r="Q52" t="s">
        <v>216</v>
      </c>
      <c r="AO52" s="69"/>
      <c r="AP52" s="69"/>
    </row>
    <row r="53" spans="3:54" x14ac:dyDescent="0.25">
      <c r="P53" s="270">
        <v>43886</v>
      </c>
      <c r="Q53" t="s">
        <v>280</v>
      </c>
      <c r="AO53" s="69"/>
      <c r="AP53" s="69"/>
    </row>
    <row r="54" spans="3:54" x14ac:dyDescent="0.25">
      <c r="P54" s="165">
        <v>43886</v>
      </c>
      <c r="Q54" t="s">
        <v>217</v>
      </c>
      <c r="AO54" s="69"/>
      <c r="AP54" s="69"/>
    </row>
    <row r="55" spans="3:54" x14ac:dyDescent="0.25">
      <c r="P55" s="270">
        <v>43887</v>
      </c>
      <c r="Q55" t="s">
        <v>218</v>
      </c>
      <c r="AO55" s="69"/>
      <c r="AP55" s="69"/>
    </row>
    <row r="56" spans="3:54" x14ac:dyDescent="0.25">
      <c r="P56" s="270">
        <v>43888</v>
      </c>
      <c r="Q56" t="s">
        <v>276</v>
      </c>
      <c r="AO56" s="69"/>
      <c r="AP56" s="69"/>
    </row>
    <row r="57" spans="3:54" x14ac:dyDescent="0.25">
      <c r="P57" s="270">
        <v>43888</v>
      </c>
      <c r="Q57" t="s">
        <v>277</v>
      </c>
      <c r="AJ57" s="69"/>
      <c r="AK57" s="69"/>
      <c r="AL57" s="69"/>
      <c r="AM57" s="69"/>
      <c r="AN57" s="69"/>
    </row>
    <row r="58" spans="3:54" x14ac:dyDescent="0.25">
      <c r="P58" s="270">
        <v>43889</v>
      </c>
      <c r="Q58" t="s">
        <v>288</v>
      </c>
      <c r="AJ58" s="69"/>
      <c r="AK58" s="69"/>
      <c r="AL58" s="69"/>
      <c r="AM58" s="69"/>
      <c r="AN58" s="69"/>
    </row>
    <row r="59" spans="3:54" x14ac:dyDescent="0.25">
      <c r="Q59" s="158">
        <v>43890</v>
      </c>
      <c r="R59" s="159" t="s">
        <v>202</v>
      </c>
      <c r="S59" s="159"/>
      <c r="T59" s="159"/>
      <c r="U59" s="159"/>
      <c r="V59" s="158">
        <f>Q59+14</f>
        <v>43904</v>
      </c>
      <c r="AQ59" s="69"/>
      <c r="AR59" s="69"/>
      <c r="AS59" s="69"/>
      <c r="AT59" s="69"/>
      <c r="AU59" s="69"/>
      <c r="AV59" s="69"/>
      <c r="AW59" s="69"/>
      <c r="AX59" s="69"/>
      <c r="AY59" s="69"/>
      <c r="AZ59" s="69"/>
      <c r="BA59" s="69"/>
      <c r="BB59" s="69"/>
    </row>
    <row r="60" spans="3:54" x14ac:dyDescent="0.25">
      <c r="Q60" s="270">
        <v>43890</v>
      </c>
      <c r="R60" s="69" t="s">
        <v>289</v>
      </c>
      <c r="S60" s="69"/>
      <c r="T60" s="69"/>
      <c r="U60" s="69"/>
      <c r="V60" s="165"/>
      <c r="AQ60" s="69"/>
      <c r="AR60" s="69"/>
      <c r="AS60" s="69"/>
      <c r="AT60" s="69"/>
      <c r="AU60" s="69"/>
      <c r="AV60" s="69"/>
      <c r="AW60" s="69"/>
      <c r="AX60" s="69"/>
      <c r="AY60" s="69"/>
      <c r="AZ60" s="69"/>
      <c r="BA60" s="69"/>
      <c r="BB60" s="69"/>
    </row>
    <row r="61" spans="3:54" s="69" customFormat="1" x14ac:dyDescent="0.25">
      <c r="C61"/>
      <c r="D61"/>
      <c r="E61" s="165"/>
      <c r="F61"/>
      <c r="G61"/>
      <c r="H61"/>
      <c r="I61"/>
      <c r="J61"/>
      <c r="K61"/>
      <c r="L61"/>
      <c r="M61"/>
      <c r="N61"/>
      <c r="O61"/>
      <c r="P61"/>
      <c r="Q61" s="158">
        <v>43892</v>
      </c>
      <c r="R61" s="158" t="s">
        <v>178</v>
      </c>
      <c r="S61" s="159"/>
      <c r="T61" s="159"/>
      <c r="U61" s="158"/>
      <c r="V61" s="159"/>
      <c r="W61" s="158">
        <v>43906</v>
      </c>
      <c r="X61"/>
      <c r="Y61"/>
      <c r="Z61"/>
      <c r="AA61"/>
      <c r="AB61"/>
      <c r="AC61"/>
      <c r="AD61"/>
      <c r="AE61"/>
      <c r="AF61"/>
      <c r="AG61"/>
      <c r="AH61"/>
      <c r="AI61"/>
      <c r="AJ61"/>
      <c r="AK61"/>
      <c r="AL61"/>
      <c r="AM61"/>
      <c r="AN61"/>
    </row>
    <row r="62" spans="3:54" x14ac:dyDescent="0.25">
      <c r="C62" s="69"/>
      <c r="D62" s="69"/>
      <c r="E62" s="165"/>
      <c r="F62" s="69"/>
      <c r="G62" s="69"/>
      <c r="H62" s="69"/>
      <c r="I62" s="69"/>
      <c r="J62" s="69"/>
      <c r="K62" s="69"/>
      <c r="L62" s="69"/>
      <c r="M62" s="69"/>
      <c r="N62" s="69"/>
      <c r="O62" s="69"/>
      <c r="P62" s="69"/>
      <c r="Q62" s="270">
        <v>43892</v>
      </c>
      <c r="R62" s="165" t="s">
        <v>290</v>
      </c>
      <c r="S62" s="69"/>
      <c r="T62" s="69"/>
      <c r="U62" s="165"/>
      <c r="V62" s="69"/>
      <c r="W62" s="165"/>
      <c r="X62" s="69"/>
      <c r="Y62" s="69"/>
      <c r="Z62" s="69"/>
      <c r="AA62" s="69"/>
      <c r="AB62" s="69"/>
      <c r="AC62" s="69"/>
      <c r="AD62" s="69"/>
      <c r="AE62" s="69"/>
      <c r="AF62" s="69"/>
      <c r="AG62" s="69"/>
      <c r="AH62" s="69"/>
      <c r="AQ62" s="69"/>
      <c r="AR62" s="69"/>
      <c r="AS62" s="69"/>
      <c r="AT62" s="69"/>
      <c r="AU62" s="69"/>
      <c r="AV62" s="69"/>
      <c r="AW62" s="69"/>
      <c r="AX62" s="69"/>
      <c r="AY62" s="69"/>
      <c r="AZ62" s="69"/>
      <c r="BA62" s="69"/>
      <c r="BB62" s="69"/>
    </row>
    <row r="63" spans="3:54" x14ac:dyDescent="0.25">
      <c r="C63" s="69"/>
      <c r="D63" s="69"/>
      <c r="E63" s="165"/>
      <c r="F63" s="69"/>
      <c r="G63" s="69"/>
      <c r="H63" s="69"/>
      <c r="I63" s="69"/>
      <c r="J63" s="69"/>
      <c r="K63" s="69"/>
      <c r="L63" s="69"/>
      <c r="M63" s="69"/>
      <c r="N63" s="69"/>
      <c r="O63" s="69"/>
      <c r="P63" s="69"/>
      <c r="Q63" s="165"/>
      <c r="R63" s="165">
        <v>43893</v>
      </c>
      <c r="S63" s="69" t="s">
        <v>229</v>
      </c>
      <c r="T63" s="69"/>
      <c r="U63" s="165"/>
      <c r="V63" s="69"/>
      <c r="W63" s="165"/>
      <c r="X63" s="69"/>
      <c r="Y63" s="69"/>
      <c r="Z63" s="69"/>
      <c r="AA63" s="69"/>
      <c r="AB63" s="69"/>
      <c r="AC63" s="69"/>
      <c r="AD63" s="69"/>
      <c r="AE63" s="69"/>
      <c r="AF63" s="69"/>
      <c r="AG63" s="69"/>
      <c r="AH63" s="69"/>
      <c r="AQ63" s="69"/>
      <c r="AR63" s="69"/>
      <c r="AS63" s="69"/>
      <c r="AT63" s="69"/>
      <c r="AU63" s="69"/>
      <c r="AV63" s="69"/>
      <c r="AW63" s="69"/>
      <c r="AX63" s="69"/>
      <c r="AY63" s="69"/>
      <c r="AZ63" s="69"/>
      <c r="BA63" s="69"/>
      <c r="BB63" s="69"/>
    </row>
    <row r="64" spans="3:54" x14ac:dyDescent="0.25">
      <c r="E64" s="165"/>
      <c r="R64" s="270">
        <v>43894</v>
      </c>
      <c r="S64" t="s">
        <v>203</v>
      </c>
      <c r="AQ64" s="69"/>
      <c r="AR64" s="69"/>
      <c r="AS64" s="69"/>
      <c r="AT64" s="69"/>
      <c r="AU64" s="69"/>
      <c r="AV64" s="69"/>
      <c r="AW64" s="69"/>
      <c r="AX64" s="69"/>
      <c r="AY64" s="69"/>
      <c r="AZ64" s="69"/>
      <c r="BA64" s="69"/>
      <c r="BB64" s="69"/>
    </row>
    <row r="65" spans="3:55" x14ac:dyDescent="0.25">
      <c r="E65" s="165"/>
      <c r="R65" s="270">
        <v>43894</v>
      </c>
      <c r="S65" t="s">
        <v>335</v>
      </c>
      <c r="AQ65" s="69"/>
      <c r="AR65" s="69"/>
      <c r="AS65" s="69"/>
      <c r="AT65" s="69"/>
      <c r="AU65" s="69"/>
      <c r="AV65" s="69"/>
      <c r="AW65" s="69"/>
      <c r="AX65" s="69"/>
      <c r="AY65" s="69"/>
      <c r="AZ65" s="69"/>
      <c r="BA65" s="69"/>
      <c r="BB65" s="69"/>
    </row>
    <row r="66" spans="3:55" x14ac:dyDescent="0.25">
      <c r="E66" s="165"/>
      <c r="R66" s="165"/>
      <c r="S66" s="270">
        <v>43895</v>
      </c>
      <c r="T66" s="69" t="s">
        <v>336</v>
      </c>
      <c r="U66" s="165"/>
      <c r="V66" s="69"/>
      <c r="W66" s="165"/>
      <c r="AQ66" s="69"/>
      <c r="AR66" s="69"/>
      <c r="AS66" s="69"/>
      <c r="AT66" s="69"/>
      <c r="AU66" s="69"/>
      <c r="AV66" s="69"/>
      <c r="AW66" s="69"/>
      <c r="AX66" s="69"/>
      <c r="AY66" s="69"/>
      <c r="AZ66" s="69"/>
      <c r="BA66" s="69"/>
      <c r="BB66" s="69"/>
    </row>
    <row r="67" spans="3:55" x14ac:dyDescent="0.25">
      <c r="E67" s="165"/>
      <c r="R67" s="165"/>
      <c r="S67" s="270">
        <v>43895</v>
      </c>
      <c r="T67" s="69" t="s">
        <v>285</v>
      </c>
      <c r="U67" s="165"/>
      <c r="V67" s="69"/>
      <c r="W67" s="165"/>
      <c r="AQ67" s="69"/>
      <c r="AR67" s="69"/>
      <c r="AS67" s="69"/>
      <c r="AT67" s="69"/>
      <c r="AU67" s="69"/>
      <c r="AV67" s="69"/>
      <c r="AW67" s="69"/>
      <c r="AX67" s="69"/>
      <c r="AY67" s="69"/>
      <c r="AZ67" s="69"/>
      <c r="BA67" s="69"/>
      <c r="BB67" s="69"/>
    </row>
    <row r="68" spans="3:55" x14ac:dyDescent="0.25">
      <c r="E68" s="165"/>
      <c r="R68" s="165"/>
      <c r="S68" s="270">
        <v>43896</v>
      </c>
      <c r="T68" s="69" t="s">
        <v>242</v>
      </c>
      <c r="U68" s="165"/>
      <c r="V68" s="69"/>
      <c r="W68" s="165"/>
      <c r="AI68" s="69"/>
      <c r="AQ68" s="69"/>
      <c r="AR68" s="69"/>
      <c r="AS68" s="69"/>
      <c r="AT68" s="69"/>
      <c r="AU68" s="69"/>
      <c r="AV68" s="69"/>
      <c r="AW68" s="69"/>
      <c r="AX68" s="69"/>
      <c r="AY68" s="69"/>
      <c r="AZ68" s="69"/>
      <c r="BA68" s="69"/>
      <c r="BB68" s="69"/>
    </row>
    <row r="69" spans="3:55" x14ac:dyDescent="0.25">
      <c r="C69" s="69"/>
      <c r="D69" s="69"/>
      <c r="E69" s="165"/>
      <c r="F69" s="69"/>
      <c r="G69" s="69"/>
      <c r="H69" s="69"/>
      <c r="I69" s="69"/>
      <c r="J69" s="69"/>
      <c r="K69" s="69"/>
      <c r="L69" s="69"/>
      <c r="M69" s="69"/>
      <c r="N69" s="69"/>
      <c r="O69" s="69"/>
      <c r="P69" s="69"/>
      <c r="Q69" s="69"/>
      <c r="R69" s="165"/>
      <c r="S69" s="165">
        <v>43896</v>
      </c>
      <c r="T69" s="69" t="s">
        <v>253</v>
      </c>
      <c r="U69" s="165"/>
      <c r="V69" s="69"/>
      <c r="W69" s="165"/>
      <c r="X69" s="69"/>
      <c r="Y69" s="69"/>
      <c r="Z69" s="69"/>
      <c r="AA69" s="69"/>
      <c r="AB69" s="69"/>
      <c r="AC69" s="69"/>
      <c r="AD69" s="69"/>
      <c r="AE69" s="69"/>
      <c r="AF69" s="69"/>
      <c r="AG69" s="69"/>
      <c r="AH69" s="69"/>
      <c r="AI69" s="69"/>
      <c r="AO69" s="69"/>
      <c r="AP69" s="69"/>
    </row>
    <row r="70" spans="3:55" x14ac:dyDescent="0.25">
      <c r="C70" s="69"/>
      <c r="D70" s="69"/>
      <c r="E70" s="165"/>
      <c r="F70" s="69"/>
      <c r="G70" s="69"/>
      <c r="H70" s="69"/>
      <c r="I70" s="69"/>
      <c r="J70" s="69"/>
      <c r="K70" s="69"/>
      <c r="L70" s="69"/>
      <c r="M70" s="69"/>
      <c r="N70" s="69"/>
      <c r="O70" s="69"/>
      <c r="P70" s="69"/>
      <c r="Q70" s="69"/>
      <c r="R70" s="165"/>
      <c r="S70" s="270">
        <v>43896</v>
      </c>
      <c r="T70" s="69" t="s">
        <v>292</v>
      </c>
      <c r="U70" s="165"/>
      <c r="V70" s="69"/>
      <c r="W70" s="165"/>
      <c r="X70" s="69"/>
      <c r="Y70" s="69"/>
      <c r="Z70" s="69"/>
      <c r="AA70" s="69"/>
      <c r="AB70" s="69"/>
      <c r="AC70" s="69"/>
      <c r="AD70" s="69"/>
      <c r="AE70" s="69"/>
      <c r="AF70" s="69"/>
      <c r="AG70" s="69"/>
      <c r="AH70" s="69"/>
      <c r="AO70" s="69"/>
      <c r="AP70" s="69"/>
    </row>
    <row r="71" spans="3:55" x14ac:dyDescent="0.25">
      <c r="C71" s="69"/>
      <c r="D71" s="69"/>
      <c r="E71" s="165"/>
      <c r="F71" s="69"/>
      <c r="G71" s="69"/>
      <c r="H71" s="69"/>
      <c r="I71" s="69"/>
      <c r="J71" s="69"/>
      <c r="K71" s="69"/>
      <c r="L71" s="69"/>
      <c r="M71" s="69"/>
      <c r="N71" s="69"/>
      <c r="O71" s="69"/>
      <c r="P71" s="69"/>
      <c r="Q71" s="69"/>
      <c r="R71" s="165"/>
      <c r="S71" s="270">
        <v>43896</v>
      </c>
      <c r="T71" s="69" t="s">
        <v>293</v>
      </c>
      <c r="U71" s="165"/>
      <c r="V71" s="69"/>
      <c r="W71" s="165"/>
      <c r="X71" s="69"/>
      <c r="Y71" s="69"/>
      <c r="Z71" s="69"/>
      <c r="AA71" s="69"/>
      <c r="AB71" s="69"/>
      <c r="AC71" s="69"/>
      <c r="AD71" s="69"/>
      <c r="AE71" s="69"/>
      <c r="AF71" s="69"/>
      <c r="AG71" s="69"/>
      <c r="AH71" s="69"/>
    </row>
    <row r="72" spans="3:55" x14ac:dyDescent="0.25">
      <c r="C72" s="69"/>
      <c r="D72" s="69"/>
      <c r="E72" s="165"/>
      <c r="F72" s="69"/>
      <c r="G72" s="69"/>
      <c r="H72" s="69"/>
      <c r="I72" s="69"/>
      <c r="J72" s="69"/>
      <c r="K72" s="69"/>
      <c r="L72" s="69"/>
      <c r="M72" s="69"/>
      <c r="N72" s="69"/>
      <c r="O72" s="69"/>
      <c r="P72" s="69"/>
      <c r="Q72" s="69"/>
      <c r="R72" s="165"/>
      <c r="S72" s="270">
        <v>43897</v>
      </c>
      <c r="T72" s="69" t="s">
        <v>279</v>
      </c>
      <c r="U72" s="165"/>
      <c r="V72" s="69"/>
      <c r="W72" s="165"/>
      <c r="X72" s="69"/>
      <c r="Y72" s="69"/>
      <c r="Z72" s="69"/>
      <c r="AA72" s="69"/>
      <c r="AB72" s="69"/>
      <c r="AC72" s="69"/>
      <c r="AD72" s="69"/>
      <c r="AE72" s="69"/>
      <c r="AF72" s="69"/>
      <c r="AG72" s="69"/>
      <c r="AH72" s="69"/>
    </row>
    <row r="73" spans="3:55" x14ac:dyDescent="0.25">
      <c r="C73" s="69"/>
      <c r="D73" s="69"/>
      <c r="E73" s="165"/>
      <c r="F73" s="69"/>
      <c r="G73" s="69"/>
      <c r="H73" s="69"/>
      <c r="I73" s="69"/>
      <c r="J73" s="69"/>
      <c r="K73" s="69"/>
      <c r="L73" s="69"/>
      <c r="M73" s="69"/>
      <c r="N73" s="69"/>
      <c r="O73" s="69"/>
      <c r="P73" s="69"/>
      <c r="Q73" s="69"/>
      <c r="R73" s="165"/>
      <c r="S73" s="165"/>
      <c r="T73" s="270">
        <v>43898</v>
      </c>
      <c r="U73" s="165" t="s">
        <v>294</v>
      </c>
      <c r="V73" s="69"/>
      <c r="W73" s="165"/>
      <c r="X73" s="69"/>
      <c r="Y73" s="69"/>
      <c r="Z73" s="69"/>
      <c r="AA73" s="69"/>
      <c r="AB73" s="69"/>
      <c r="AC73" s="69"/>
      <c r="AD73" s="69"/>
      <c r="AE73" s="69"/>
      <c r="AF73" s="69"/>
      <c r="AG73" s="69"/>
      <c r="AH73" s="69"/>
    </row>
    <row r="74" spans="3:55" x14ac:dyDescent="0.25">
      <c r="E74" s="165"/>
      <c r="R74" s="165"/>
      <c r="T74" s="270">
        <v>43899</v>
      </c>
      <c r="U74" s="165" t="s">
        <v>219</v>
      </c>
      <c r="V74" s="69"/>
      <c r="W74" s="165"/>
    </row>
    <row r="75" spans="3:55" x14ac:dyDescent="0.25">
      <c r="E75" s="165"/>
      <c r="R75" s="165"/>
      <c r="T75" s="270">
        <v>43899</v>
      </c>
      <c r="U75" s="165" t="s">
        <v>337</v>
      </c>
      <c r="V75" s="69"/>
      <c r="W75" s="165"/>
      <c r="AI75" s="69"/>
    </row>
    <row r="76" spans="3:55" x14ac:dyDescent="0.25">
      <c r="E76" s="165"/>
      <c r="R76" s="165"/>
      <c r="T76" s="270">
        <v>43899</v>
      </c>
      <c r="U76" s="165" t="s">
        <v>220</v>
      </c>
      <c r="V76" s="69"/>
      <c r="W76" s="165"/>
      <c r="AI76" s="69"/>
    </row>
    <row r="77" spans="3:55" x14ac:dyDescent="0.25">
      <c r="E77" s="165"/>
      <c r="R77" s="165"/>
      <c r="T77" s="270">
        <v>43900</v>
      </c>
      <c r="U77" s="165" t="s">
        <v>295</v>
      </c>
      <c r="V77" s="69"/>
      <c r="W77" s="165"/>
      <c r="AI77" s="69"/>
      <c r="BC77" s="69"/>
    </row>
    <row r="78" spans="3:55" x14ac:dyDescent="0.25">
      <c r="E78" s="165"/>
      <c r="R78" s="165"/>
      <c r="T78" s="270">
        <v>43900</v>
      </c>
      <c r="U78" s="165" t="s">
        <v>221</v>
      </c>
      <c r="V78" s="69"/>
      <c r="W78" s="165"/>
      <c r="AI78" s="69"/>
      <c r="BC78" s="69"/>
    </row>
    <row r="79" spans="3:55" x14ac:dyDescent="0.25">
      <c r="E79" s="165"/>
      <c r="R79" s="165"/>
      <c r="S79" s="165"/>
      <c r="T79" s="69"/>
      <c r="U79" s="271">
        <v>43901</v>
      </c>
      <c r="V79" s="69" t="s">
        <v>205</v>
      </c>
      <c r="W79" s="165"/>
      <c r="X79" s="69"/>
      <c r="AI79" s="69"/>
      <c r="BC79" s="69"/>
    </row>
    <row r="80" spans="3:55" x14ac:dyDescent="0.25">
      <c r="E80" s="165"/>
      <c r="R80" s="165"/>
      <c r="S80" s="165"/>
      <c r="T80" s="69"/>
      <c r="U80" s="270">
        <v>43901</v>
      </c>
      <c r="V80" s="69" t="s">
        <v>252</v>
      </c>
      <c r="W80" s="165"/>
      <c r="X80" s="69"/>
      <c r="AJ80" s="69"/>
      <c r="AK80" s="69"/>
      <c r="AL80" s="69"/>
      <c r="AM80" s="69"/>
      <c r="AN80" s="69"/>
      <c r="AQ80" s="69"/>
      <c r="AR80" s="69"/>
      <c r="AS80" s="69"/>
      <c r="AT80" s="69"/>
      <c r="AU80" s="69"/>
      <c r="AV80" s="69"/>
      <c r="AW80" s="69"/>
      <c r="AX80" s="69"/>
      <c r="AY80" s="69"/>
      <c r="AZ80" s="69"/>
      <c r="BA80" s="69"/>
      <c r="BB80" s="69"/>
      <c r="BC80" s="69"/>
    </row>
    <row r="81" spans="3:55" x14ac:dyDescent="0.25">
      <c r="E81" s="165"/>
      <c r="U81" s="270">
        <v>43901</v>
      </c>
      <c r="V81" t="s">
        <v>226</v>
      </c>
      <c r="AJ81" s="69"/>
      <c r="AK81" s="69"/>
      <c r="AL81" s="69"/>
      <c r="AM81" s="69"/>
      <c r="AN81" s="69"/>
      <c r="BC81" s="69"/>
    </row>
    <row r="82" spans="3:55" x14ac:dyDescent="0.25">
      <c r="C82" s="69"/>
      <c r="D82" s="69"/>
      <c r="E82" s="165"/>
      <c r="F82" s="69"/>
      <c r="G82" s="69"/>
      <c r="H82" s="69"/>
      <c r="I82" s="69"/>
      <c r="J82" s="69"/>
      <c r="K82" s="69"/>
      <c r="L82" s="69"/>
      <c r="M82" s="69"/>
      <c r="N82" s="69"/>
      <c r="O82" s="69"/>
      <c r="P82" s="69"/>
      <c r="Q82" s="69"/>
      <c r="R82" s="165"/>
      <c r="S82" s="165"/>
      <c r="T82" s="69"/>
      <c r="U82" s="165">
        <v>43902</v>
      </c>
      <c r="V82" s="69" t="s">
        <v>245</v>
      </c>
      <c r="W82" s="165"/>
      <c r="X82" s="69"/>
      <c r="Y82" s="69"/>
      <c r="Z82" s="69"/>
      <c r="AA82" s="69"/>
      <c r="AB82" s="69"/>
      <c r="AC82" s="69"/>
      <c r="AD82" s="69"/>
      <c r="AE82" s="69"/>
      <c r="AF82" s="69"/>
      <c r="AG82" s="69"/>
      <c r="AH82" s="69"/>
      <c r="BC82" s="69"/>
    </row>
    <row r="83" spans="3:55" x14ac:dyDescent="0.25">
      <c r="E83" s="165"/>
      <c r="U83" s="270">
        <v>43902</v>
      </c>
      <c r="V83" t="s">
        <v>222</v>
      </c>
      <c r="BC83" s="69"/>
    </row>
    <row r="84" spans="3:55" s="69" customFormat="1" x14ac:dyDescent="0.25">
      <c r="C84"/>
      <c r="D84"/>
      <c r="E84" s="165"/>
      <c r="F84"/>
      <c r="G84"/>
      <c r="H84"/>
      <c r="I84"/>
      <c r="J84"/>
      <c r="K84"/>
      <c r="L84"/>
      <c r="M84"/>
      <c r="N84"/>
      <c r="O84"/>
      <c r="P84"/>
      <c r="Q84"/>
      <c r="R84"/>
      <c r="S84"/>
      <c r="T84"/>
      <c r="U84" s="158">
        <v>43903</v>
      </c>
      <c r="V84" s="159" t="s">
        <v>179</v>
      </c>
      <c r="W84" s="159"/>
      <c r="X84" s="159"/>
      <c r="Y84" s="159"/>
      <c r="Z84" s="159"/>
      <c r="AA84" s="159"/>
      <c r="AB84" s="159"/>
      <c r="AC84" s="159"/>
      <c r="AD84" s="159"/>
      <c r="AE84" s="159"/>
      <c r="AF84" s="159"/>
      <c r="AG84" s="159"/>
      <c r="AH84"/>
      <c r="AI84"/>
      <c r="AJ84"/>
      <c r="AK84"/>
      <c r="AL84"/>
      <c r="AM84"/>
      <c r="AN84"/>
      <c r="AO84"/>
      <c r="AP84"/>
      <c r="AQ84"/>
      <c r="AR84"/>
      <c r="AS84"/>
      <c r="AT84"/>
      <c r="AU84"/>
      <c r="AV84"/>
      <c r="AW84"/>
      <c r="AX84"/>
      <c r="AY84"/>
      <c r="AZ84"/>
      <c r="BA84"/>
      <c r="BB84"/>
    </row>
    <row r="85" spans="3:55" s="69" customFormat="1" x14ac:dyDescent="0.25">
      <c r="C85"/>
      <c r="D85"/>
      <c r="E85" s="165"/>
      <c r="F85"/>
      <c r="G85"/>
      <c r="H85"/>
      <c r="I85"/>
      <c r="J85"/>
      <c r="K85"/>
      <c r="L85"/>
      <c r="M85"/>
      <c r="N85"/>
      <c r="O85"/>
      <c r="P85"/>
      <c r="Q85"/>
      <c r="R85"/>
      <c r="S85"/>
      <c r="T85"/>
      <c r="U85" s="270">
        <v>43903</v>
      </c>
      <c r="V85" t="s">
        <v>223</v>
      </c>
      <c r="W85"/>
      <c r="X85"/>
      <c r="Y85"/>
      <c r="Z85"/>
      <c r="AA85"/>
      <c r="AB85"/>
      <c r="AC85"/>
      <c r="AD85"/>
      <c r="AE85"/>
      <c r="AF85"/>
      <c r="AG85"/>
      <c r="AH85"/>
      <c r="AI85"/>
      <c r="AJ85"/>
      <c r="AK85"/>
      <c r="AL85"/>
      <c r="AM85"/>
      <c r="AN85"/>
      <c r="AO85"/>
      <c r="AP85"/>
      <c r="AQ85"/>
      <c r="AR85"/>
      <c r="AS85"/>
      <c r="AT85"/>
      <c r="AU85"/>
      <c r="AV85"/>
      <c r="AW85"/>
      <c r="AX85"/>
      <c r="AY85"/>
      <c r="AZ85"/>
      <c r="BA85"/>
      <c r="BB85"/>
      <c r="BC85"/>
    </row>
    <row r="86" spans="3:55" s="69" customFormat="1" x14ac:dyDescent="0.25">
      <c r="C86"/>
      <c r="D86"/>
      <c r="E86" s="165"/>
      <c r="F86"/>
      <c r="G86"/>
      <c r="H86"/>
      <c r="I86"/>
      <c r="J86"/>
      <c r="K86"/>
      <c r="L86"/>
      <c r="M86"/>
      <c r="N86"/>
      <c r="O86"/>
      <c r="P86"/>
      <c r="Q86"/>
      <c r="R86"/>
      <c r="S86"/>
      <c r="T86"/>
      <c r="U86" s="270">
        <v>43903</v>
      </c>
      <c r="V86" t="s">
        <v>224</v>
      </c>
      <c r="W86"/>
      <c r="X86"/>
      <c r="Y86"/>
      <c r="Z86"/>
      <c r="AA86"/>
      <c r="AB86"/>
      <c r="AC86"/>
      <c r="AD86"/>
      <c r="AE86"/>
      <c r="AF86"/>
      <c r="AG86"/>
      <c r="AH86"/>
      <c r="AI86"/>
      <c r="AJ86"/>
      <c r="AK86"/>
      <c r="AL86"/>
      <c r="AM86"/>
      <c r="AN86"/>
      <c r="AO86"/>
      <c r="AP86"/>
      <c r="AQ86"/>
      <c r="AR86"/>
      <c r="AS86"/>
      <c r="AT86"/>
      <c r="AU86"/>
      <c r="AV86"/>
      <c r="AW86"/>
      <c r="AX86"/>
      <c r="AY86"/>
      <c r="AZ86"/>
      <c r="BA86"/>
      <c r="BB86"/>
      <c r="BC86"/>
    </row>
    <row r="87" spans="3:55" s="69" customFormat="1" x14ac:dyDescent="0.25">
      <c r="E87" s="165"/>
      <c r="U87" s="165">
        <v>43903</v>
      </c>
      <c r="V87" s="69" t="s">
        <v>261</v>
      </c>
      <c r="AI87"/>
      <c r="AO87"/>
      <c r="AP87"/>
      <c r="AQ87"/>
      <c r="AR87"/>
      <c r="AS87"/>
      <c r="AT87"/>
      <c r="AU87"/>
      <c r="AV87"/>
      <c r="AW87"/>
      <c r="AX87"/>
      <c r="AY87"/>
      <c r="AZ87"/>
      <c r="BA87"/>
      <c r="BB87"/>
      <c r="BC87"/>
    </row>
    <row r="88" spans="3:55" s="69" customFormat="1" x14ac:dyDescent="0.25">
      <c r="C88"/>
      <c r="D88" s="165"/>
      <c r="E88"/>
      <c r="F88"/>
      <c r="G88"/>
      <c r="H88"/>
      <c r="I88"/>
      <c r="J88"/>
      <c r="K88"/>
      <c r="L88"/>
      <c r="M88"/>
      <c r="N88"/>
      <c r="O88"/>
      <c r="P88"/>
      <c r="R88" s="165"/>
      <c r="V88" s="158">
        <v>43904</v>
      </c>
      <c r="W88" s="159" t="s">
        <v>174</v>
      </c>
      <c r="X88" s="159"/>
      <c r="Y88" s="158"/>
      <c r="Z88" s="158"/>
      <c r="AA88" s="159"/>
      <c r="AB88" s="158">
        <v>43918</v>
      </c>
      <c r="AC88"/>
      <c r="AD88"/>
      <c r="AE88"/>
      <c r="AF88"/>
      <c r="AG88"/>
      <c r="AH88"/>
      <c r="AO88"/>
      <c r="AP88"/>
      <c r="AQ88"/>
      <c r="AR88"/>
      <c r="AS88"/>
      <c r="AT88"/>
      <c r="AU88"/>
      <c r="AV88"/>
      <c r="AW88"/>
      <c r="AX88"/>
      <c r="AY88"/>
      <c r="AZ88"/>
      <c r="BA88"/>
      <c r="BB88"/>
      <c r="BC88"/>
    </row>
    <row r="89" spans="3:55" s="69" customFormat="1" x14ac:dyDescent="0.25">
      <c r="C89"/>
      <c r="F89" s="165"/>
      <c r="G89" s="165"/>
      <c r="H89" s="165"/>
      <c r="I89" s="165"/>
      <c r="J89" s="165"/>
      <c r="K89" s="165"/>
      <c r="L89" s="165"/>
      <c r="M89" s="165"/>
      <c r="N89" s="165"/>
      <c r="O89" s="165"/>
      <c r="R89"/>
      <c r="S89"/>
      <c r="T89"/>
      <c r="U89"/>
      <c r="W89" s="159" t="s">
        <v>180</v>
      </c>
      <c r="X89" s="159"/>
      <c r="Y89" s="159"/>
      <c r="Z89" s="159"/>
      <c r="AA89" s="159"/>
      <c r="AB89" s="159"/>
      <c r="AC89" s="159"/>
      <c r="AD89" s="159"/>
      <c r="AE89" s="159"/>
      <c r="AF89" s="159"/>
      <c r="AG89" s="159"/>
      <c r="AH89"/>
      <c r="AI89"/>
      <c r="AO89"/>
      <c r="AP89"/>
      <c r="AQ89"/>
      <c r="AR89"/>
      <c r="AS89"/>
      <c r="AT89"/>
      <c r="AU89"/>
      <c r="AV89"/>
      <c r="AW89"/>
      <c r="AX89"/>
      <c r="AY89"/>
      <c r="AZ89"/>
      <c r="BA89"/>
      <c r="BB89"/>
      <c r="BC89"/>
    </row>
    <row r="90" spans="3:55" s="69" customFormat="1" x14ac:dyDescent="0.25">
      <c r="C90"/>
      <c r="P90" s="165"/>
      <c r="T90" s="165"/>
      <c r="U90"/>
      <c r="V90"/>
      <c r="W90" s="270">
        <v>43907</v>
      </c>
      <c r="X90" t="s">
        <v>204</v>
      </c>
      <c r="Y90"/>
      <c r="Z90"/>
      <c r="AA90"/>
      <c r="AB90"/>
      <c r="AC90"/>
      <c r="AD90"/>
      <c r="AE90"/>
      <c r="AF90"/>
      <c r="AG90"/>
      <c r="AH90"/>
      <c r="AI90"/>
      <c r="AO90"/>
      <c r="AP90"/>
      <c r="AQ90"/>
      <c r="AR90"/>
      <c r="AS90"/>
      <c r="AT90"/>
      <c r="AU90"/>
      <c r="AV90"/>
      <c r="AW90"/>
      <c r="AX90"/>
      <c r="AY90"/>
      <c r="AZ90"/>
      <c r="BA90"/>
      <c r="BB90"/>
      <c r="BC90"/>
    </row>
    <row r="91" spans="3:55" s="69" customFormat="1" x14ac:dyDescent="0.25">
      <c r="C91"/>
      <c r="D91"/>
      <c r="E91"/>
      <c r="F91"/>
      <c r="G91"/>
      <c r="H91"/>
      <c r="I91"/>
      <c r="J91"/>
      <c r="K91"/>
      <c r="L91"/>
      <c r="M91"/>
      <c r="N91"/>
      <c r="O91"/>
      <c r="P91"/>
      <c r="Q91"/>
      <c r="R91"/>
      <c r="S91"/>
      <c r="T91"/>
      <c r="U91"/>
      <c r="V91"/>
      <c r="W91"/>
      <c r="X91" s="158">
        <v>43908</v>
      </c>
      <c r="Y91" s="159" t="s">
        <v>175</v>
      </c>
      <c r="Z91" s="159"/>
      <c r="AA91" s="158"/>
      <c r="AB91" s="158">
        <v>43922</v>
      </c>
      <c r="AC91"/>
      <c r="AD91"/>
      <c r="AE91"/>
      <c r="AF91"/>
      <c r="AG91"/>
      <c r="AH91"/>
      <c r="AI91"/>
      <c r="AO91"/>
      <c r="AP91"/>
      <c r="AQ91"/>
      <c r="AR91"/>
      <c r="AS91"/>
      <c r="AT91"/>
      <c r="AU91"/>
      <c r="AV91"/>
      <c r="AW91"/>
      <c r="AX91"/>
      <c r="AY91"/>
      <c r="AZ91"/>
      <c r="BA91"/>
      <c r="BB91"/>
      <c r="BC91"/>
    </row>
    <row r="92" spans="3:55" s="69" customFormat="1" x14ac:dyDescent="0.25">
      <c r="C92"/>
      <c r="D92"/>
      <c r="E92"/>
      <c r="F92"/>
      <c r="G92"/>
      <c r="H92"/>
      <c r="I92"/>
      <c r="J92"/>
      <c r="K92"/>
      <c r="L92"/>
      <c r="M92"/>
      <c r="N92"/>
      <c r="O92"/>
      <c r="P92"/>
      <c r="Q92"/>
      <c r="R92"/>
      <c r="S92"/>
      <c r="T92"/>
      <c r="U92"/>
      <c r="V92"/>
      <c r="W92"/>
      <c r="X92" s="270">
        <v>43908</v>
      </c>
      <c r="Y92" s="69" t="s">
        <v>246</v>
      </c>
      <c r="AA92" s="165"/>
      <c r="AB92" s="165"/>
      <c r="AC92"/>
      <c r="AD92"/>
      <c r="AE92"/>
      <c r="AF92"/>
      <c r="AG92"/>
      <c r="AH92"/>
      <c r="AI92"/>
      <c r="AJ92"/>
      <c r="AK92"/>
      <c r="AL92"/>
      <c r="AM92"/>
      <c r="AN92"/>
    </row>
    <row r="93" spans="3:55" s="69" customFormat="1" x14ac:dyDescent="0.25">
      <c r="C93"/>
      <c r="D93"/>
      <c r="E93"/>
      <c r="F93"/>
      <c r="G93"/>
      <c r="H93"/>
      <c r="I93"/>
      <c r="J93"/>
      <c r="K93"/>
      <c r="L93"/>
      <c r="M93"/>
      <c r="N93"/>
      <c r="O93"/>
      <c r="P93"/>
      <c r="Q93"/>
      <c r="R93"/>
      <c r="S93"/>
      <c r="T93"/>
      <c r="U93"/>
      <c r="V93"/>
      <c r="W93"/>
      <c r="X93" s="270">
        <v>43909</v>
      </c>
      <c r="Y93" s="69" t="s">
        <v>296</v>
      </c>
      <c r="AA93" s="165"/>
      <c r="AB93" s="165"/>
      <c r="AG93"/>
      <c r="AH93"/>
      <c r="AJ93"/>
      <c r="AK93"/>
      <c r="AL93"/>
      <c r="AM93"/>
      <c r="AN93"/>
      <c r="AQ93"/>
      <c r="AR93"/>
      <c r="AS93"/>
      <c r="AT93"/>
      <c r="AU93"/>
      <c r="AV93"/>
      <c r="AW93"/>
      <c r="AX93"/>
      <c r="AY93"/>
      <c r="AZ93"/>
      <c r="BA93"/>
      <c r="BB93"/>
      <c r="BC93"/>
    </row>
    <row r="94" spans="3:55" s="69" customFormat="1" x14ac:dyDescent="0.25">
      <c r="C94"/>
      <c r="D94"/>
      <c r="E94"/>
      <c r="F94"/>
      <c r="G94"/>
      <c r="H94"/>
      <c r="I94"/>
      <c r="J94"/>
      <c r="K94"/>
      <c r="L94"/>
      <c r="M94"/>
      <c r="N94"/>
      <c r="O94"/>
      <c r="P94"/>
      <c r="Q94"/>
      <c r="R94"/>
      <c r="S94"/>
      <c r="T94"/>
      <c r="U94"/>
      <c r="V94"/>
      <c r="W94"/>
      <c r="X94"/>
      <c r="Y94" s="158">
        <v>43910</v>
      </c>
      <c r="Z94" s="159" t="s">
        <v>176</v>
      </c>
      <c r="AA94" s="159"/>
      <c r="AB94" s="159"/>
      <c r="AC94" s="158">
        <v>43924</v>
      </c>
      <c r="AD94"/>
      <c r="AE94"/>
      <c r="AF94"/>
      <c r="AG94"/>
      <c r="AH94"/>
      <c r="AI94"/>
      <c r="AJ94"/>
      <c r="AK94"/>
      <c r="AL94"/>
      <c r="AM94"/>
      <c r="AN94"/>
      <c r="AO94"/>
      <c r="AP94"/>
      <c r="AQ94"/>
      <c r="AR94"/>
      <c r="AS94"/>
      <c r="AT94"/>
      <c r="AU94"/>
      <c r="AV94"/>
      <c r="AW94"/>
      <c r="AX94"/>
      <c r="AY94"/>
      <c r="AZ94"/>
      <c r="BA94"/>
      <c r="BB94"/>
      <c r="BC94"/>
    </row>
    <row r="95" spans="3:55" s="69" customFormat="1" x14ac:dyDescent="0.25">
      <c r="C95"/>
      <c r="D95"/>
      <c r="E95"/>
      <c r="F95"/>
      <c r="G95"/>
      <c r="H95"/>
      <c r="I95"/>
      <c r="J95"/>
      <c r="K95"/>
      <c r="L95"/>
      <c r="M95"/>
      <c r="N95"/>
      <c r="O95"/>
      <c r="P95"/>
      <c r="Q95"/>
      <c r="R95"/>
      <c r="S95"/>
      <c r="T95"/>
      <c r="U95"/>
      <c r="V95"/>
      <c r="W95"/>
      <c r="X95"/>
      <c r="Y95" s="165"/>
      <c r="Z95" s="270">
        <v>43913</v>
      </c>
      <c r="AA95" s="69" t="s">
        <v>332</v>
      </c>
      <c r="AC95" s="165"/>
      <c r="AD95"/>
      <c r="AE95"/>
      <c r="AF95"/>
      <c r="AG95"/>
      <c r="AH95"/>
      <c r="AI95"/>
      <c r="AJ95"/>
      <c r="AK95"/>
      <c r="AL95"/>
      <c r="AM95"/>
      <c r="AN95"/>
      <c r="AO95"/>
      <c r="AP95"/>
      <c r="AQ95"/>
      <c r="AR95"/>
      <c r="AS95"/>
      <c r="AT95"/>
      <c r="AU95"/>
      <c r="AV95"/>
      <c r="AW95"/>
      <c r="AX95"/>
      <c r="AY95"/>
      <c r="AZ95"/>
      <c r="BA95"/>
      <c r="BB95"/>
      <c r="BC95"/>
    </row>
    <row r="96" spans="3:55" x14ac:dyDescent="0.25">
      <c r="Z96" s="158">
        <v>43914</v>
      </c>
      <c r="AA96" s="159" t="s">
        <v>177</v>
      </c>
      <c r="AB96" s="159"/>
      <c r="AC96" s="158">
        <v>43928</v>
      </c>
      <c r="BC96" s="69"/>
    </row>
    <row r="97" spans="3:55" x14ac:dyDescent="0.25">
      <c r="Z97" s="270">
        <v>43914</v>
      </c>
      <c r="AA97" t="s">
        <v>243</v>
      </c>
      <c r="BC97" s="69"/>
    </row>
    <row r="98" spans="3:55" x14ac:dyDescent="0.25">
      <c r="C98" s="69"/>
      <c r="D98" s="69"/>
      <c r="E98" s="69"/>
      <c r="F98" s="69"/>
      <c r="G98" s="69"/>
      <c r="H98" s="69"/>
      <c r="I98" s="69"/>
      <c r="J98" s="69"/>
      <c r="K98" s="69"/>
      <c r="L98" s="69"/>
      <c r="M98" s="69"/>
      <c r="N98" s="69"/>
      <c r="O98" s="69"/>
      <c r="P98" s="69"/>
      <c r="Q98" s="69"/>
      <c r="R98" s="69"/>
      <c r="S98" s="69"/>
      <c r="T98" s="69"/>
      <c r="U98" s="69"/>
      <c r="V98" s="69"/>
      <c r="W98" s="69"/>
      <c r="X98" s="69"/>
      <c r="Y98" s="69"/>
      <c r="Z98" s="165">
        <v>43914</v>
      </c>
      <c r="AA98" s="69" t="s">
        <v>304</v>
      </c>
      <c r="AB98" s="69"/>
      <c r="AC98" s="69"/>
      <c r="AD98" s="69"/>
      <c r="AE98" s="69"/>
      <c r="AF98" s="69"/>
      <c r="AG98" s="69"/>
      <c r="AH98" s="69"/>
    </row>
    <row r="99" spans="3:55" x14ac:dyDescent="0.25">
      <c r="C99" s="69"/>
      <c r="D99" s="69"/>
      <c r="E99" s="69"/>
      <c r="F99" s="69"/>
      <c r="G99" s="69"/>
      <c r="H99" s="69"/>
      <c r="I99" s="69"/>
      <c r="J99" s="69"/>
      <c r="K99" s="69"/>
      <c r="L99" s="69"/>
      <c r="M99" s="69"/>
      <c r="N99" s="69"/>
      <c r="O99" s="69"/>
      <c r="P99" s="69"/>
      <c r="Q99" s="69"/>
      <c r="R99" s="69"/>
      <c r="S99" s="69"/>
      <c r="T99" s="69"/>
      <c r="U99" s="69"/>
      <c r="V99" s="69"/>
      <c r="W99" s="69"/>
      <c r="X99" s="69"/>
      <c r="Y99" s="69"/>
      <c r="Z99" s="165"/>
      <c r="AA99" s="217">
        <v>43917</v>
      </c>
      <c r="AB99" s="217" t="s">
        <v>227</v>
      </c>
      <c r="AD99" s="69"/>
      <c r="AE99" s="69"/>
      <c r="AF99" s="69"/>
      <c r="AG99" s="69"/>
      <c r="AH99" s="69"/>
      <c r="AO99" s="69"/>
      <c r="AP99" s="69"/>
      <c r="AQ99" s="69"/>
      <c r="AR99" s="69"/>
      <c r="AS99" s="69"/>
      <c r="AT99" s="69"/>
      <c r="AU99" s="69"/>
      <c r="AV99" s="69"/>
      <c r="AW99" s="69"/>
      <c r="AX99" s="69"/>
      <c r="AY99" s="69"/>
      <c r="AZ99" s="69"/>
      <c r="BA99" s="69"/>
      <c r="BB99" s="69"/>
    </row>
    <row r="100" spans="3:55" x14ac:dyDescent="0.25">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165"/>
      <c r="AA100" s="270">
        <v>43917</v>
      </c>
      <c r="AB100" t="s">
        <v>254</v>
      </c>
      <c r="AC100" s="69"/>
      <c r="AD100" s="69"/>
      <c r="AE100" s="69"/>
      <c r="AF100" s="69"/>
      <c r="AG100" s="69"/>
      <c r="AH100" s="69"/>
      <c r="AO100" s="69"/>
      <c r="AP100" s="69"/>
      <c r="AQ100" s="69"/>
      <c r="AR100" s="69"/>
      <c r="AS100" s="69"/>
      <c r="AT100" s="69"/>
      <c r="AU100" s="69"/>
      <c r="AV100" s="69"/>
      <c r="AW100" s="69"/>
      <c r="AX100" s="69"/>
      <c r="AY100" s="69"/>
      <c r="AZ100" s="69"/>
      <c r="BA100" s="69"/>
      <c r="BB100" s="69"/>
    </row>
    <row r="101" spans="3:55" x14ac:dyDescent="0.25">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165"/>
      <c r="AA101" s="270">
        <v>43917</v>
      </c>
      <c r="AB101" t="s">
        <v>284</v>
      </c>
      <c r="AC101" s="69"/>
      <c r="AD101" s="69"/>
      <c r="AE101" s="69"/>
      <c r="AF101" s="69"/>
      <c r="AG101" s="69"/>
      <c r="AH101" s="69"/>
      <c r="AJ101" s="69"/>
      <c r="AK101" s="69"/>
      <c r="AL101" s="69"/>
      <c r="AM101" s="69"/>
      <c r="AN101" s="69"/>
      <c r="AO101" s="69"/>
      <c r="AP101" s="69"/>
      <c r="AQ101" s="69"/>
      <c r="AR101" s="69"/>
      <c r="AS101" s="69"/>
      <c r="AT101" s="69"/>
      <c r="AU101" s="69"/>
      <c r="AV101" s="69"/>
      <c r="AW101" s="69"/>
      <c r="AX101" s="69"/>
      <c r="AY101" s="69"/>
      <c r="AZ101" s="69"/>
      <c r="BA101" s="69"/>
      <c r="BB101" s="69"/>
    </row>
    <row r="102" spans="3:55" x14ac:dyDescent="0.25">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165"/>
      <c r="AA102" s="270">
        <v>43917</v>
      </c>
      <c r="AB102" t="s">
        <v>318</v>
      </c>
      <c r="AC102" s="69"/>
      <c r="AD102" s="69"/>
      <c r="AE102" s="69"/>
      <c r="AF102" s="69"/>
      <c r="AG102" s="69"/>
      <c r="AH102" s="69"/>
      <c r="AO102" s="69"/>
      <c r="AP102" s="69"/>
      <c r="AQ102" s="69"/>
      <c r="AR102" s="69"/>
      <c r="AS102" s="69"/>
      <c r="AT102" s="69"/>
      <c r="AU102" s="69"/>
      <c r="AV102" s="69"/>
      <c r="AW102" s="69"/>
      <c r="AX102" s="69"/>
      <c r="AY102" s="69"/>
      <c r="AZ102" s="69"/>
      <c r="BA102" s="69"/>
      <c r="BB102" s="69"/>
    </row>
    <row r="103" spans="3:55" x14ac:dyDescent="0.25">
      <c r="X103" s="236"/>
      <c r="Y103" s="165"/>
      <c r="AB103" s="271">
        <v>43918</v>
      </c>
      <c r="AC103" t="s">
        <v>251</v>
      </c>
      <c r="AO103" s="69"/>
      <c r="AP103" s="69"/>
      <c r="AQ103" s="69"/>
      <c r="AR103" s="69"/>
      <c r="AS103" s="69"/>
      <c r="AT103" s="69"/>
      <c r="AU103" s="69"/>
      <c r="AV103" s="69"/>
      <c r="AW103" s="69"/>
      <c r="AX103" s="69"/>
      <c r="AY103" s="69"/>
      <c r="AZ103" s="69"/>
      <c r="BA103" s="69"/>
      <c r="BB103" s="69"/>
    </row>
    <row r="104" spans="3:55" x14ac:dyDescent="0.25">
      <c r="AB104" s="270">
        <v>43920</v>
      </c>
      <c r="AC104" t="s">
        <v>257</v>
      </c>
    </row>
    <row r="105" spans="3:55" x14ac:dyDescent="0.25">
      <c r="AB105" s="270">
        <v>43920</v>
      </c>
      <c r="AC105" t="s">
        <v>331</v>
      </c>
    </row>
    <row r="106" spans="3:55" x14ac:dyDescent="0.25">
      <c r="AC106" s="270">
        <v>43923</v>
      </c>
      <c r="AD106" s="69" t="s">
        <v>312</v>
      </c>
      <c r="AE106" s="69"/>
      <c r="AG106" s="69"/>
      <c r="AI106" s="69"/>
    </row>
    <row r="107" spans="3:55" x14ac:dyDescent="0.25">
      <c r="AB107" s="217"/>
      <c r="AC107" s="158">
        <v>43924</v>
      </c>
      <c r="AD107" s="159" t="s">
        <v>228</v>
      </c>
      <c r="AE107" s="158">
        <v>43938</v>
      </c>
      <c r="AI107" s="69"/>
      <c r="AJ107" s="69"/>
      <c r="AK107" s="69"/>
      <c r="AL107" s="69"/>
      <c r="AM107" s="69"/>
      <c r="AN107" s="69"/>
    </row>
    <row r="108" spans="3:55" x14ac:dyDescent="0.25">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217"/>
      <c r="AC108" s="270">
        <v>43925</v>
      </c>
      <c r="AD108" t="s">
        <v>230</v>
      </c>
      <c r="AH108" s="69"/>
      <c r="AI108" s="69"/>
    </row>
    <row r="109" spans="3:55" x14ac:dyDescent="0.25">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217"/>
      <c r="AC109" s="165">
        <v>43926</v>
      </c>
      <c r="AD109" t="s">
        <v>334</v>
      </c>
      <c r="AH109" s="69"/>
      <c r="AI109" s="69"/>
      <c r="AQ109" s="69"/>
      <c r="AR109" s="69"/>
      <c r="AS109" s="69"/>
      <c r="AT109" s="69"/>
      <c r="AU109" s="69"/>
      <c r="AV109" s="69"/>
      <c r="AW109" s="69"/>
      <c r="AX109" s="69"/>
      <c r="AY109" s="69"/>
      <c r="AZ109" s="69"/>
      <c r="BA109" s="69"/>
      <c r="BB109" s="69"/>
    </row>
    <row r="110" spans="3:55" s="69" customFormat="1" x14ac:dyDescent="0.25">
      <c r="AB110" s="217"/>
      <c r="AC110"/>
      <c r="AD110" s="270">
        <v>43932</v>
      </c>
      <c r="AE110" t="s">
        <v>239</v>
      </c>
      <c r="AF110"/>
      <c r="AG110"/>
      <c r="AJ110"/>
      <c r="AK110"/>
      <c r="AL110"/>
      <c r="AM110"/>
      <c r="AN110"/>
      <c r="AO110"/>
      <c r="AP110"/>
      <c r="AQ110"/>
      <c r="AR110"/>
      <c r="AS110"/>
      <c r="AT110"/>
      <c r="AU110"/>
      <c r="AV110"/>
      <c r="AW110"/>
      <c r="AX110"/>
      <c r="AY110"/>
      <c r="AZ110"/>
      <c r="BA110"/>
      <c r="BB110"/>
      <c r="BC110"/>
    </row>
    <row r="111" spans="3:55" x14ac:dyDescent="0.25">
      <c r="AD111" s="270">
        <v>43934</v>
      </c>
      <c r="AE111" t="s">
        <v>231</v>
      </c>
    </row>
    <row r="112" spans="3:55" x14ac:dyDescent="0.25">
      <c r="AD112" s="217">
        <v>43935</v>
      </c>
      <c r="AE112" t="s">
        <v>255</v>
      </c>
    </row>
    <row r="113" spans="3:55" x14ac:dyDescent="0.25">
      <c r="AE113" s="270">
        <v>43936</v>
      </c>
      <c r="AF113" s="69" t="s">
        <v>256</v>
      </c>
      <c r="AO113" s="69"/>
      <c r="AP113" s="69"/>
      <c r="AQ113" s="69"/>
      <c r="AR113" s="69"/>
      <c r="AS113" s="69"/>
      <c r="AT113" s="69"/>
      <c r="AU113" s="69"/>
      <c r="AV113" s="69"/>
      <c r="AW113" s="69"/>
      <c r="AX113" s="69"/>
      <c r="AY113" s="69"/>
      <c r="AZ113" s="69"/>
      <c r="BA113" s="69"/>
      <c r="BB113" s="69"/>
    </row>
    <row r="114" spans="3:55" x14ac:dyDescent="0.25">
      <c r="AE114" s="270">
        <v>43936</v>
      </c>
      <c r="AF114" t="s">
        <v>262</v>
      </c>
    </row>
    <row r="115" spans="3:55" x14ac:dyDescent="0.25">
      <c r="AE115" s="270">
        <v>43936</v>
      </c>
      <c r="AF115" t="s">
        <v>260</v>
      </c>
      <c r="AI115" s="69"/>
    </row>
    <row r="116" spans="3:55" x14ac:dyDescent="0.25">
      <c r="AE116" s="217">
        <v>43936</v>
      </c>
      <c r="AF116" t="s">
        <v>329</v>
      </c>
      <c r="AI116" s="69"/>
      <c r="BC116" s="69"/>
    </row>
    <row r="117" spans="3:55" x14ac:dyDescent="0.25">
      <c r="AE117" s="270">
        <v>43937</v>
      </c>
      <c r="AF117" t="s">
        <v>303</v>
      </c>
      <c r="BC117" s="69"/>
    </row>
    <row r="118" spans="3:55" x14ac:dyDescent="0.25">
      <c r="AE118" s="270">
        <v>43938</v>
      </c>
      <c r="AF118" t="s">
        <v>259</v>
      </c>
    </row>
    <row r="119" spans="3:55" x14ac:dyDescent="0.25">
      <c r="AE119" s="270">
        <v>43938</v>
      </c>
      <c r="AF119" t="s">
        <v>258</v>
      </c>
      <c r="AJ119" s="69"/>
      <c r="AK119" s="69"/>
      <c r="AL119" s="69"/>
      <c r="AM119" s="69"/>
      <c r="AN119" s="69"/>
      <c r="AO119" s="69"/>
      <c r="AP119" s="69"/>
      <c r="AQ119" s="69"/>
      <c r="AR119" s="69"/>
      <c r="AS119" s="69"/>
      <c r="AT119" s="69"/>
      <c r="AU119" s="69"/>
      <c r="AV119" s="69"/>
      <c r="AW119" s="69"/>
      <c r="AX119" s="69"/>
      <c r="AY119" s="69"/>
      <c r="AZ119" s="69"/>
      <c r="BA119" s="69"/>
      <c r="BB119" s="69"/>
    </row>
    <row r="120" spans="3:55" x14ac:dyDescent="0.25">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270">
        <v>43939</v>
      </c>
      <c r="AF120" s="69" t="s">
        <v>265</v>
      </c>
      <c r="AG120" s="69"/>
      <c r="AH120" s="69"/>
      <c r="AJ120" s="69"/>
      <c r="AK120" s="69"/>
      <c r="AL120" s="69"/>
      <c r="AM120" s="69"/>
      <c r="AN120" s="69"/>
      <c r="BC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270">
        <v>43941</v>
      </c>
      <c r="AG121" s="69" t="s">
        <v>313</v>
      </c>
      <c r="AH121" s="69"/>
      <c r="AJ121" s="69"/>
      <c r="AK121" s="69"/>
      <c r="AL121" s="69"/>
      <c r="AM121" s="69"/>
      <c r="AN121" s="69"/>
      <c r="BC121" s="69"/>
    </row>
    <row r="122" spans="3:55" x14ac:dyDescent="0.25">
      <c r="AF122" s="217">
        <v>43942</v>
      </c>
      <c r="AG122" t="s">
        <v>302</v>
      </c>
      <c r="AJ122" s="69"/>
      <c r="AK122" s="69"/>
      <c r="AL122" s="69"/>
      <c r="AM122" s="69"/>
      <c r="AN122" s="69"/>
    </row>
    <row r="123" spans="3:55" x14ac:dyDescent="0.25">
      <c r="AF123" s="217">
        <v>43943</v>
      </c>
      <c r="AG123" t="s">
        <v>299</v>
      </c>
    </row>
    <row r="124" spans="3:55" s="69" customFormat="1" x14ac:dyDescent="0.25">
      <c r="C124"/>
      <c r="D124"/>
      <c r="E124"/>
      <c r="F124"/>
      <c r="G124"/>
      <c r="H124"/>
      <c r="I124"/>
      <c r="J124"/>
      <c r="K124"/>
      <c r="L124"/>
      <c r="M124"/>
      <c r="N124"/>
      <c r="O124"/>
      <c r="P124"/>
      <c r="Q124"/>
      <c r="R124"/>
      <c r="S124"/>
      <c r="T124"/>
      <c r="U124"/>
      <c r="V124"/>
      <c r="W124"/>
      <c r="X124"/>
      <c r="Y124"/>
      <c r="Z124"/>
      <c r="AA124"/>
      <c r="AB124"/>
      <c r="AC124"/>
      <c r="AD124"/>
      <c r="AE124"/>
      <c r="AF124" s="270">
        <v>43943</v>
      </c>
      <c r="AG124" s="69" t="s">
        <v>311</v>
      </c>
      <c r="AI124"/>
      <c r="AJ124"/>
      <c r="AK124"/>
      <c r="AL124"/>
      <c r="AM124"/>
      <c r="AN124"/>
      <c r="AO124"/>
      <c r="AP124"/>
      <c r="AQ124"/>
      <c r="AR124"/>
      <c r="AS124"/>
      <c r="AT124"/>
      <c r="AU124"/>
      <c r="AV124"/>
      <c r="AW124"/>
      <c r="AX124"/>
      <c r="AY124"/>
      <c r="AZ124"/>
      <c r="BA124"/>
      <c r="BB124"/>
      <c r="BC124"/>
    </row>
    <row r="125" spans="3:55" x14ac:dyDescent="0.25">
      <c r="AF125" s="270">
        <v>43943</v>
      </c>
      <c r="AG125" t="s">
        <v>297</v>
      </c>
      <c r="BC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G126" s="270">
        <v>43944</v>
      </c>
      <c r="AH126" t="s">
        <v>300</v>
      </c>
      <c r="AI126" s="69"/>
    </row>
    <row r="127" spans="3:55" s="69" customFormat="1" x14ac:dyDescent="0.25">
      <c r="AF127"/>
      <c r="AG127" s="270">
        <v>43944</v>
      </c>
      <c r="AH127" t="s">
        <v>301</v>
      </c>
      <c r="AO127"/>
      <c r="AP127"/>
      <c r="AQ127"/>
      <c r="AR127"/>
      <c r="AS127"/>
      <c r="AT127"/>
      <c r="AU127"/>
      <c r="AV127"/>
      <c r="AW127"/>
      <c r="AX127"/>
      <c r="AY127"/>
      <c r="AZ127"/>
      <c r="BA127"/>
      <c r="BB127"/>
      <c r="BC127"/>
    </row>
    <row r="128" spans="3:55" s="69" customFormat="1" x14ac:dyDescent="0.25">
      <c r="C128"/>
      <c r="D128"/>
      <c r="E128"/>
      <c r="F128"/>
      <c r="G128"/>
      <c r="H128"/>
      <c r="I128"/>
      <c r="J128"/>
      <c r="K128"/>
      <c r="L128"/>
      <c r="M128"/>
      <c r="N128"/>
      <c r="O128"/>
      <c r="P128"/>
      <c r="Q128"/>
      <c r="R128"/>
      <c r="S128"/>
      <c r="T128"/>
      <c r="U128"/>
      <c r="V128"/>
      <c r="W128"/>
      <c r="X128"/>
      <c r="Y128"/>
      <c r="Z128"/>
      <c r="AA128"/>
      <c r="AB128"/>
      <c r="AC128"/>
      <c r="AD128"/>
      <c r="AE128"/>
      <c r="AF128"/>
      <c r="AG128" s="217">
        <v>43944</v>
      </c>
      <c r="AH128" t="s">
        <v>328</v>
      </c>
      <c r="AI128"/>
      <c r="AO128"/>
      <c r="AP128"/>
      <c r="AQ128"/>
      <c r="AR128"/>
      <c r="AS128"/>
      <c r="AT128"/>
      <c r="AU128"/>
      <c r="AV128"/>
      <c r="AW128"/>
      <c r="AX128"/>
      <c r="AY128"/>
      <c r="AZ128"/>
      <c r="BA128"/>
      <c r="BB128"/>
      <c r="BC128"/>
    </row>
    <row r="129" spans="3:55" x14ac:dyDescent="0.25">
      <c r="AG129" s="270">
        <v>43945</v>
      </c>
      <c r="AH129" t="s">
        <v>314</v>
      </c>
    </row>
    <row r="130" spans="3:55" x14ac:dyDescent="0.25">
      <c r="AG130" s="217">
        <v>43945</v>
      </c>
      <c r="AH130" s="69" t="s">
        <v>319</v>
      </c>
      <c r="AI130" s="69"/>
    </row>
    <row r="131" spans="3:55" s="69" customFormat="1" x14ac:dyDescent="0.25">
      <c r="C131"/>
      <c r="D131"/>
      <c r="E131"/>
      <c r="F131"/>
      <c r="G131"/>
      <c r="H131"/>
      <c r="I131"/>
      <c r="J131"/>
      <c r="K131"/>
      <c r="L131"/>
      <c r="M131"/>
      <c r="N131"/>
      <c r="O131"/>
      <c r="P131"/>
      <c r="Q131"/>
      <c r="R131"/>
      <c r="S131"/>
      <c r="T131"/>
      <c r="U131"/>
      <c r="V131"/>
      <c r="W131"/>
      <c r="X131"/>
      <c r="Y131"/>
      <c r="Z131"/>
      <c r="AA131"/>
      <c r="AB131"/>
      <c r="AC131"/>
      <c r="AD131"/>
      <c r="AE131"/>
      <c r="AF131"/>
      <c r="AG131" s="165">
        <v>43946</v>
      </c>
      <c r="AH131" s="69" t="s">
        <v>316</v>
      </c>
      <c r="AI131"/>
      <c r="AJ131"/>
      <c r="AK131"/>
      <c r="AL131"/>
      <c r="AM131"/>
      <c r="AN131"/>
    </row>
    <row r="132" spans="3:55" x14ac:dyDescent="0.25">
      <c r="AG132" s="271">
        <v>43946</v>
      </c>
      <c r="AH132" s="69" t="s">
        <v>322</v>
      </c>
      <c r="AI132" s="69"/>
      <c r="AO132" s="69"/>
      <c r="AP132" s="69"/>
      <c r="AQ132" s="69"/>
      <c r="AR132" s="69"/>
      <c r="AS132" s="69"/>
      <c r="AT132" s="69"/>
      <c r="AU132" s="69"/>
      <c r="AV132" s="69"/>
      <c r="AW132" s="69"/>
      <c r="AX132" s="69"/>
      <c r="AY132" s="69"/>
      <c r="AZ132" s="69"/>
      <c r="BA132" s="69"/>
      <c r="BB132" s="69"/>
      <c r="BC132" s="69"/>
    </row>
    <row r="133" spans="3:55" s="69" customFormat="1" x14ac:dyDescent="0.25">
      <c r="C133"/>
      <c r="D133"/>
      <c r="E133"/>
      <c r="F133"/>
      <c r="G133"/>
      <c r="H133"/>
      <c r="I133"/>
      <c r="J133"/>
      <c r="K133"/>
      <c r="L133"/>
      <c r="M133"/>
      <c r="N133"/>
      <c r="O133"/>
      <c r="P133"/>
      <c r="Q133"/>
      <c r="R133"/>
      <c r="S133"/>
      <c r="T133"/>
      <c r="U133"/>
      <c r="V133"/>
      <c r="W133"/>
      <c r="X133"/>
      <c r="Y133"/>
      <c r="Z133"/>
      <c r="AA133"/>
      <c r="AB133"/>
      <c r="AC133"/>
      <c r="AD133"/>
      <c r="AE133"/>
      <c r="AF133"/>
      <c r="AG133" s="271">
        <v>43946</v>
      </c>
      <c r="AH133" s="69" t="s">
        <v>321</v>
      </c>
      <c r="AI133"/>
      <c r="AJ133"/>
      <c r="AK133"/>
      <c r="AL133"/>
      <c r="AM133"/>
      <c r="AN133"/>
      <c r="BC133"/>
    </row>
    <row r="134" spans="3:55" s="69" customFormat="1" x14ac:dyDescent="0.25">
      <c r="C134"/>
      <c r="D134"/>
      <c r="E134"/>
      <c r="F134"/>
      <c r="G134"/>
      <c r="H134"/>
      <c r="I134"/>
      <c r="J134"/>
      <c r="K134"/>
      <c r="L134"/>
      <c r="M134"/>
      <c r="N134"/>
      <c r="O134"/>
      <c r="P134"/>
      <c r="Q134"/>
      <c r="R134"/>
      <c r="S134"/>
      <c r="T134"/>
      <c r="U134"/>
      <c r="V134"/>
      <c r="W134"/>
      <c r="X134"/>
      <c r="Y134"/>
      <c r="Z134"/>
      <c r="AA134"/>
      <c r="AB134"/>
      <c r="AC134"/>
      <c r="AD134"/>
      <c r="AE134"/>
      <c r="AF134"/>
      <c r="AG134"/>
      <c r="AH134" s="271">
        <v>43948</v>
      </c>
      <c r="AI134" t="s">
        <v>320</v>
      </c>
      <c r="AJ134"/>
      <c r="AK134"/>
      <c r="AL134"/>
      <c r="AM134"/>
      <c r="AN134"/>
      <c r="BC134"/>
    </row>
    <row r="135" spans="3:55" x14ac:dyDescent="0.25">
      <c r="AH135" s="270">
        <v>43948</v>
      </c>
      <c r="AI135" s="69" t="s">
        <v>310</v>
      </c>
      <c r="AQ135" s="217"/>
      <c r="AR135" s="217"/>
      <c r="AS135" s="217"/>
      <c r="AT135" s="217"/>
      <c r="AU135" s="217"/>
    </row>
    <row r="136" spans="3:55" x14ac:dyDescent="0.25">
      <c r="AH136" s="270">
        <v>43949</v>
      </c>
      <c r="AI136" t="s">
        <v>317</v>
      </c>
    </row>
    <row r="137" spans="3:55" x14ac:dyDescent="0.25">
      <c r="AH137" s="217">
        <v>43949</v>
      </c>
      <c r="AI137" t="s">
        <v>327</v>
      </c>
    </row>
    <row r="138" spans="3:55"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H138" s="270">
        <v>43951</v>
      </c>
      <c r="AI138" t="s">
        <v>323</v>
      </c>
      <c r="AJ138" s="69"/>
      <c r="AK138" s="69"/>
      <c r="AL138" s="69"/>
      <c r="AM138" s="69"/>
      <c r="AN138" s="69"/>
    </row>
    <row r="139" spans="3:55" s="69" customFormat="1" x14ac:dyDescent="0.25">
      <c r="AH139" s="270">
        <v>43951</v>
      </c>
      <c r="AI139" t="s">
        <v>324</v>
      </c>
      <c r="BC139"/>
    </row>
    <row r="140" spans="3:55" x14ac:dyDescent="0.25">
      <c r="AH140" s="217">
        <v>43951</v>
      </c>
      <c r="AI140" t="s">
        <v>326</v>
      </c>
      <c r="AO140" s="69"/>
      <c r="AP140" s="69"/>
      <c r="AQ140" s="69"/>
      <c r="AR140" s="69"/>
      <c r="AS140" s="69"/>
      <c r="AT140" s="69"/>
      <c r="AU140" s="69"/>
      <c r="AV140" s="69"/>
      <c r="AW140" s="69"/>
      <c r="AX140" s="69"/>
      <c r="AY140" s="69"/>
      <c r="AZ140" s="69"/>
      <c r="BA140" s="69"/>
      <c r="BB140" s="69"/>
    </row>
    <row r="141" spans="3:55" x14ac:dyDescent="0.25">
      <c r="AH141" s="165">
        <v>43951</v>
      </c>
      <c r="AI141" s="69" t="s">
        <v>325</v>
      </c>
    </row>
    <row r="142" spans="3:55" x14ac:dyDescent="0.25">
      <c r="AH142" s="270">
        <v>43951</v>
      </c>
      <c r="AI142" s="69" t="s">
        <v>333</v>
      </c>
    </row>
    <row r="143" spans="3:55" x14ac:dyDescent="0.25">
      <c r="AH143" s="217">
        <v>43951</v>
      </c>
      <c r="AI143" s="69" t="s">
        <v>338</v>
      </c>
      <c r="BC143" s="69"/>
    </row>
    <row r="144" spans="3:55" x14ac:dyDescent="0.25">
      <c r="AH144" s="217">
        <v>43952</v>
      </c>
      <c r="AI144" t="s">
        <v>330</v>
      </c>
      <c r="BC144" s="69"/>
    </row>
    <row r="145" spans="1:55" x14ac:dyDescent="0.25">
      <c r="AH145" s="217">
        <v>43954</v>
      </c>
      <c r="AI145" t="s">
        <v>339</v>
      </c>
      <c r="BC145" s="69"/>
    </row>
    <row r="146" spans="1:55" x14ac:dyDescent="0.25">
      <c r="AH146" s="217">
        <v>43956</v>
      </c>
      <c r="AI146" t="s">
        <v>341</v>
      </c>
    </row>
    <row r="147" spans="1:55" x14ac:dyDescent="0.25">
      <c r="AH147" s="217">
        <v>43956</v>
      </c>
      <c r="AI147" t="s">
        <v>343</v>
      </c>
    </row>
    <row r="148" spans="1:55" x14ac:dyDescent="0.25">
      <c r="AH148" s="270">
        <v>43956</v>
      </c>
      <c r="AI148" t="s">
        <v>342</v>
      </c>
    </row>
    <row r="149" spans="1:55" x14ac:dyDescent="0.25">
      <c r="AI149" s="217">
        <v>43959</v>
      </c>
      <c r="AJ149" t="s">
        <v>344</v>
      </c>
    </row>
    <row r="150" spans="1:55" s="69" customFormat="1" x14ac:dyDescent="0.25">
      <c r="AI150" s="165">
        <v>43959</v>
      </c>
      <c r="AJ150" s="69" t="s">
        <v>345</v>
      </c>
    </row>
    <row r="151" spans="1:55" s="69" customFormat="1" x14ac:dyDescent="0.25"/>
    <row r="153" spans="1:55" x14ac:dyDescent="0.25">
      <c r="A153" s="4" t="s">
        <v>192</v>
      </c>
      <c r="B153" s="221">
        <v>330565500</v>
      </c>
      <c r="D153" s="69"/>
      <c r="E153" s="69"/>
      <c r="F153" s="69"/>
      <c r="G153" s="69"/>
      <c r="H153" s="69"/>
      <c r="I153" s="69"/>
      <c r="J153" s="69"/>
      <c r="K153" s="69"/>
      <c r="L153" s="69"/>
      <c r="M153" s="69"/>
      <c r="N153" s="69"/>
      <c r="O153" s="69"/>
      <c r="P153" s="69"/>
      <c r="Q153" s="69"/>
      <c r="R153" s="165"/>
      <c r="S153" s="69"/>
      <c r="T153" s="69"/>
      <c r="U153" s="69"/>
      <c r="AH153" s="217"/>
    </row>
    <row r="154" spans="1:55" s="69" customFormat="1" x14ac:dyDescent="0.25">
      <c r="A154" s="62"/>
      <c r="B154" s="169"/>
      <c r="R154" s="165"/>
      <c r="X154"/>
      <c r="Y154"/>
      <c r="Z154"/>
      <c r="AA154"/>
    </row>
    <row r="155" spans="1:55" x14ac:dyDescent="0.25">
      <c r="A155" s="4" t="s">
        <v>114</v>
      </c>
      <c r="B155" s="155">
        <v>0.12</v>
      </c>
      <c r="C155" t="s">
        <v>113</v>
      </c>
      <c r="D155" s="69"/>
      <c r="E155" s="69"/>
      <c r="F155" s="69" t="s">
        <v>308</v>
      </c>
      <c r="G155" s="69"/>
      <c r="H155" s="69"/>
      <c r="I155" s="69"/>
      <c r="J155" s="69"/>
      <c r="K155" s="69"/>
      <c r="L155" s="69"/>
      <c r="M155" s="69"/>
      <c r="N155" s="69"/>
      <c r="O155" s="69"/>
      <c r="P155" s="69"/>
      <c r="Q155" s="69"/>
      <c r="R155" s="69"/>
      <c r="S155" s="165"/>
      <c r="T155" s="69"/>
      <c r="U155" s="165"/>
      <c r="X155" s="198"/>
      <c r="Y155" s="16"/>
    </row>
    <row r="156" spans="1:55" x14ac:dyDescent="0.25">
      <c r="A156" s="37" t="s">
        <v>116</v>
      </c>
      <c r="B156" s="114">
        <v>7.0000000000000007E-2</v>
      </c>
      <c r="C156" s="248"/>
      <c r="D156" s="69"/>
      <c r="E156" s="69"/>
      <c r="F156" s="69"/>
      <c r="G156" s="69"/>
      <c r="H156" s="69"/>
      <c r="I156" s="69"/>
      <c r="J156" s="69"/>
      <c r="K156" s="69"/>
      <c r="L156" s="69"/>
      <c r="M156" s="69"/>
      <c r="N156" s="69"/>
      <c r="O156" s="69"/>
      <c r="P156" s="69"/>
      <c r="Q156" s="69"/>
      <c r="R156" s="69"/>
      <c r="S156" s="69"/>
      <c r="T156" s="165"/>
      <c r="U156" s="165"/>
      <c r="V156" s="69"/>
      <c r="W156" s="69"/>
      <c r="X156" s="16"/>
      <c r="Y156" s="16"/>
    </row>
    <row r="157" spans="1:55" x14ac:dyDescent="0.25">
      <c r="A157" s="4" t="s">
        <v>181</v>
      </c>
      <c r="B157" s="249">
        <v>2.4</v>
      </c>
      <c r="C157" s="64">
        <f>(B153/1000)*B157</f>
        <v>793357.2</v>
      </c>
      <c r="D157" s="69"/>
      <c r="E157" s="69"/>
      <c r="F157" s="69"/>
      <c r="G157" s="69"/>
      <c r="H157" s="69"/>
      <c r="I157" s="69"/>
      <c r="J157" s="69"/>
      <c r="K157" s="69"/>
      <c r="L157" s="69"/>
      <c r="M157" s="69"/>
      <c r="N157" s="69"/>
      <c r="O157" s="69"/>
      <c r="P157" s="69"/>
      <c r="Q157" s="69"/>
      <c r="R157" s="69"/>
      <c r="S157" s="69"/>
      <c r="T157" s="69"/>
      <c r="U157" s="69"/>
      <c r="V157" s="69"/>
      <c r="W157" s="69"/>
      <c r="X157" s="16"/>
      <c r="Y157" s="16"/>
      <c r="AA157" s="120"/>
    </row>
    <row r="158" spans="1:55" x14ac:dyDescent="0.25">
      <c r="A158" s="37" t="s">
        <v>182</v>
      </c>
      <c r="B158" s="250">
        <v>34.700000000000003</v>
      </c>
      <c r="C158" s="61">
        <f>(B153/100000)*B158</f>
        <v>114706.22850000001</v>
      </c>
      <c r="D158" s="69"/>
      <c r="E158" s="69"/>
      <c r="F158" s="69"/>
      <c r="G158" s="69"/>
      <c r="H158" s="69"/>
      <c r="I158" s="69"/>
      <c r="J158" s="69"/>
      <c r="K158" s="69"/>
      <c r="L158" s="69"/>
      <c r="M158" s="69"/>
      <c r="N158" s="69"/>
      <c r="O158" s="69"/>
      <c r="P158" s="69"/>
      <c r="Q158" s="69"/>
      <c r="R158" s="69"/>
      <c r="S158" s="69"/>
      <c r="T158" s="69"/>
      <c r="U158" s="69"/>
      <c r="V158" s="150"/>
      <c r="W158" s="69"/>
    </row>
    <row r="159" spans="1:55" x14ac:dyDescent="0.25">
      <c r="A159" s="4" t="s">
        <v>74</v>
      </c>
      <c r="B159" s="112">
        <v>0.81</v>
      </c>
      <c r="C159" s="2"/>
      <c r="D159" s="69"/>
      <c r="E159" s="69"/>
      <c r="F159" s="69"/>
      <c r="G159" s="69"/>
      <c r="H159" s="69"/>
      <c r="I159" s="69"/>
      <c r="J159" s="69"/>
      <c r="K159" s="69"/>
      <c r="L159" s="69"/>
      <c r="M159" s="69"/>
      <c r="N159" s="69"/>
      <c r="O159" s="69"/>
      <c r="P159" s="69"/>
      <c r="Q159" s="69"/>
      <c r="R159" s="69"/>
      <c r="S159" s="69"/>
      <c r="T159" s="69"/>
      <c r="U159" s="69"/>
      <c r="Z159" s="217"/>
      <c r="AC159" s="255"/>
    </row>
    <row r="160" spans="1:55" x14ac:dyDescent="0.25">
      <c r="A160" s="41" t="s">
        <v>75</v>
      </c>
      <c r="B160" s="113">
        <v>0.14000000000000001</v>
      </c>
      <c r="C160" s="2"/>
      <c r="D160" s="69"/>
      <c r="E160" s="69"/>
      <c r="F160" s="69"/>
      <c r="G160" s="69"/>
      <c r="H160" s="69"/>
      <c r="I160" s="69"/>
      <c r="J160" s="69"/>
      <c r="K160" s="69"/>
      <c r="L160" s="69"/>
      <c r="M160" s="69"/>
      <c r="N160" s="69"/>
      <c r="O160" s="69"/>
      <c r="P160" s="69"/>
      <c r="Q160" s="69"/>
      <c r="R160" s="69"/>
      <c r="S160" s="69"/>
      <c r="T160" s="69"/>
      <c r="U160" s="47"/>
      <c r="V160" s="69"/>
      <c r="W160" s="165"/>
      <c r="AC160" s="217"/>
      <c r="AV160" s="255"/>
      <c r="AW160" s="255"/>
      <c r="AX160" s="255"/>
      <c r="AY160" s="255"/>
      <c r="AZ160" s="255"/>
    </row>
    <row r="161" spans="1:63" x14ac:dyDescent="0.25">
      <c r="A161" s="37" t="s">
        <v>109</v>
      </c>
      <c r="B161" s="114">
        <v>0.05</v>
      </c>
      <c r="C161" s="2"/>
      <c r="D161" s="212" t="s">
        <v>170</v>
      </c>
      <c r="T161" s="16"/>
      <c r="U161" s="16"/>
      <c r="V161" s="259"/>
      <c r="W161" s="16"/>
      <c r="AE161" s="2"/>
      <c r="AJ161" s="217"/>
      <c r="AK161" s="217"/>
      <c r="BA161" s="175"/>
      <c r="BB161" s="175"/>
      <c r="BC161" s="175"/>
      <c r="BD161" s="175"/>
      <c r="BE161" s="175"/>
      <c r="BF161" s="175"/>
    </row>
    <row r="162" spans="1:63" x14ac:dyDescent="0.25">
      <c r="A162" s="37" t="s">
        <v>115</v>
      </c>
      <c r="B162" s="65">
        <v>0.06</v>
      </c>
      <c r="C162" s="2"/>
      <c r="D162" s="179" t="s">
        <v>162</v>
      </c>
      <c r="U162" s="16"/>
      <c r="V162" s="16"/>
      <c r="W162" s="16"/>
      <c r="AV162" s="176"/>
      <c r="AW162" s="176"/>
      <c r="AX162" s="176"/>
      <c r="AY162" s="176"/>
      <c r="AZ162" s="176"/>
    </row>
    <row r="163" spans="1:63" x14ac:dyDescent="0.25">
      <c r="A163" s="153" t="s">
        <v>306</v>
      </c>
      <c r="B163" s="154">
        <v>43851</v>
      </c>
      <c r="C163" s="2"/>
      <c r="D163" s="256">
        <f>(BA166-P166)/(LOG(BA167/P167)/LOG(2))</f>
        <v>35.473684210526315</v>
      </c>
      <c r="E163" s="175"/>
      <c r="S163" s="16"/>
      <c r="T163" s="16"/>
      <c r="U163" s="16"/>
      <c r="V163" s="16"/>
      <c r="W163" s="16"/>
      <c r="AC163" t="s">
        <v>340</v>
      </c>
    </row>
    <row r="164" spans="1:63" x14ac:dyDescent="0.25">
      <c r="A164" s="16"/>
      <c r="B164" s="50" t="s">
        <v>54</v>
      </c>
      <c r="C164" s="10"/>
      <c r="D164" s="16"/>
      <c r="E164" s="16"/>
      <c r="F164" s="16"/>
      <c r="G164" s="16"/>
      <c r="H164" s="16"/>
      <c r="I164" s="16"/>
      <c r="J164" s="16"/>
      <c r="K164" s="16"/>
      <c r="L164" s="16"/>
      <c r="M164" s="16"/>
      <c r="N164" s="16"/>
      <c r="O164" s="16"/>
      <c r="Q164" s="16"/>
      <c r="R164" s="16"/>
      <c r="S164" s="16"/>
      <c r="T164" s="16"/>
      <c r="U164" s="16"/>
      <c r="V164" s="16"/>
      <c r="W164" s="16"/>
      <c r="X164" s="16"/>
      <c r="Y164" s="16"/>
      <c r="Z164" s="16"/>
      <c r="AA164" s="16"/>
      <c r="AB164" s="16"/>
      <c r="AC164" s="16"/>
      <c r="AD164" s="16"/>
      <c r="AE164" s="16"/>
      <c r="AF164" s="16" t="s">
        <v>298</v>
      </c>
      <c r="AG164" s="16"/>
      <c r="AH164" s="16"/>
      <c r="AI164" s="16"/>
      <c r="AJ164" s="16"/>
      <c r="AK164" s="16"/>
      <c r="AL164" s="16"/>
      <c r="AM164" s="16"/>
      <c r="AN164" s="16"/>
      <c r="AO164" s="16"/>
      <c r="AP164" s="16"/>
      <c r="AQ164" s="16"/>
      <c r="AR164" s="16"/>
      <c r="AS164" s="16"/>
      <c r="AT164" s="16"/>
      <c r="AU164" s="16"/>
      <c r="BH164" s="152"/>
    </row>
    <row r="165" spans="1:63" x14ac:dyDescent="0.25">
      <c r="A165" s="53" t="s">
        <v>41</v>
      </c>
      <c r="B165" s="192">
        <v>43882</v>
      </c>
      <c r="C165" s="192">
        <v>43890</v>
      </c>
      <c r="D165" s="192">
        <v>43893</v>
      </c>
      <c r="E165" s="192">
        <v>43895</v>
      </c>
      <c r="F165" s="192">
        <v>43904</v>
      </c>
      <c r="G165" s="192">
        <v>43912</v>
      </c>
      <c r="H165" s="192">
        <v>43918</v>
      </c>
      <c r="I165" s="192">
        <v>43923</v>
      </c>
      <c r="J165" s="192">
        <v>43932</v>
      </c>
      <c r="K165" s="192">
        <v>43948</v>
      </c>
      <c r="L165" s="192">
        <v>43980</v>
      </c>
      <c r="M165" s="192">
        <v>44012</v>
      </c>
      <c r="N165" s="192">
        <v>44044</v>
      </c>
      <c r="O165" s="192"/>
      <c r="Q165" s="133" t="s">
        <v>307</v>
      </c>
      <c r="R165" s="16"/>
      <c r="S165" s="16"/>
      <c r="T165" s="16"/>
      <c r="U165" s="16"/>
      <c r="V165" s="16"/>
      <c r="W165" s="16"/>
      <c r="X165" s="16"/>
      <c r="Y165" s="182"/>
      <c r="Z165" s="16"/>
      <c r="AA165" s="16"/>
      <c r="AB165" s="16"/>
      <c r="AC165" s="16" t="s">
        <v>273</v>
      </c>
      <c r="AG165" t="s">
        <v>309</v>
      </c>
      <c r="AL165" s="16"/>
      <c r="AM165" s="16"/>
      <c r="AN165" s="16"/>
      <c r="AO165" s="16"/>
      <c r="AP165" s="16"/>
      <c r="AQ165" s="16"/>
      <c r="AR165" s="16"/>
      <c r="AS165" s="16"/>
      <c r="AT165" s="16"/>
      <c r="AU165" s="16"/>
      <c r="BB165" s="212" t="s">
        <v>171</v>
      </c>
      <c r="BH165" s="252" t="s">
        <v>191</v>
      </c>
    </row>
    <row r="166" spans="1:63" x14ac:dyDescent="0.25">
      <c r="A166" s="4" t="s">
        <v>11</v>
      </c>
      <c r="B166" s="84">
        <v>8</v>
      </c>
      <c r="C166" s="157">
        <v>3</v>
      </c>
      <c r="D166" s="258">
        <v>2</v>
      </c>
      <c r="E166" s="157">
        <v>3</v>
      </c>
      <c r="F166" s="258">
        <v>2</v>
      </c>
      <c r="G166" s="157">
        <v>3</v>
      </c>
      <c r="H166" s="156">
        <v>5</v>
      </c>
      <c r="I166" s="257">
        <v>9</v>
      </c>
      <c r="J166">
        <v>16</v>
      </c>
      <c r="K166">
        <v>32</v>
      </c>
      <c r="L166">
        <v>64</v>
      </c>
      <c r="M166">
        <v>128</v>
      </c>
      <c r="N166">
        <v>256</v>
      </c>
      <c r="O166" s="220"/>
      <c r="P166" s="277">
        <v>43882</v>
      </c>
      <c r="Q166" s="278">
        <f t="shared" ref="Q166:AD166" si="0">P166+HLOOKUP(P166+1, $B$165:$O$166,2,TRUE)</f>
        <v>43890</v>
      </c>
      <c r="R166" s="279">
        <f t="shared" si="0"/>
        <v>43893</v>
      </c>
      <c r="S166" s="278">
        <f t="shared" si="0"/>
        <v>43895</v>
      </c>
      <c r="T166" s="278">
        <f t="shared" si="0"/>
        <v>43898</v>
      </c>
      <c r="U166" s="278">
        <f t="shared" si="0"/>
        <v>43901</v>
      </c>
      <c r="V166" s="279">
        <f t="shared" si="0"/>
        <v>43904</v>
      </c>
      <c r="W166" s="279">
        <f t="shared" si="0"/>
        <v>43906</v>
      </c>
      <c r="X166" s="279">
        <f t="shared" si="0"/>
        <v>43908</v>
      </c>
      <c r="Y166" s="279">
        <f t="shared" si="0"/>
        <v>43910</v>
      </c>
      <c r="Z166" s="278">
        <f t="shared" si="0"/>
        <v>43912</v>
      </c>
      <c r="AA166" s="280">
        <f t="shared" si="0"/>
        <v>43915</v>
      </c>
      <c r="AB166" s="280">
        <f t="shared" si="0"/>
        <v>43918</v>
      </c>
      <c r="AC166" s="281">
        <f t="shared" si="0"/>
        <v>43923</v>
      </c>
      <c r="AD166" s="282">
        <f t="shared" si="0"/>
        <v>43932</v>
      </c>
      <c r="AE166" s="283">
        <f>$AD$166+(($AH$166-$AD$166)*0.25)</f>
        <v>43936</v>
      </c>
      <c r="AF166" s="283">
        <f>$AD$166+(($AH$166-$AD$166)*0.5)</f>
        <v>43940</v>
      </c>
      <c r="AG166" s="283">
        <f>$AD$166+(($AH$166-$AD$166)*0.75)</f>
        <v>43944</v>
      </c>
      <c r="AH166" s="282">
        <f>AD166+HLOOKUP(AD166+1, $B$165:$O$166,2,TRUE)</f>
        <v>43948</v>
      </c>
      <c r="AI166" s="287">
        <f>$AH$166+(($AL$166-$AH$166)*0.32)</f>
        <v>43958.239999999998</v>
      </c>
      <c r="AJ166" s="285">
        <f>$AH$166+(($AL$166-$AH$166)*0.5)</f>
        <v>43964</v>
      </c>
      <c r="AK166" s="285">
        <f>$AH$166+(($AL$166-$AH$166)*0.75)</f>
        <v>43972</v>
      </c>
      <c r="AL166" s="228">
        <f>AH166+HLOOKUP(AH166+1, $B$165:$O$166,2,TRUE)</f>
        <v>43980</v>
      </c>
      <c r="AM166" s="285">
        <f>$AL$166+(($AQ$166-$AL$166)*0.2)</f>
        <v>43992.800000000003</v>
      </c>
      <c r="AN166" s="285">
        <f>$AL$166+(($AQ$166-$AL$166)*0.4)</f>
        <v>44005.599999999999</v>
      </c>
      <c r="AO166" s="285">
        <f>$AL$166+(($AQ$166-$AL$166)*0.6)</f>
        <v>44018.400000000001</v>
      </c>
      <c r="AP166" s="285">
        <f>$AL$166+(($AQ$166-$AL$166)*0.8)</f>
        <v>44031.199999999997</v>
      </c>
      <c r="AQ166" s="228">
        <f>AL166+HLOOKUP(AL166+1, $B$165:$O$166,2,TRUE)</f>
        <v>44044</v>
      </c>
      <c r="AR166" s="285">
        <f>$AQ$166+(($AV$166-$AQ$166)*0.2)</f>
        <v>44095.199999999997</v>
      </c>
      <c r="AS166" s="285">
        <f>$AQ$166+(($AV$166-$AQ$166)*0.4)</f>
        <v>44146.400000000001</v>
      </c>
      <c r="AT166" s="285">
        <f>$AQ$166+(($AV$166-$AQ$166)*0.6)</f>
        <v>44197.599999999999</v>
      </c>
      <c r="AU166" s="285">
        <f>$AQ$166+(($AV$166-$AQ$166)*0.8)</f>
        <v>44248.800000000003</v>
      </c>
      <c r="AV166" s="228">
        <f>AQ166+HLOOKUP(AQ166+1, $B$165:$O$166,2,TRUE)</f>
        <v>44300</v>
      </c>
      <c r="AW166" s="285">
        <f>$AV$166+(($BA$166-$AV$166)*0.2)</f>
        <v>44351.199999999997</v>
      </c>
      <c r="AX166" s="285">
        <f>$AV$166+(($BA$166-$AV$166)*0.4)</f>
        <v>44402.400000000001</v>
      </c>
      <c r="AY166" s="285">
        <f>$AV$166+(($BA$166-$AV$166)*0.6)</f>
        <v>44453.599999999999</v>
      </c>
      <c r="AZ166" s="285">
        <f>$AV$166+(($BA$166-$AV$166)*0.8)</f>
        <v>44504.800000000003</v>
      </c>
      <c r="BA166" s="237">
        <f>AV166+HLOOKUP(AV166+1, $B$165:$O$166,2,TRUE)</f>
        <v>44556</v>
      </c>
      <c r="BB166" s="228">
        <f t="shared" ref="BB166:BG166" si="1">BA166+HLOOKUP(BA166+1, $B$165:$O$166,2,TRUE)</f>
        <v>44812</v>
      </c>
      <c r="BC166" s="228">
        <f t="shared" si="1"/>
        <v>45068</v>
      </c>
      <c r="BD166" s="228">
        <f t="shared" si="1"/>
        <v>45324</v>
      </c>
      <c r="BE166" s="228">
        <f t="shared" si="1"/>
        <v>45580</v>
      </c>
      <c r="BF166" s="237">
        <f t="shared" si="1"/>
        <v>45836</v>
      </c>
      <c r="BG166" s="237">
        <f t="shared" si="1"/>
        <v>46092</v>
      </c>
      <c r="BH166" s="251">
        <f>BG166+(7*8)</f>
        <v>46148</v>
      </c>
      <c r="BI166" s="70"/>
      <c r="BJ166" s="70"/>
      <c r="BK166" s="69"/>
    </row>
    <row r="167" spans="1:63" x14ac:dyDescent="0.25">
      <c r="A167" s="41" t="s">
        <v>107</v>
      </c>
      <c r="B167" s="16"/>
      <c r="C167" s="16"/>
      <c r="D167" s="16"/>
      <c r="E167" s="16"/>
      <c r="F167" s="16"/>
      <c r="G167" s="16"/>
      <c r="H167" s="16"/>
      <c r="I167" s="16"/>
      <c r="J167" s="16"/>
      <c r="K167" s="16"/>
      <c r="L167" s="16"/>
      <c r="M167" s="16"/>
      <c r="N167" s="16"/>
      <c r="O167" s="16"/>
      <c r="P167" s="273">
        <v>31.25</v>
      </c>
      <c r="Q167" s="274">
        <f>P167*2</f>
        <v>62.5</v>
      </c>
      <c r="R167" s="274">
        <f t="shared" ref="R167:AD167" si="2">Q167*2</f>
        <v>125</v>
      </c>
      <c r="S167" s="274">
        <f t="shared" si="2"/>
        <v>250</v>
      </c>
      <c r="T167" s="274">
        <f t="shared" si="2"/>
        <v>500</v>
      </c>
      <c r="U167" s="274">
        <f t="shared" si="2"/>
        <v>1000</v>
      </c>
      <c r="V167" s="274">
        <f t="shared" si="2"/>
        <v>2000</v>
      </c>
      <c r="W167" s="274">
        <f t="shared" si="2"/>
        <v>4000</v>
      </c>
      <c r="X167" s="274">
        <f t="shared" si="2"/>
        <v>8000</v>
      </c>
      <c r="Y167" s="274">
        <f>X167*2</f>
        <v>16000</v>
      </c>
      <c r="Z167" s="274">
        <f>Y167*2</f>
        <v>32000</v>
      </c>
      <c r="AA167" s="274">
        <f>Z167*2</f>
        <v>64000</v>
      </c>
      <c r="AB167" s="274">
        <f>AA167*2</f>
        <v>128000</v>
      </c>
      <c r="AC167" s="274">
        <f t="shared" si="2"/>
        <v>256000</v>
      </c>
      <c r="AD167" s="274">
        <f t="shared" si="2"/>
        <v>512000</v>
      </c>
      <c r="AE167" s="274">
        <f>$AD$167+(($AH$167-$AD$167)*0.25)</f>
        <v>640000</v>
      </c>
      <c r="AF167" s="274">
        <f>$AD$167+(($AH$167-$AD$167)*0.5)</f>
        <v>768000</v>
      </c>
      <c r="AG167" s="274">
        <f>$AD$167+(($AH$167-$AD$167)*0.75)</f>
        <v>896000</v>
      </c>
      <c r="AH167" s="274">
        <f>AD167*2</f>
        <v>1024000</v>
      </c>
      <c r="AI167" s="274">
        <f>$AH$167+(($AL$167-$AH$167)*0.25)</f>
        <v>1280000</v>
      </c>
      <c r="AJ167" s="274">
        <f>$AH$167+(($AL$167-$AH$167)*0.5)</f>
        <v>1536000</v>
      </c>
      <c r="AK167" s="274">
        <f>$AH$167+(($AL$167-$AH$167)*0.75)</f>
        <v>1792000</v>
      </c>
      <c r="AL167" s="274">
        <f>AH167*2</f>
        <v>2048000</v>
      </c>
      <c r="AM167" s="274">
        <f>$AL$167+(($AQ$167-$AL$167)*0.2)</f>
        <v>2457600</v>
      </c>
      <c r="AN167" s="274">
        <f>$AL$167+(($AQ$167-$AL$167)*0.4)</f>
        <v>2867200</v>
      </c>
      <c r="AO167" s="274">
        <f>$AL$167+(($AQ$167-$AL$167)*0.6)</f>
        <v>3276800</v>
      </c>
      <c r="AP167" s="274">
        <f>$AL$167+(($AQ$167-$AL$167)*0.8)</f>
        <v>3686400</v>
      </c>
      <c r="AQ167" s="274">
        <f>AL167*2</f>
        <v>4096000</v>
      </c>
      <c r="AR167" s="274">
        <f>$AQ$167+(($AV$167-$AQ$167)*0.2)</f>
        <v>4915200</v>
      </c>
      <c r="AS167" s="274">
        <f>$AQ$167+(($AV$167-$AQ$167)*0.4)</f>
        <v>5734400</v>
      </c>
      <c r="AT167" s="274">
        <f>$AQ$167+(($AV$167-$AQ$167)*0.6)</f>
        <v>6553600</v>
      </c>
      <c r="AU167" s="274">
        <f>$AQ$167+(($AV$167-$AQ$167)*0.8)</f>
        <v>7372800</v>
      </c>
      <c r="AV167" s="274">
        <f>AQ167*2</f>
        <v>8192000</v>
      </c>
      <c r="AW167" s="274">
        <f>$AV$167+(($BA$167-$AV$167)*0.2)</f>
        <v>9830400</v>
      </c>
      <c r="AX167" s="274">
        <f>$AV$167+(($BA$167-$AV$167)*0.4)</f>
        <v>11468800</v>
      </c>
      <c r="AY167" s="274">
        <f>$AV$167+(($BA$167-$AV$167)*0.6)</f>
        <v>13107200</v>
      </c>
      <c r="AZ167" s="274">
        <f>$AV$167+(($BA$167-$AV$167)*0.8)</f>
        <v>14745600</v>
      </c>
      <c r="BA167" s="275">
        <f>AV167*2</f>
        <v>16384000</v>
      </c>
      <c r="BB167" s="238">
        <f t="shared" ref="BB167:BE167" si="3">BA167*2</f>
        <v>32768000</v>
      </c>
      <c r="BC167" s="208">
        <f t="shared" si="3"/>
        <v>65536000</v>
      </c>
      <c r="BD167" s="208">
        <f t="shared" si="3"/>
        <v>131072000</v>
      </c>
      <c r="BE167" s="208">
        <f t="shared" si="3"/>
        <v>262144000</v>
      </c>
      <c r="BF167" s="209">
        <f>B153</f>
        <v>330565500</v>
      </c>
      <c r="BG167" s="199">
        <f>B153</f>
        <v>330565500</v>
      </c>
      <c r="BH167" s="242">
        <f>B153*BH168</f>
        <v>23139585.000000004</v>
      </c>
      <c r="BI167" s="45"/>
      <c r="BJ167" s="45"/>
      <c r="BK167" s="69"/>
    </row>
    <row r="168" spans="1:63" x14ac:dyDescent="0.25">
      <c r="A168" s="41" t="s">
        <v>108</v>
      </c>
      <c r="B168" s="16"/>
      <c r="C168" s="16"/>
      <c r="D168" s="16"/>
      <c r="E168" s="16"/>
      <c r="F168" s="16"/>
      <c r="G168" s="16"/>
      <c r="H168" s="16"/>
      <c r="I168" s="16"/>
      <c r="J168" s="16"/>
      <c r="K168" s="16"/>
      <c r="L168" s="16"/>
      <c r="M168" s="16"/>
      <c r="N168" s="16"/>
      <c r="O168" s="16"/>
      <c r="P168" s="218">
        <f t="shared" ref="P168:AP168" si="4">P167/$B$153</f>
        <v>9.453497113280122E-8</v>
      </c>
      <c r="Q168" s="219">
        <f t="shared" si="4"/>
        <v>1.8906994226560244E-7</v>
      </c>
      <c r="R168" s="219">
        <f t="shared" si="4"/>
        <v>3.7813988453120488E-7</v>
      </c>
      <c r="S168" s="196">
        <f t="shared" si="4"/>
        <v>7.5627976906240976E-7</v>
      </c>
      <c r="T168" s="196">
        <f t="shared" si="4"/>
        <v>1.5125595381248195E-6</v>
      </c>
      <c r="U168" s="196">
        <f t="shared" si="4"/>
        <v>3.025119076249639E-6</v>
      </c>
      <c r="V168" s="196">
        <f t="shared" si="4"/>
        <v>6.0502381524992781E-6</v>
      </c>
      <c r="W168" s="66">
        <f t="shared" si="4"/>
        <v>1.2100476304998556E-5</v>
      </c>
      <c r="X168" s="36">
        <f t="shared" si="4"/>
        <v>2.4200952609997112E-5</v>
      </c>
      <c r="Y168" s="36">
        <f>Y167/$B$153</f>
        <v>4.8401905219994225E-5</v>
      </c>
      <c r="Z168" s="36">
        <f>Z167/$B$153</f>
        <v>9.6803810439988449E-5</v>
      </c>
      <c r="AA168" s="36">
        <f>AA167/$B$153</f>
        <v>1.936076208799769E-4</v>
      </c>
      <c r="AB168" s="36">
        <f>AB167/$B$153</f>
        <v>3.872152417599538E-4</v>
      </c>
      <c r="AC168" s="14">
        <f t="shared" si="4"/>
        <v>7.7443048351990759E-4</v>
      </c>
      <c r="AD168" s="14">
        <f t="shared" si="4"/>
        <v>1.5488609670398152E-3</v>
      </c>
      <c r="AE168" s="14">
        <f t="shared" ref="AE168:AG168" si="5">AE167/$B$153</f>
        <v>1.9360762087997688E-3</v>
      </c>
      <c r="AF168" s="14">
        <f t="shared" si="5"/>
        <v>2.3232914505597227E-3</v>
      </c>
      <c r="AG168" s="14">
        <f t="shared" si="5"/>
        <v>2.7105066923196765E-3</v>
      </c>
      <c r="AH168" s="14">
        <f t="shared" si="4"/>
        <v>3.0977219340796304E-3</v>
      </c>
      <c r="AI168" s="14">
        <f t="shared" ref="AI168:AK168" si="6">AI167/$B$153</f>
        <v>3.8721524175995376E-3</v>
      </c>
      <c r="AJ168" s="14">
        <f t="shared" si="6"/>
        <v>4.6465829011194454E-3</v>
      </c>
      <c r="AK168" s="14">
        <f t="shared" si="6"/>
        <v>5.4210133846393531E-3</v>
      </c>
      <c r="AL168" s="14">
        <f t="shared" si="4"/>
        <v>6.1954438681592608E-3</v>
      </c>
      <c r="AM168" s="15">
        <f t="shared" si="4"/>
        <v>7.4345326417911122E-3</v>
      </c>
      <c r="AN168" s="15">
        <f t="shared" si="4"/>
        <v>8.6736214154229645E-3</v>
      </c>
      <c r="AO168" s="15">
        <f t="shared" si="4"/>
        <v>9.9127101890548169E-3</v>
      </c>
      <c r="AP168" s="15">
        <f t="shared" si="4"/>
        <v>1.1151798962686669E-2</v>
      </c>
      <c r="AQ168" s="15">
        <f>AQ167/$B$153</f>
        <v>1.2390887736318522E-2</v>
      </c>
      <c r="AR168" s="15">
        <f t="shared" ref="AR168:AU168" si="7">AR167/$B$153</f>
        <v>1.4869065283582224E-2</v>
      </c>
      <c r="AS168" s="15">
        <f t="shared" si="7"/>
        <v>1.7347242830845929E-2</v>
      </c>
      <c r="AT168" s="15">
        <f t="shared" si="7"/>
        <v>1.9825420378109634E-2</v>
      </c>
      <c r="AU168" s="15">
        <f t="shared" si="7"/>
        <v>2.2303597925373338E-2</v>
      </c>
      <c r="AV168" s="15">
        <f>AV167/$B$153</f>
        <v>2.4781775472637043E-2</v>
      </c>
      <c r="AW168" s="15">
        <f t="shared" ref="AW168:AZ168" si="8">AW167/$B$153</f>
        <v>2.9738130567164449E-2</v>
      </c>
      <c r="AX168" s="15">
        <f t="shared" si="8"/>
        <v>3.4694485661691858E-2</v>
      </c>
      <c r="AY168" s="15">
        <f t="shared" si="8"/>
        <v>3.9650840756219267E-2</v>
      </c>
      <c r="AZ168" s="15">
        <f t="shared" si="8"/>
        <v>4.4607195850746677E-2</v>
      </c>
      <c r="BA168" s="224">
        <f>BA167/$B$153</f>
        <v>4.9563550945274086E-2</v>
      </c>
      <c r="BB168" s="260">
        <f t="shared" ref="BB168:BF168" si="9">BB167/$B$153</f>
        <v>9.9127101890548172E-2</v>
      </c>
      <c r="BC168" s="223">
        <f t="shared" si="9"/>
        <v>0.19825420378109634</v>
      </c>
      <c r="BD168" s="223">
        <f t="shared" si="9"/>
        <v>0.39650840756219269</v>
      </c>
      <c r="BE168" s="223">
        <f t="shared" si="9"/>
        <v>0.79301681512438538</v>
      </c>
      <c r="BF168" s="178">
        <f t="shared" si="9"/>
        <v>1</v>
      </c>
      <c r="BG168" s="177">
        <f>BG167/$B$153</f>
        <v>1</v>
      </c>
      <c r="BH168" s="243">
        <f>B156</f>
        <v>7.0000000000000007E-2</v>
      </c>
      <c r="BI168" s="25"/>
      <c r="BJ168" s="25"/>
      <c r="BK168" s="69"/>
    </row>
    <row r="169" spans="1:63" x14ac:dyDescent="0.25">
      <c r="A169" s="41" t="s">
        <v>158</v>
      </c>
      <c r="B169" s="16"/>
      <c r="C169" s="16"/>
      <c r="D169" s="16"/>
      <c r="E169" s="16"/>
      <c r="F169" s="16"/>
      <c r="G169" s="16"/>
      <c r="H169" s="16"/>
      <c r="I169" s="16"/>
      <c r="J169" s="16"/>
      <c r="K169" s="16"/>
      <c r="L169" s="16"/>
      <c r="M169" s="16"/>
      <c r="N169" s="16"/>
      <c r="O169" s="16"/>
      <c r="P169" s="264">
        <f t="shared" ref="P169:Y169" si="10">MAX(P167-(P175-P176)-(P177-P178)-(P179-P180),0)</f>
        <v>25.558430925469978</v>
      </c>
      <c r="Q169" s="265">
        <f t="shared" si="10"/>
        <v>48.253729583441825</v>
      </c>
      <c r="R169" s="265">
        <f t="shared" si="10"/>
        <v>104.90319014596037</v>
      </c>
      <c r="S169" s="265">
        <f t="shared" si="10"/>
        <v>224.72190063694103</v>
      </c>
      <c r="T169" s="265">
        <f>MAX(T167-(T175-T176)-(T177-T178)-(T179-T180),0)</f>
        <v>468.16151942648673</v>
      </c>
      <c r="U169" s="265">
        <f t="shared" si="10"/>
        <v>955.08635794363818</v>
      </c>
      <c r="V169" s="265">
        <f>MAX(V167-(V175-V176)-(V177-V178)-(V179-V180),0)</f>
        <v>1950.8214285714287</v>
      </c>
      <c r="W169" s="265">
        <f t="shared" si="10"/>
        <v>3941.9387841598559</v>
      </c>
      <c r="X169" s="265">
        <f t="shared" si="10"/>
        <v>7899.3926009765419</v>
      </c>
      <c r="Y169" s="265">
        <f t="shared" si="10"/>
        <v>15815.828395301851</v>
      </c>
      <c r="Z169" s="265">
        <f>MAX(Z167-(Z175-Z176)-(Z177-Z178)-(Z179-Z180),0)</f>
        <v>31608.741071428572</v>
      </c>
      <c r="AA169" s="265">
        <f t="shared" ref="AA169:BA169" si="11">MAX(AA167-(AA175-AA176)-(AA177-AA178)-(AA179-AA180),0)</f>
        <v>63059.098214285717</v>
      </c>
      <c r="AB169" s="265">
        <f t="shared" si="11"/>
        <v>125994.22083273345</v>
      </c>
      <c r="AC169" s="265">
        <f t="shared" si="11"/>
        <v>247644.31677867728</v>
      </c>
      <c r="AD169" s="265">
        <f t="shared" si="11"/>
        <v>416172.14285714284</v>
      </c>
      <c r="AE169" s="265">
        <f t="shared" ref="AE169:AG169" si="12">MAX(AE167-(AE175-AE176)-(AE177-AE178)-(AE179-AE180),0)</f>
        <v>402226.56939406152</v>
      </c>
      <c r="AF169" s="265">
        <f t="shared" si="12"/>
        <v>399354.62073629722</v>
      </c>
      <c r="AG169" s="265">
        <f t="shared" si="12"/>
        <v>119097.53326256634</v>
      </c>
      <c r="AH169" s="265">
        <f t="shared" si="11"/>
        <v>413664.82197137375</v>
      </c>
      <c r="AI169" s="265">
        <f t="shared" ref="AI169:AK169" si="13">MAX(AI167-(AI175-AI176)-(AI177-AI178)-(AI179-AI180),0)</f>
        <v>560772.98449149285</v>
      </c>
      <c r="AJ169" s="265">
        <f t="shared" si="13"/>
        <v>438240.11792413273</v>
      </c>
      <c r="AK169" s="265">
        <f t="shared" si="13"/>
        <v>8681.5725729499827</v>
      </c>
      <c r="AL169" s="265">
        <f t="shared" si="11"/>
        <v>399876.10502226697</v>
      </c>
      <c r="AM169" s="265">
        <f t="shared" ref="AM169:AP169" si="14">MAX(AM167-(AM175-AM176)-(AM177-AM178)-(AM179-AM180),0)</f>
        <v>90173.376495364326</v>
      </c>
      <c r="AN169" s="265">
        <f t="shared" si="14"/>
        <v>0</v>
      </c>
      <c r="AO169" s="265">
        <f t="shared" si="14"/>
        <v>0</v>
      </c>
      <c r="AP169" s="265">
        <f t="shared" si="14"/>
        <v>0</v>
      </c>
      <c r="AQ169" s="265">
        <f t="shared" si="11"/>
        <v>0</v>
      </c>
      <c r="AR169" s="265">
        <f t="shared" ref="AR169:AU169" si="15">MAX(AR167-(AR175-AR176)-(AR177-AR178)-(AR179-AR180),0)</f>
        <v>0</v>
      </c>
      <c r="AS169" s="265">
        <f t="shared" si="15"/>
        <v>0</v>
      </c>
      <c r="AT169" s="265">
        <f t="shared" si="15"/>
        <v>0</v>
      </c>
      <c r="AU169" s="265">
        <f t="shared" si="15"/>
        <v>0</v>
      </c>
      <c r="AV169" s="265">
        <f t="shared" si="11"/>
        <v>0</v>
      </c>
      <c r="AW169" s="265">
        <f t="shared" ref="AW169:AZ169" si="16">MAX(AW167-(AW175-AW176)-(AW177-AW178)-(AW179-AW180),0)</f>
        <v>0</v>
      </c>
      <c r="AX169" s="265">
        <f t="shared" si="16"/>
        <v>0</v>
      </c>
      <c r="AY169" s="265">
        <f t="shared" si="16"/>
        <v>0</v>
      </c>
      <c r="AZ169" s="265">
        <f t="shared" si="16"/>
        <v>0</v>
      </c>
      <c r="BA169" s="268">
        <f t="shared" si="11"/>
        <v>0</v>
      </c>
      <c r="BB169" s="240">
        <f t="shared" ref="BB169:BF169" si="17">MAX(BB167-(BB175-BB176)-(BB177-BB178)-(BB179-BB180),0)</f>
        <v>0</v>
      </c>
      <c r="BC169" s="199">
        <f t="shared" si="17"/>
        <v>0</v>
      </c>
      <c r="BD169" s="199">
        <f t="shared" si="17"/>
        <v>0</v>
      </c>
      <c r="BE169" s="199">
        <f t="shared" si="17"/>
        <v>0</v>
      </c>
      <c r="BF169" s="200">
        <f t="shared" si="17"/>
        <v>0</v>
      </c>
      <c r="BG169" s="199">
        <f>MAX(BG167-(BG175-BG176)-(BG177-BG178)-(BG179-BG180),0)</f>
        <v>0</v>
      </c>
      <c r="BH169" s="244"/>
      <c r="BI169" s="45"/>
      <c r="BJ169" s="45"/>
      <c r="BK169" s="69"/>
    </row>
    <row r="170" spans="1:63" x14ac:dyDescent="0.25">
      <c r="A170" s="41" t="s">
        <v>172</v>
      </c>
      <c r="B170" s="16"/>
      <c r="C170" s="16"/>
      <c r="D170" s="16"/>
      <c r="E170" s="16"/>
      <c r="F170" s="16"/>
      <c r="G170" s="16"/>
      <c r="H170" s="16"/>
      <c r="I170" s="16"/>
      <c r="J170" s="16"/>
      <c r="K170" s="16"/>
      <c r="L170" s="16"/>
      <c r="M170" s="16"/>
      <c r="N170" s="16"/>
      <c r="O170" s="16"/>
      <c r="P170" s="86">
        <f>MAX(P167-P169-P182,0)</f>
        <v>5.6915690745300225</v>
      </c>
      <c r="Q170" s="87">
        <f>MAX(Q167-Q169-Q182,0)</f>
        <v>14.246270416558175</v>
      </c>
      <c r="R170" s="87">
        <f t="shared" ref="R170:S170" si="18">MAX(R167-R169-R182,0)</f>
        <v>20.096809854039634</v>
      </c>
      <c r="S170" s="87">
        <f t="shared" si="18"/>
        <v>25.278099363058971</v>
      </c>
      <c r="T170" s="121">
        <f>MAX(T167-T169-T182,0)</f>
        <v>31.838480573513266</v>
      </c>
      <c r="U170" s="121">
        <f t="shared" ref="U170:BA170" si="19">MAX(U167-U169-U182,0)</f>
        <v>44.913642056361823</v>
      </c>
      <c r="V170" s="121">
        <f t="shared" si="19"/>
        <v>49.178571428571331</v>
      </c>
      <c r="W170" s="121">
        <f t="shared" si="19"/>
        <v>58.061215840144087</v>
      </c>
      <c r="X170" s="121">
        <f t="shared" si="19"/>
        <v>100.60739902345813</v>
      </c>
      <c r="Y170" s="121">
        <f t="shared" si="19"/>
        <v>184.17160469814917</v>
      </c>
      <c r="Z170" s="121">
        <f t="shared" si="19"/>
        <v>391.25892857142753</v>
      </c>
      <c r="AA170" s="121">
        <f t="shared" si="19"/>
        <v>940.9017857142826</v>
      </c>
      <c r="AB170" s="121">
        <f t="shared" si="19"/>
        <v>2003.676309403837</v>
      </c>
      <c r="AC170" s="121">
        <f t="shared" si="19"/>
        <v>8351.9519816055326</v>
      </c>
      <c r="AD170" s="121">
        <f t="shared" si="19"/>
        <v>95812.137151392031</v>
      </c>
      <c r="AE170" s="121">
        <f t="shared" ref="AE170:AG170" si="20">MAX(AE167-AE169-AE182,0)</f>
        <v>237703.73417736706</v>
      </c>
      <c r="AF170" s="121">
        <f t="shared" si="20"/>
        <v>368464.30016639753</v>
      </c>
      <c r="AG170" s="121">
        <f t="shared" si="20"/>
        <v>776283.75756299729</v>
      </c>
      <c r="AH170" s="121">
        <f t="shared" si="19"/>
        <v>608055.48873775708</v>
      </c>
      <c r="AI170" s="121">
        <f t="shared" ref="AI170:AK170" si="21">MAX(AI167-AI169-AI182,0)</f>
        <v>705079.90128721308</v>
      </c>
      <c r="AJ170" s="121">
        <f t="shared" si="21"/>
        <v>1048526.1886126904</v>
      </c>
      <c r="AK170" s="121">
        <f t="shared" si="21"/>
        <v>1741383.1344063093</v>
      </c>
      <c r="AL170" s="121">
        <f t="shared" si="19"/>
        <v>1592209.2683032057</v>
      </c>
      <c r="AM170" s="121">
        <f t="shared" ref="AM170:AP170" si="22">MAX(AM167-AM169-AM182,0)</f>
        <v>2118706.79008203</v>
      </c>
      <c r="AN170" s="121">
        <f t="shared" si="22"/>
        <v>2672675.2593320445</v>
      </c>
      <c r="AO170" s="121">
        <f t="shared" si="22"/>
        <v>3116232.3760146229</v>
      </c>
      <c r="AP170" s="121">
        <f t="shared" si="22"/>
        <v>3534853.2222275943</v>
      </c>
      <c r="AQ170" s="121">
        <f t="shared" si="19"/>
        <v>3907480.4382372852</v>
      </c>
      <c r="AR170" s="121">
        <f t="shared" ref="AR170:AU170" si="23">MAX(AR167-AR169-AR182,0)</f>
        <v>4210308.3499890771</v>
      </c>
      <c r="AS170" s="121">
        <f t="shared" si="23"/>
        <v>5209424.4180137878</v>
      </c>
      <c r="AT170" s="121">
        <f t="shared" si="23"/>
        <v>5979216.0554459207</v>
      </c>
      <c r="AU170" s="121">
        <f t="shared" si="23"/>
        <v>6761037.559084801</v>
      </c>
      <c r="AV170" s="121">
        <f t="shared" si="19"/>
        <v>7532962.4847600004</v>
      </c>
      <c r="AW170" s="121">
        <f t="shared" ref="AW170:AZ170" si="24">MAX(AW167-AW169-AW182,0)</f>
        <v>9121774.9378128927</v>
      </c>
      <c r="AX170" s="121">
        <f t="shared" si="24"/>
        <v>10805542.305810755</v>
      </c>
      <c r="AY170" s="121">
        <f t="shared" si="24"/>
        <v>12287243.109279025</v>
      </c>
      <c r="AZ170" s="121">
        <f t="shared" si="24"/>
        <v>13800278.046321949</v>
      </c>
      <c r="BA170" s="122">
        <f t="shared" si="19"/>
        <v>15309150.988341341</v>
      </c>
      <c r="BB170" s="261">
        <f>MAX(BB167-BB169-BB182,0)</f>
        <v>0</v>
      </c>
      <c r="BC170" s="213">
        <f>MAX(BC167-BC169-BC182,0)</f>
        <v>19469102.257462978</v>
      </c>
      <c r="BD170" s="213">
        <f t="shared" ref="BD170:BG170" si="25">MAX(BD167-BD169-BD182,0)</f>
        <v>79285279.578246802</v>
      </c>
      <c r="BE170" s="213">
        <f t="shared" si="25"/>
        <v>190713339.99244183</v>
      </c>
      <c r="BF170" s="214">
        <f t="shared" si="25"/>
        <v>220359022.35243845</v>
      </c>
      <c r="BG170" s="213">
        <f t="shared" si="25"/>
        <v>148569453.0652965</v>
      </c>
      <c r="BH170" s="245"/>
      <c r="BI170" s="25"/>
      <c r="BJ170" s="25"/>
      <c r="BK170" s="69"/>
    </row>
    <row r="171" spans="1:63" x14ac:dyDescent="0.25">
      <c r="A171" s="4" t="s">
        <v>165</v>
      </c>
      <c r="B171" s="9"/>
      <c r="C171" s="9"/>
      <c r="D171" s="9"/>
      <c r="E171" s="9"/>
      <c r="F171" s="9"/>
      <c r="G171" s="9"/>
      <c r="H171" s="9"/>
      <c r="I171" s="9"/>
      <c r="J171" s="9"/>
      <c r="K171" s="9"/>
      <c r="L171" s="9"/>
      <c r="M171" s="9"/>
      <c r="N171" s="9"/>
      <c r="O171" s="5"/>
      <c r="P171" s="197">
        <f t="shared" ref="P171:BC171" si="26">P167/$B$155</f>
        <v>260.41666666666669</v>
      </c>
      <c r="Q171" s="198">
        <f t="shared" si="26"/>
        <v>520.83333333333337</v>
      </c>
      <c r="R171" s="198">
        <f t="shared" si="26"/>
        <v>1041.6666666666667</v>
      </c>
      <c r="S171" s="198">
        <f t="shared" si="26"/>
        <v>2083.3333333333335</v>
      </c>
      <c r="T171" s="198">
        <f t="shared" si="26"/>
        <v>4166.666666666667</v>
      </c>
      <c r="U171" s="198">
        <f t="shared" si="26"/>
        <v>8333.3333333333339</v>
      </c>
      <c r="V171" s="198">
        <f t="shared" si="26"/>
        <v>16666.666666666668</v>
      </c>
      <c r="W171" s="198">
        <f t="shared" si="26"/>
        <v>33333.333333333336</v>
      </c>
      <c r="X171" s="198">
        <f t="shared" si="26"/>
        <v>66666.666666666672</v>
      </c>
      <c r="Y171" s="198">
        <f t="shared" si="26"/>
        <v>133333.33333333334</v>
      </c>
      <c r="Z171" s="198">
        <f t="shared" si="26"/>
        <v>266666.66666666669</v>
      </c>
      <c r="AA171" s="198">
        <f t="shared" si="26"/>
        <v>533333.33333333337</v>
      </c>
      <c r="AB171" s="198">
        <f t="shared" si="26"/>
        <v>1066666.6666666667</v>
      </c>
      <c r="AC171" s="198">
        <f t="shared" si="26"/>
        <v>2133333.3333333335</v>
      </c>
      <c r="AD171" s="198">
        <f t="shared" si="26"/>
        <v>4266666.666666667</v>
      </c>
      <c r="AE171" s="198">
        <f t="shared" ref="AE171:AG171" si="27">AE167/$B$155</f>
        <v>5333333.333333334</v>
      </c>
      <c r="AF171" s="198">
        <f t="shared" si="27"/>
        <v>6400000</v>
      </c>
      <c r="AG171" s="198">
        <f t="shared" si="27"/>
        <v>7466666.666666667</v>
      </c>
      <c r="AH171" s="198">
        <f t="shared" si="26"/>
        <v>8533333.333333334</v>
      </c>
      <c r="AI171" s="198">
        <f t="shared" ref="AI171:AK171" si="28">AI167/$B$155</f>
        <v>10666666.666666668</v>
      </c>
      <c r="AJ171" s="198">
        <f t="shared" si="28"/>
        <v>12800000</v>
      </c>
      <c r="AK171" s="198">
        <f t="shared" si="28"/>
        <v>14933333.333333334</v>
      </c>
      <c r="AL171" s="198">
        <f t="shared" si="26"/>
        <v>17066666.666666668</v>
      </c>
      <c r="AM171" s="198">
        <f t="shared" ref="AM171:AP171" si="29">AM167/$B$155</f>
        <v>20480000</v>
      </c>
      <c r="AN171" s="198">
        <f t="shared" si="29"/>
        <v>23893333.333333336</v>
      </c>
      <c r="AO171" s="198">
        <f t="shared" si="29"/>
        <v>27306666.666666668</v>
      </c>
      <c r="AP171" s="198">
        <f t="shared" si="29"/>
        <v>30720000</v>
      </c>
      <c r="AQ171" s="198">
        <f t="shared" si="26"/>
        <v>34133333.333333336</v>
      </c>
      <c r="AR171" s="198">
        <f t="shared" ref="AR171:AU171" si="30">AR167/$B$155</f>
        <v>40960000</v>
      </c>
      <c r="AS171" s="198">
        <f t="shared" si="30"/>
        <v>47786666.666666672</v>
      </c>
      <c r="AT171" s="198">
        <f t="shared" si="30"/>
        <v>54613333.333333336</v>
      </c>
      <c r="AU171" s="198">
        <f t="shared" si="30"/>
        <v>61440000</v>
      </c>
      <c r="AV171" s="198">
        <f t="shared" si="26"/>
        <v>68266666.666666672</v>
      </c>
      <c r="AW171" s="198">
        <f t="shared" ref="AW171:AZ171" si="31">AW167/$B$155</f>
        <v>81920000</v>
      </c>
      <c r="AX171" s="198">
        <f t="shared" si="31"/>
        <v>95573333.333333343</v>
      </c>
      <c r="AY171" s="198">
        <f t="shared" si="31"/>
        <v>109226666.66666667</v>
      </c>
      <c r="AZ171" s="198">
        <f t="shared" si="31"/>
        <v>122880000</v>
      </c>
      <c r="BA171" s="198">
        <f t="shared" si="26"/>
        <v>136533333.33333334</v>
      </c>
      <c r="BB171" s="238">
        <f t="shared" si="26"/>
        <v>273066666.66666669</v>
      </c>
      <c r="BC171" s="208">
        <f t="shared" si="26"/>
        <v>546133333.33333337</v>
      </c>
      <c r="BD171" s="208">
        <f>$B$153</f>
        <v>330565500</v>
      </c>
      <c r="BE171" s="208">
        <f t="shared" ref="BE171:BF171" si="32">$B$153</f>
        <v>330565500</v>
      </c>
      <c r="BF171" s="209">
        <f t="shared" si="32"/>
        <v>330565500</v>
      </c>
      <c r="BG171" s="199">
        <f>BG167</f>
        <v>330565500</v>
      </c>
      <c r="BH171" s="244">
        <f>($B$153*$B$156)/$B$155</f>
        <v>192829875.00000003</v>
      </c>
      <c r="BI171" s="25"/>
      <c r="BJ171" s="25"/>
      <c r="BK171" s="69"/>
    </row>
    <row r="172" spans="1:63" x14ac:dyDescent="0.25">
      <c r="A172" s="41" t="s">
        <v>112</v>
      </c>
      <c r="B172" s="16"/>
      <c r="C172" s="16"/>
      <c r="D172" s="16"/>
      <c r="E172" s="16"/>
      <c r="F172" s="16"/>
      <c r="G172" s="16"/>
      <c r="H172" s="16"/>
      <c r="I172" s="16"/>
      <c r="J172" s="16"/>
      <c r="K172" s="16"/>
      <c r="L172" s="16"/>
      <c r="M172" s="16"/>
      <c r="N172" s="16"/>
      <c r="O172" s="17"/>
      <c r="P172" s="195">
        <f>P171/$B$153</f>
        <v>7.8779142610667684E-7</v>
      </c>
      <c r="Q172" s="196">
        <f t="shared" ref="Q172:AV172" si="33">Q171/$B$153</f>
        <v>1.5755828522133537E-6</v>
      </c>
      <c r="R172" s="196">
        <f t="shared" si="33"/>
        <v>3.1511657044267074E-6</v>
      </c>
      <c r="S172" s="66">
        <f t="shared" si="33"/>
        <v>6.3023314088534147E-6</v>
      </c>
      <c r="T172" s="66">
        <f t="shared" si="33"/>
        <v>1.2604662817706829E-5</v>
      </c>
      <c r="U172" s="66">
        <f t="shared" si="33"/>
        <v>2.5209325635413659E-5</v>
      </c>
      <c r="V172" s="66">
        <f t="shared" si="33"/>
        <v>5.0418651270827318E-5</v>
      </c>
      <c r="W172" s="66">
        <f t="shared" si="33"/>
        <v>1.0083730254165464E-4</v>
      </c>
      <c r="X172" s="36">
        <f t="shared" si="33"/>
        <v>2.0167460508330927E-4</v>
      </c>
      <c r="Y172" s="36">
        <f t="shared" si="33"/>
        <v>4.0334921016661854E-4</v>
      </c>
      <c r="Z172" s="36">
        <f t="shared" si="33"/>
        <v>8.0669842033323708E-4</v>
      </c>
      <c r="AA172" s="36">
        <f t="shared" si="33"/>
        <v>1.6133968406664742E-3</v>
      </c>
      <c r="AB172" s="14">
        <f t="shared" si="33"/>
        <v>3.2267936813329483E-3</v>
      </c>
      <c r="AC172" s="15">
        <f t="shared" si="33"/>
        <v>6.4535873626658967E-3</v>
      </c>
      <c r="AD172" s="15">
        <f t="shared" si="33"/>
        <v>1.2907174725331793E-2</v>
      </c>
      <c r="AE172" s="15">
        <f t="shared" ref="AE172:AG172" si="34">AE171/$B$153</f>
        <v>1.6133968406664742E-2</v>
      </c>
      <c r="AF172" s="15">
        <f t="shared" si="34"/>
        <v>1.9360762087997689E-2</v>
      </c>
      <c r="AG172" s="15">
        <f t="shared" si="34"/>
        <v>2.258755576933064E-2</v>
      </c>
      <c r="AH172" s="15">
        <f t="shared" si="33"/>
        <v>2.5814349450663587E-2</v>
      </c>
      <c r="AI172" s="15">
        <f t="shared" ref="AI172:AK172" si="35">AI171/$B$153</f>
        <v>3.2267936813329484E-2</v>
      </c>
      <c r="AJ172" s="15">
        <f t="shared" si="35"/>
        <v>3.8721524175995378E-2</v>
      </c>
      <c r="AK172" s="15">
        <f t="shared" si="35"/>
        <v>4.5175111538661279E-2</v>
      </c>
      <c r="AL172" s="15">
        <f t="shared" si="33"/>
        <v>5.1628698901327173E-2</v>
      </c>
      <c r="AM172" s="15">
        <f t="shared" ref="AM172:AP172" si="36">AM171/$B$153</f>
        <v>6.1954438681592602E-2</v>
      </c>
      <c r="AN172" s="15">
        <f t="shared" si="36"/>
        <v>7.2280178461858052E-2</v>
      </c>
      <c r="AO172" s="15">
        <f t="shared" si="36"/>
        <v>8.2605918242123474E-2</v>
      </c>
      <c r="AP172" s="15">
        <f t="shared" si="36"/>
        <v>9.293165802238891E-2</v>
      </c>
      <c r="AQ172" s="15">
        <f t="shared" si="33"/>
        <v>0.10325739780265435</v>
      </c>
      <c r="AR172" s="75">
        <f t="shared" ref="AR172:AU172" si="37">AR171/$B$153</f>
        <v>0.1239088773631852</v>
      </c>
      <c r="AS172" s="75">
        <f t="shared" si="37"/>
        <v>0.1445603569237161</v>
      </c>
      <c r="AT172" s="75">
        <f t="shared" si="37"/>
        <v>0.16521183648424695</v>
      </c>
      <c r="AU172" s="75">
        <f t="shared" si="37"/>
        <v>0.18586331604477782</v>
      </c>
      <c r="AV172" s="75">
        <f t="shared" si="33"/>
        <v>0.20651479560530869</v>
      </c>
      <c r="AW172" s="75">
        <f t="shared" ref="AW172:AZ172" si="38">AW171/$B$153</f>
        <v>0.24781775472637041</v>
      </c>
      <c r="AX172" s="75">
        <f t="shared" si="38"/>
        <v>0.28912071384743221</v>
      </c>
      <c r="AY172" s="75">
        <f t="shared" si="38"/>
        <v>0.3304236729684939</v>
      </c>
      <c r="AZ172" s="75">
        <f t="shared" si="38"/>
        <v>0.37172663208955564</v>
      </c>
      <c r="BA172" s="75">
        <f>BA171/$B$153</f>
        <v>0.41302959121061739</v>
      </c>
      <c r="BB172" s="239">
        <f t="shared" ref="BB172:BF172" si="39">BB171/$B$153</f>
        <v>0.82605918242123477</v>
      </c>
      <c r="BC172" s="177">
        <f t="shared" si="39"/>
        <v>1.6521183648424695</v>
      </c>
      <c r="BD172" s="177">
        <f t="shared" si="39"/>
        <v>1</v>
      </c>
      <c r="BE172" s="177">
        <f t="shared" si="39"/>
        <v>1</v>
      </c>
      <c r="BF172" s="178">
        <f t="shared" si="39"/>
        <v>1</v>
      </c>
      <c r="BG172" s="177">
        <v>1</v>
      </c>
      <c r="BH172" s="243">
        <f>BH171/B153</f>
        <v>0.58333333333333337</v>
      </c>
      <c r="BI172" s="25"/>
      <c r="BJ172" s="25"/>
      <c r="BK172" s="69"/>
    </row>
    <row r="173" spans="1:63" x14ac:dyDescent="0.25">
      <c r="A173" s="41" t="s">
        <v>163</v>
      </c>
      <c r="B173" s="16"/>
      <c r="C173" s="16"/>
      <c r="D173" s="16"/>
      <c r="E173" s="16"/>
      <c r="F173" s="16"/>
      <c r="G173" s="16"/>
      <c r="H173" s="16"/>
      <c r="I173" s="16"/>
      <c r="J173" s="16"/>
      <c r="K173" s="16"/>
      <c r="L173" s="16"/>
      <c r="M173" s="16"/>
      <c r="N173" s="16"/>
      <c r="O173" s="17"/>
      <c r="P173" s="197">
        <f>P171-P167</f>
        <v>229.16666666666669</v>
      </c>
      <c r="Q173" s="198">
        <f t="shared" ref="Q173:AU173" si="40">Q171-Q167</f>
        <v>458.33333333333337</v>
      </c>
      <c r="R173" s="198">
        <f t="shared" si="40"/>
        <v>916.66666666666674</v>
      </c>
      <c r="S173" s="198">
        <f t="shared" si="40"/>
        <v>1833.3333333333335</v>
      </c>
      <c r="T173" s="198">
        <f>T171-T167</f>
        <v>3666.666666666667</v>
      </c>
      <c r="U173" s="198">
        <f t="shared" si="40"/>
        <v>7333.3333333333339</v>
      </c>
      <c r="V173" s="198">
        <f t="shared" si="40"/>
        <v>14666.666666666668</v>
      </c>
      <c r="W173" s="198">
        <f t="shared" si="40"/>
        <v>29333.333333333336</v>
      </c>
      <c r="X173" s="198">
        <f t="shared" si="40"/>
        <v>58666.666666666672</v>
      </c>
      <c r="Y173" s="198">
        <f t="shared" si="40"/>
        <v>117333.33333333334</v>
      </c>
      <c r="Z173" s="198">
        <f t="shared" si="40"/>
        <v>234666.66666666669</v>
      </c>
      <c r="AA173" s="198">
        <f t="shared" si="40"/>
        <v>469333.33333333337</v>
      </c>
      <c r="AB173" s="198">
        <f t="shared" si="40"/>
        <v>938666.66666666674</v>
      </c>
      <c r="AC173" s="198">
        <f t="shared" si="40"/>
        <v>1877333.3333333335</v>
      </c>
      <c r="AD173" s="198">
        <f t="shared" si="40"/>
        <v>3754666.666666667</v>
      </c>
      <c r="AE173" s="198">
        <f t="shared" ref="AE173:AG173" si="41">AE171-AE167</f>
        <v>4693333.333333334</v>
      </c>
      <c r="AF173" s="198">
        <f t="shared" si="41"/>
        <v>5632000</v>
      </c>
      <c r="AG173" s="198">
        <f t="shared" si="41"/>
        <v>6570666.666666667</v>
      </c>
      <c r="AH173" s="198">
        <f t="shared" si="40"/>
        <v>7509333.333333334</v>
      </c>
      <c r="AI173" s="198">
        <f t="shared" ref="AI173:AK173" si="42">AI171-AI167</f>
        <v>9386666.6666666679</v>
      </c>
      <c r="AJ173" s="198">
        <f t="shared" si="42"/>
        <v>11264000</v>
      </c>
      <c r="AK173" s="198">
        <f t="shared" si="42"/>
        <v>13141333.333333334</v>
      </c>
      <c r="AL173" s="198">
        <f t="shared" si="40"/>
        <v>15018666.666666668</v>
      </c>
      <c r="AM173" s="198">
        <f t="shared" ref="AM173:AP173" si="43">AM171-AM167</f>
        <v>18022400</v>
      </c>
      <c r="AN173" s="198">
        <f t="shared" si="43"/>
        <v>21026133.333333336</v>
      </c>
      <c r="AO173" s="198">
        <f t="shared" si="43"/>
        <v>24029866.666666668</v>
      </c>
      <c r="AP173" s="198">
        <f t="shared" si="43"/>
        <v>27033600</v>
      </c>
      <c r="AQ173" s="198">
        <f t="shared" si="40"/>
        <v>30037333.333333336</v>
      </c>
      <c r="AR173" s="198">
        <f t="shared" si="40"/>
        <v>36044800</v>
      </c>
      <c r="AS173" s="198">
        <f t="shared" si="40"/>
        <v>42052266.666666672</v>
      </c>
      <c r="AT173" s="198">
        <f t="shared" si="40"/>
        <v>48059733.333333336</v>
      </c>
      <c r="AU173" s="198">
        <f t="shared" si="40"/>
        <v>54067200</v>
      </c>
      <c r="AV173" s="198">
        <f>AV171-AV167</f>
        <v>60074666.666666672</v>
      </c>
      <c r="AW173" s="198">
        <f t="shared" ref="AW173:AZ173" si="44">AW171-AW167</f>
        <v>72089600</v>
      </c>
      <c r="AX173" s="198">
        <f t="shared" si="44"/>
        <v>84104533.333333343</v>
      </c>
      <c r="AY173" s="198">
        <f t="shared" si="44"/>
        <v>96119466.666666672</v>
      </c>
      <c r="AZ173" s="198">
        <f t="shared" si="44"/>
        <v>108134400</v>
      </c>
      <c r="BA173" s="198">
        <f>BA171-BA167</f>
        <v>120149333.33333334</v>
      </c>
      <c r="BB173" s="240">
        <f>BB171-BB167</f>
        <v>240298666.66666669</v>
      </c>
      <c r="BC173" s="199">
        <f t="shared" ref="BC173:BF173" si="45">BC171</f>
        <v>546133333.33333337</v>
      </c>
      <c r="BD173" s="199">
        <f t="shared" si="45"/>
        <v>330565500</v>
      </c>
      <c r="BE173" s="199">
        <f t="shared" si="45"/>
        <v>330565500</v>
      </c>
      <c r="BF173" s="200">
        <f t="shared" si="45"/>
        <v>330565500</v>
      </c>
      <c r="BG173" s="199">
        <f>BG171</f>
        <v>330565500</v>
      </c>
      <c r="BH173" s="246">
        <f>BH171-BH167</f>
        <v>169690290.00000003</v>
      </c>
      <c r="BI173" s="25"/>
      <c r="BJ173" s="25"/>
      <c r="BK173" s="69"/>
    </row>
    <row r="174" spans="1:63" x14ac:dyDescent="0.25">
      <c r="A174" s="37" t="s">
        <v>164</v>
      </c>
      <c r="B174" s="39"/>
      <c r="C174" s="39"/>
      <c r="D174" s="39"/>
      <c r="E174" s="39"/>
      <c r="F174" s="39"/>
      <c r="G174" s="39"/>
      <c r="H174" s="39"/>
      <c r="I174" s="39"/>
      <c r="J174" s="39"/>
      <c r="K174" s="39"/>
      <c r="L174" s="39"/>
      <c r="M174" s="39"/>
      <c r="N174" s="39"/>
      <c r="O174" s="63"/>
      <c r="P174" s="206">
        <f>MIN((1/$B$155)*(2^(((P166 - 14) - $B$163)/$P$192)),P173)</f>
        <v>58.555237392284177</v>
      </c>
      <c r="Q174" s="207">
        <f>MIN((1/$B$155)*(2^(((Q166 - 14) - $B$163)/$P$192)),Q173)</f>
        <v>146.56656807158615</v>
      </c>
      <c r="R174" s="207">
        <f>MIN((1/$B$155)*(2^(((R166 - 14) - $B$163)/$P$192)),R173)</f>
        <v>206.75730302509908</v>
      </c>
      <c r="S174" s="207">
        <f>MIN((1/$B$155)*(2^(((S166 - 14) - $B$163)/$P$192)),S173)</f>
        <v>260.06275064875484</v>
      </c>
      <c r="T174" s="198">
        <f t="shared" ref="T174:AV174" si="46">MIN(($P$167/$B$155)*(2^(((T166 - 14) - $P$166)/HLOOKUP((T166-14)-$B$163,$P$190:$BH$192,3,TRUE))),T173)</f>
        <v>327.55638450116504</v>
      </c>
      <c r="U174" s="198">
        <f t="shared" si="46"/>
        <v>462.07450675269331</v>
      </c>
      <c r="V174" s="198">
        <f t="shared" si="46"/>
        <v>505.95238095238091</v>
      </c>
      <c r="W174" s="198">
        <f t="shared" si="46"/>
        <v>597.33761152411716</v>
      </c>
      <c r="X174" s="198">
        <f t="shared" si="46"/>
        <v>1035.0555455088277</v>
      </c>
      <c r="Y174" s="198">
        <f t="shared" si="46"/>
        <v>1894.7695956599703</v>
      </c>
      <c r="Z174" s="198">
        <f t="shared" si="46"/>
        <v>4025.2976190476184</v>
      </c>
      <c r="AA174" s="198">
        <f t="shared" si="46"/>
        <v>9680.0595238095229</v>
      </c>
      <c r="AB174" s="198">
        <f t="shared" si="46"/>
        <v>20617.559523809519</v>
      </c>
      <c r="AC174" s="198">
        <f t="shared" si="46"/>
        <v>85931.829782836779</v>
      </c>
      <c r="AD174" s="198">
        <f t="shared" si="46"/>
        <v>928482.14285714307</v>
      </c>
      <c r="AE174" s="198">
        <f t="shared" si="46"/>
        <v>2303837.6131082745</v>
      </c>
      <c r="AF174" s="198">
        <f t="shared" si="46"/>
        <v>3571489.8668963448</v>
      </c>
      <c r="AG174" s="198">
        <f t="shared" si="46"/>
        <v>6570666.666666667</v>
      </c>
      <c r="AH174" s="198">
        <f t="shared" si="46"/>
        <v>5908524.0119052939</v>
      </c>
      <c r="AI174" s="198">
        <f t="shared" si="46"/>
        <v>6858269.4922018545</v>
      </c>
      <c r="AJ174" s="198">
        <f t="shared" si="46"/>
        <v>10262164.827283414</v>
      </c>
      <c r="AK174" s="198">
        <f t="shared" si="46"/>
        <v>13141333.333333334</v>
      </c>
      <c r="AL174" s="198">
        <f t="shared" si="46"/>
        <v>14832670.233356727</v>
      </c>
      <c r="AM174" s="198">
        <f t="shared" si="46"/>
        <v>18022400</v>
      </c>
      <c r="AN174" s="198">
        <f t="shared" si="46"/>
        <v>21026133.333333336</v>
      </c>
      <c r="AO174" s="198">
        <f t="shared" si="46"/>
        <v>24029866.666666668</v>
      </c>
      <c r="AP174" s="198">
        <f t="shared" si="46"/>
        <v>27033600</v>
      </c>
      <c r="AQ174" s="198">
        <f t="shared" si="46"/>
        <v>30037333.333333336</v>
      </c>
      <c r="AR174" s="198">
        <f t="shared" si="46"/>
        <v>36044800</v>
      </c>
      <c r="AS174" s="198">
        <f t="shared" si="46"/>
        <v>42052266.666666672</v>
      </c>
      <c r="AT174" s="198">
        <f t="shared" si="46"/>
        <v>48059733.333333336</v>
      </c>
      <c r="AU174" s="198">
        <f t="shared" si="46"/>
        <v>54067200</v>
      </c>
      <c r="AV174" s="198">
        <f t="shared" si="46"/>
        <v>60074666.666666672</v>
      </c>
      <c r="AW174" s="198">
        <f t="shared" ref="AW174:AZ174" si="47">MIN(($P$167/$B$155)*(2^(((AW166 - 14) - $P$166)/HLOOKUP((AW166-14)-$B$163,$P$190:$BH$192,3,TRUE))),AW173)</f>
        <v>72089600</v>
      </c>
      <c r="AX174" s="198">
        <f t="shared" si="47"/>
        <v>84104533.333333343</v>
      </c>
      <c r="AY174" s="198">
        <f t="shared" si="47"/>
        <v>96119466.666666672</v>
      </c>
      <c r="AZ174" s="198">
        <f t="shared" si="47"/>
        <v>108134400</v>
      </c>
      <c r="BA174" s="198">
        <f t="shared" ref="BA174:BG174" si="48">MIN(($P$167/$B$155)*(2^(((BA166 - 14) - $P$166)/HLOOKUP((BA166-14)-$B$163,$P$190:$BH$192,3,TRUE))),BA173)</f>
        <v>120149333.33333334</v>
      </c>
      <c r="BB174" s="241">
        <f t="shared" si="48"/>
        <v>240298666.66666669</v>
      </c>
      <c r="BC174" s="203">
        <f t="shared" si="48"/>
        <v>546133333.33333337</v>
      </c>
      <c r="BD174" s="203">
        <f t="shared" si="48"/>
        <v>330565500</v>
      </c>
      <c r="BE174" s="203">
        <f t="shared" si="48"/>
        <v>330565500</v>
      </c>
      <c r="BF174" s="204">
        <f t="shared" si="48"/>
        <v>330565500</v>
      </c>
      <c r="BG174" s="203">
        <f t="shared" si="48"/>
        <v>330565500</v>
      </c>
      <c r="BH174" s="246"/>
      <c r="BI174" s="25"/>
      <c r="BJ174" s="25"/>
      <c r="BK174" s="69"/>
    </row>
    <row r="175" spans="1:63" x14ac:dyDescent="0.25">
      <c r="A175" s="41" t="s">
        <v>161</v>
      </c>
      <c r="B175" s="16"/>
      <c r="C175" s="16"/>
      <c r="D175" s="16"/>
      <c r="E175" s="16"/>
      <c r="F175" s="16"/>
      <c r="G175" s="16"/>
      <c r="H175" s="16"/>
      <c r="I175" s="16"/>
      <c r="J175" s="16"/>
      <c r="K175" s="16"/>
      <c r="L175" s="16"/>
      <c r="M175" s="16"/>
      <c r="N175" s="16"/>
      <c r="O175" s="16"/>
      <c r="P175" s="215">
        <f t="shared" ref="P175:BG175" si="49">P167*$B$159</f>
        <v>25.3125</v>
      </c>
      <c r="Q175" s="216">
        <f t="shared" si="49"/>
        <v>50.625</v>
      </c>
      <c r="R175" s="216">
        <f t="shared" si="49"/>
        <v>101.25</v>
      </c>
      <c r="S175" s="216">
        <f t="shared" si="49"/>
        <v>202.5</v>
      </c>
      <c r="T175" s="216">
        <f t="shared" si="49"/>
        <v>405</v>
      </c>
      <c r="U175" s="216">
        <f t="shared" si="49"/>
        <v>810</v>
      </c>
      <c r="V175" s="216">
        <f t="shared" si="49"/>
        <v>1620</v>
      </c>
      <c r="W175" s="216">
        <f t="shared" si="49"/>
        <v>3240</v>
      </c>
      <c r="X175" s="216">
        <f t="shared" si="49"/>
        <v>6480</v>
      </c>
      <c r="Y175" s="216">
        <f t="shared" si="49"/>
        <v>12960</v>
      </c>
      <c r="Z175" s="216">
        <f t="shared" si="49"/>
        <v>25920</v>
      </c>
      <c r="AA175" s="216">
        <f t="shared" si="49"/>
        <v>51840</v>
      </c>
      <c r="AB175" s="216">
        <f t="shared" si="49"/>
        <v>103680</v>
      </c>
      <c r="AC175" s="216">
        <f t="shared" si="49"/>
        <v>207360</v>
      </c>
      <c r="AD175" s="216">
        <f t="shared" si="49"/>
        <v>414720</v>
      </c>
      <c r="AE175" s="216">
        <f t="shared" ref="AE175:AG175" si="50">AE167*$B$159</f>
        <v>518400.00000000006</v>
      </c>
      <c r="AF175" s="216">
        <f t="shared" si="50"/>
        <v>622080</v>
      </c>
      <c r="AG175" s="216">
        <f t="shared" si="50"/>
        <v>725760</v>
      </c>
      <c r="AH175" s="216">
        <f t="shared" si="49"/>
        <v>829440</v>
      </c>
      <c r="AI175" s="216">
        <f t="shared" ref="AI175:AK175" si="51">AI167*$B$159</f>
        <v>1036800.0000000001</v>
      </c>
      <c r="AJ175" s="216">
        <f t="shared" si="51"/>
        <v>1244160</v>
      </c>
      <c r="AK175" s="216">
        <f t="shared" si="51"/>
        <v>1451520</v>
      </c>
      <c r="AL175" s="216">
        <f t="shared" si="49"/>
        <v>1658880</v>
      </c>
      <c r="AM175" s="216">
        <f t="shared" ref="AM175:AP175" si="52">AM167*$B$159</f>
        <v>1990656.0000000002</v>
      </c>
      <c r="AN175" s="216">
        <f t="shared" si="52"/>
        <v>2322432</v>
      </c>
      <c r="AO175" s="216">
        <f t="shared" si="52"/>
        <v>2654208</v>
      </c>
      <c r="AP175" s="216">
        <f t="shared" si="52"/>
        <v>2985984</v>
      </c>
      <c r="AQ175" s="216">
        <f t="shared" si="49"/>
        <v>3317760</v>
      </c>
      <c r="AR175" s="216">
        <f t="shared" ref="AR175:AU175" si="53">AR167*$B$159</f>
        <v>3981312.0000000005</v>
      </c>
      <c r="AS175" s="216">
        <f t="shared" si="53"/>
        <v>4644864</v>
      </c>
      <c r="AT175" s="216">
        <f t="shared" si="53"/>
        <v>5308416</v>
      </c>
      <c r="AU175" s="216">
        <f t="shared" si="53"/>
        <v>5971968</v>
      </c>
      <c r="AV175" s="216">
        <f t="shared" si="49"/>
        <v>6635520</v>
      </c>
      <c r="AW175" s="216">
        <f t="shared" ref="AW175:AZ175" si="54">AW167*$B$159</f>
        <v>7962624.0000000009</v>
      </c>
      <c r="AX175" s="216">
        <f t="shared" si="54"/>
        <v>9289728</v>
      </c>
      <c r="AY175" s="216">
        <f t="shared" si="54"/>
        <v>10616832</v>
      </c>
      <c r="AZ175" s="216">
        <f t="shared" si="54"/>
        <v>11943936</v>
      </c>
      <c r="BA175" s="216">
        <f t="shared" si="49"/>
        <v>13271040</v>
      </c>
      <c r="BB175" s="238">
        <f t="shared" ref="BB175:BF175" si="55">BB167*$B$159</f>
        <v>26542080</v>
      </c>
      <c r="BC175" s="208">
        <f t="shared" si="55"/>
        <v>53084160</v>
      </c>
      <c r="BD175" s="208">
        <f t="shared" si="55"/>
        <v>106168320</v>
      </c>
      <c r="BE175" s="208">
        <f t="shared" si="55"/>
        <v>212336640</v>
      </c>
      <c r="BF175" s="209">
        <f t="shared" si="55"/>
        <v>267758055.00000003</v>
      </c>
      <c r="BG175" s="199">
        <f t="shared" si="49"/>
        <v>267758055.00000003</v>
      </c>
      <c r="BH175" s="246">
        <f>BH167*B159</f>
        <v>18743063.850000005</v>
      </c>
      <c r="BI175" s="25"/>
      <c r="BJ175" s="25"/>
      <c r="BK175" s="69"/>
    </row>
    <row r="176" spans="1:63" x14ac:dyDescent="0.25">
      <c r="A176" s="41" t="s">
        <v>173</v>
      </c>
      <c r="B176" s="16"/>
      <c r="C176" s="16"/>
      <c r="D176" s="16"/>
      <c r="E176" s="16"/>
      <c r="F176" s="16"/>
      <c r="G176" s="16"/>
      <c r="H176" s="16"/>
      <c r="I176" s="16"/>
      <c r="J176" s="16"/>
      <c r="K176" s="16"/>
      <c r="L176" s="16"/>
      <c r="M176" s="16"/>
      <c r="N176" s="16"/>
      <c r="O176" s="16"/>
      <c r="P176" s="206">
        <f>P175-(1*$B$159)*(2^(((P166 - 14) - $B$163)/$P$192))</f>
        <v>19.620930925469978</v>
      </c>
      <c r="Q176" s="207">
        <f>Q175-(1*$B$159)*(2^(((Q166 - 14) - $B$163)/$P$192))</f>
        <v>36.378729583441825</v>
      </c>
      <c r="R176" s="207">
        <f>R175-(1*$B$159)*(2^(((R166 - 14) - $B$163)/$P$192))</f>
        <v>81.153190145960366</v>
      </c>
      <c r="S176" s="207">
        <f>S175-(1*$B$159)*(2^(((S166 - 14) - $B$163)/$P$192))</f>
        <v>177.22190063694103</v>
      </c>
      <c r="T176" s="205">
        <f t="shared" ref="T176:AV176" si="56">MAX(T175-(($P$167*$B$159)*(2^(((T166 -14) - $P$166)/HLOOKUP((T166-14)-$B$163,$P$190:$BH$192,3,TRUE)))),0)</f>
        <v>373.16151942648673</v>
      </c>
      <c r="U176" s="205">
        <f t="shared" si="56"/>
        <v>765.08635794363818</v>
      </c>
      <c r="V176" s="205">
        <f t="shared" si="56"/>
        <v>1570.8214285714287</v>
      </c>
      <c r="W176" s="205">
        <f t="shared" si="56"/>
        <v>3181.9387841598559</v>
      </c>
      <c r="X176" s="205">
        <f t="shared" si="56"/>
        <v>6379.3926009765419</v>
      </c>
      <c r="Y176" s="205">
        <f t="shared" si="56"/>
        <v>12775.828395301851</v>
      </c>
      <c r="Z176" s="205">
        <f t="shared" si="56"/>
        <v>25528.741071428572</v>
      </c>
      <c r="AA176" s="205">
        <f t="shared" si="56"/>
        <v>50899.098214285717</v>
      </c>
      <c r="AB176" s="205">
        <f t="shared" si="56"/>
        <v>101675.97321428571</v>
      </c>
      <c r="AC176" s="205">
        <f t="shared" si="56"/>
        <v>199007.42614510827</v>
      </c>
      <c r="AD176" s="205">
        <f t="shared" si="56"/>
        <v>324471.53571428568</v>
      </c>
      <c r="AE176" s="205">
        <f t="shared" si="56"/>
        <v>294466.98400587577</v>
      </c>
      <c r="AF176" s="205">
        <f t="shared" si="56"/>
        <v>274931.18493767531</v>
      </c>
      <c r="AG176" s="205">
        <f t="shared" si="56"/>
        <v>0</v>
      </c>
      <c r="AH176" s="205">
        <f t="shared" si="56"/>
        <v>255131.46604280546</v>
      </c>
      <c r="AI176" s="205">
        <f t="shared" si="56"/>
        <v>370176.20535797987</v>
      </c>
      <c r="AJ176" s="205">
        <f t="shared" si="56"/>
        <v>246677.5787880522</v>
      </c>
      <c r="AK176" s="205">
        <f t="shared" si="56"/>
        <v>0</v>
      </c>
      <c r="AL176" s="205">
        <f t="shared" si="56"/>
        <v>217144.45331772626</v>
      </c>
      <c r="AM176" s="205">
        <f t="shared" si="56"/>
        <v>0</v>
      </c>
      <c r="AN176" s="205">
        <f t="shared" si="56"/>
        <v>0</v>
      </c>
      <c r="AO176" s="205">
        <f t="shared" si="56"/>
        <v>0</v>
      </c>
      <c r="AP176" s="205">
        <f t="shared" si="56"/>
        <v>0</v>
      </c>
      <c r="AQ176" s="205">
        <f t="shared" si="56"/>
        <v>0</v>
      </c>
      <c r="AR176" s="205">
        <f t="shared" si="56"/>
        <v>0</v>
      </c>
      <c r="AS176" s="205">
        <f t="shared" si="56"/>
        <v>0</v>
      </c>
      <c r="AT176" s="205">
        <f t="shared" si="56"/>
        <v>0</v>
      </c>
      <c r="AU176" s="205">
        <f t="shared" si="56"/>
        <v>0</v>
      </c>
      <c r="AV176" s="205">
        <f t="shared" si="56"/>
        <v>0</v>
      </c>
      <c r="AW176" s="205">
        <f t="shared" ref="AW176:AZ176" si="57">MAX(AW175-(($P$167*$B$159)*(2^(((AW166 -14) - $P$166)/HLOOKUP((AW166-14)-$B$163,$P$190:$BH$192,3,TRUE)))),0)</f>
        <v>0</v>
      </c>
      <c r="AX176" s="205">
        <f t="shared" si="57"/>
        <v>0</v>
      </c>
      <c r="AY176" s="205">
        <f t="shared" si="57"/>
        <v>0</v>
      </c>
      <c r="AZ176" s="205">
        <f t="shared" si="57"/>
        <v>0</v>
      </c>
      <c r="BA176" s="205">
        <f t="shared" ref="BA176:BG176" si="58">MAX(BA175-(($P$167*$B$159)*(2^(((BA166 -14) - $P$166)/HLOOKUP((BA166-14)-$B$163,$P$190:$BH$192,3,TRUE)))),0)</f>
        <v>0</v>
      </c>
      <c r="BB176" s="241">
        <f t="shared" si="58"/>
        <v>0</v>
      </c>
      <c r="BC176" s="203">
        <f t="shared" si="58"/>
        <v>0</v>
      </c>
      <c r="BD176" s="203">
        <f t="shared" si="58"/>
        <v>0</v>
      </c>
      <c r="BE176" s="203">
        <f t="shared" si="58"/>
        <v>0</v>
      </c>
      <c r="BF176" s="204">
        <f t="shared" si="58"/>
        <v>0</v>
      </c>
      <c r="BG176" s="199">
        <f t="shared" si="58"/>
        <v>0</v>
      </c>
      <c r="BH176" s="244"/>
      <c r="BI176" s="25"/>
      <c r="BJ176" s="25"/>
      <c r="BK176" s="69"/>
    </row>
    <row r="177" spans="1:63" x14ac:dyDescent="0.25">
      <c r="A177" s="62" t="s">
        <v>110</v>
      </c>
      <c r="B177" s="9"/>
      <c r="C177" s="9"/>
      <c r="D177" s="9"/>
      <c r="E177" s="9"/>
      <c r="F177" s="9"/>
      <c r="G177" s="9"/>
      <c r="H177" s="9"/>
      <c r="I177" s="9"/>
      <c r="J177" s="9"/>
      <c r="K177" s="9"/>
      <c r="L177" s="9"/>
      <c r="M177" s="9"/>
      <c r="N177" s="9"/>
      <c r="O177" s="5"/>
      <c r="P177" s="225">
        <f>(1*($B$160+$B$161))*(2^(((P166 - 7) - $B$163)/$P$192))</f>
        <v>2.9796216359494587</v>
      </c>
      <c r="Q177" s="211">
        <f t="shared" ref="Q177:AV177" si="59">($P$167*($B$160+$B$161))*(2^(((Q166-7)-$P$166)/HLOOKUP((Q166-7)-$B$163,$P$190:$BH$192,3,TRUE)))</f>
        <v>6.6590498985850246</v>
      </c>
      <c r="R177" s="211">
        <f t="shared" si="59"/>
        <v>9.3937329355254953</v>
      </c>
      <c r="S177" s="211">
        <f t="shared" si="59"/>
        <v>11.815592437748149</v>
      </c>
      <c r="T177" s="211">
        <f t="shared" si="59"/>
        <v>12.534285987853202</v>
      </c>
      <c r="U177" s="211">
        <f t="shared" si="59"/>
        <v>23.599266437601273</v>
      </c>
      <c r="V177" s="211">
        <f t="shared" si="59"/>
        <v>49.779972972921911</v>
      </c>
      <c r="W177" s="211">
        <f t="shared" si="59"/>
        <v>108.90640436467176</v>
      </c>
      <c r="X177" s="211">
        <f t="shared" si="59"/>
        <v>220.70535714285711</v>
      </c>
      <c r="Y177" s="211">
        <f t="shared" si="59"/>
        <v>322.92231652302479</v>
      </c>
      <c r="Z177" s="211">
        <f t="shared" si="59"/>
        <v>573.4171414665534</v>
      </c>
      <c r="AA177" s="211">
        <f t="shared" si="59"/>
        <v>1580.5624999999989</v>
      </c>
      <c r="AB177" s="211">
        <f t="shared" si="59"/>
        <v>4157.3376801210561</v>
      </c>
      <c r="AC177" s="211">
        <f t="shared" si="59"/>
        <v>14709.910600081001</v>
      </c>
      <c r="AD177" s="211">
        <f t="shared" si="59"/>
        <v>65577.889617991445</v>
      </c>
      <c r="AE177" s="211">
        <f t="shared" si="59"/>
        <v>155906.69596672634</v>
      </c>
      <c r="AF177" s="284">
        <f t="shared" si="59"/>
        <v>111083.1714562041</v>
      </c>
      <c r="AG177" s="284">
        <f t="shared" si="59"/>
        <v>132795.09456567839</v>
      </c>
      <c r="AH177" s="284">
        <f t="shared" si="59"/>
        <v>155204.27961369391</v>
      </c>
      <c r="AI177" s="211">
        <f t="shared" si="59"/>
        <v>283775.83306500048</v>
      </c>
      <c r="AJ177" s="211">
        <f t="shared" si="59"/>
        <v>695420.09638552763</v>
      </c>
      <c r="AK177" s="211">
        <f t="shared" si="59"/>
        <v>296852.34990976623</v>
      </c>
      <c r="AL177" s="211">
        <f t="shared" si="59"/>
        <v>342924.73002205521</v>
      </c>
      <c r="AM177" s="211">
        <f t="shared" si="59"/>
        <v>665287.8662262687</v>
      </c>
      <c r="AN177" s="284">
        <f t="shared" si="59"/>
        <v>608534.02120355377</v>
      </c>
      <c r="AO177" s="211">
        <f t="shared" si="59"/>
        <v>742149.61727864842</v>
      </c>
      <c r="AP177" s="211">
        <f t="shared" si="59"/>
        <v>845586.46744864958</v>
      </c>
      <c r="AQ177" s="211">
        <f t="shared" si="59"/>
        <v>952081.11966056121</v>
      </c>
      <c r="AR177" s="211">
        <f t="shared" si="59"/>
        <v>16777443.55484568</v>
      </c>
      <c r="AS177" s="284">
        <f t="shared" si="59"/>
        <v>7684324.6661374802</v>
      </c>
      <c r="AT177" s="284">
        <f t="shared" si="59"/>
        <v>6415812.2086895322</v>
      </c>
      <c r="AU177" s="284">
        <f t="shared" si="59"/>
        <v>5655438.7474351265</v>
      </c>
      <c r="AV177" s="284">
        <f t="shared" si="59"/>
        <v>5308325.217456406</v>
      </c>
      <c r="AW177" s="284">
        <f t="shared" ref="AW177:AZ177" si="60">($P$167*($B$160+$B$161))*(2^(((AW166-7)-$P$166)/HLOOKUP((AW166-7)-$B$163,$P$190:$BH$192,3,TRUE)))</f>
        <v>5136725.4541107258</v>
      </c>
      <c r="AX177" s="284">
        <f t="shared" si="60"/>
        <v>4388912.2145179659</v>
      </c>
      <c r="AY177" s="284">
        <f t="shared" si="60"/>
        <v>5113661.8730858741</v>
      </c>
      <c r="AZ177" s="284">
        <f t="shared" si="60"/>
        <v>5595331.8129316214</v>
      </c>
      <c r="BA177" s="284">
        <f t="shared" ref="BA177:BF177" si="61">($P$167*($B$160+$B$161))*(2^(((BA166-7)-$P$166)/HLOOKUP((BA166-7)-$B$163,$P$190:$BH$192,3,TRUE)))</f>
        <v>6085155.921886526</v>
      </c>
      <c r="BB177" s="238">
        <f t="shared" si="61"/>
        <v>345771173.92453611</v>
      </c>
      <c r="BC177" s="208">
        <f t="shared" si="61"/>
        <v>220686038.17437315</v>
      </c>
      <c r="BD177" s="208">
        <f t="shared" si="61"/>
        <v>230624096.62225589</v>
      </c>
      <c r="BE177" s="208">
        <f t="shared" si="61"/>
        <v>303477614.57094359</v>
      </c>
      <c r="BF177" s="209">
        <f t="shared" si="61"/>
        <v>453074304.88124496</v>
      </c>
      <c r="BG177" s="208">
        <f>($P$167*($B$160+$B$161))*(2^(((BG166 - 7) - $P$166)/BG192))</f>
        <v>53296629.346993238</v>
      </c>
      <c r="BH177" s="244">
        <f>BH167*(B160+B161)</f>
        <v>4396521.1500000004</v>
      </c>
      <c r="BI177" s="45"/>
      <c r="BJ177" s="45"/>
      <c r="BK177" s="69"/>
    </row>
    <row r="178" spans="1:63" x14ac:dyDescent="0.25">
      <c r="A178" s="37" t="s">
        <v>159</v>
      </c>
      <c r="B178" s="38"/>
      <c r="C178" s="39"/>
      <c r="D178" s="39"/>
      <c r="E178" s="39"/>
      <c r="F178" s="39"/>
      <c r="G178" s="39"/>
      <c r="H178" s="39"/>
      <c r="I178" s="39"/>
      <c r="J178" s="39"/>
      <c r="K178" s="39"/>
      <c r="L178" s="39"/>
      <c r="M178" s="39"/>
      <c r="N178" s="39"/>
      <c r="O178" s="63"/>
      <c r="P178" s="206">
        <f t="shared" ref="P178:AC178" si="62">P177</f>
        <v>2.9796216359494587</v>
      </c>
      <c r="Q178" s="207">
        <f t="shared" si="62"/>
        <v>6.6590498985850246</v>
      </c>
      <c r="R178" s="207">
        <f t="shared" si="62"/>
        <v>9.3937329355254953</v>
      </c>
      <c r="S178" s="207">
        <f t="shared" si="62"/>
        <v>11.815592437748149</v>
      </c>
      <c r="T178" s="207">
        <f t="shared" si="62"/>
        <v>12.534285987853202</v>
      </c>
      <c r="U178" s="207">
        <f t="shared" si="62"/>
        <v>23.599266437601273</v>
      </c>
      <c r="V178" s="207">
        <f t="shared" si="62"/>
        <v>49.779972972921911</v>
      </c>
      <c r="W178" s="207">
        <f t="shared" si="62"/>
        <v>108.90640436467176</v>
      </c>
      <c r="X178" s="207">
        <f t="shared" si="62"/>
        <v>220.70535714285711</v>
      </c>
      <c r="Y178" s="207">
        <f t="shared" si="62"/>
        <v>322.92231652302479</v>
      </c>
      <c r="Z178" s="207">
        <f t="shared" si="62"/>
        <v>573.4171414665534</v>
      </c>
      <c r="AA178" s="207">
        <f t="shared" si="62"/>
        <v>1580.5624999999989</v>
      </c>
      <c r="AB178" s="207">
        <f t="shared" si="62"/>
        <v>4157.3376801210561</v>
      </c>
      <c r="AC178" s="207">
        <f t="shared" si="62"/>
        <v>14709.910600081001</v>
      </c>
      <c r="AD178" s="198">
        <f t="shared" ref="AD178:AV178" si="63">MAX(AD177-($P$167*$B$160)*(2^(((AD166 - 42) - $P$166)/HLOOKUP((AD166-42)-$B$163,$P$190:$BH$192,3,TRUE)))-AD180,0)</f>
        <v>60011.596753736201</v>
      </c>
      <c r="AE178" s="198">
        <f t="shared" si="63"/>
        <v>142124.36171205499</v>
      </c>
      <c r="AF178" s="198">
        <f t="shared" si="63"/>
        <v>89737.506502580392</v>
      </c>
      <c r="AG178" s="198">
        <f t="shared" si="63"/>
        <v>82168.218806941761</v>
      </c>
      <c r="AH178" s="198">
        <f t="shared" si="63"/>
        <v>121077.37661798642</v>
      </c>
      <c r="AI178" s="198">
        <f t="shared" si="63"/>
        <v>242961.87404959198</v>
      </c>
      <c r="AJ178" s="198">
        <f t="shared" si="63"/>
        <v>636170.71340758877</v>
      </c>
      <c r="AK178" s="198">
        <f t="shared" si="63"/>
        <v>0</v>
      </c>
      <c r="AL178" s="198">
        <f t="shared" si="63"/>
        <v>183131.90395536859</v>
      </c>
      <c r="AM178" s="198">
        <f t="shared" si="63"/>
        <v>470027.63490696007</v>
      </c>
      <c r="AN178" s="198">
        <f t="shared" si="63"/>
        <v>96940.47123519404</v>
      </c>
      <c r="AO178" s="198">
        <f t="shared" si="63"/>
        <v>211067.13758120735</v>
      </c>
      <c r="AP178" s="198">
        <f t="shared" si="63"/>
        <v>0</v>
      </c>
      <c r="AQ178" s="198">
        <f t="shared" si="63"/>
        <v>120400.38882585507</v>
      </c>
      <c r="AR178" s="198">
        <f t="shared" si="63"/>
        <v>13705009.015299216</v>
      </c>
      <c r="AS178" s="198">
        <f t="shared" si="63"/>
        <v>5907261.347491622</v>
      </c>
      <c r="AT178" s="198">
        <f t="shared" si="63"/>
        <v>4684526.487498113</v>
      </c>
      <c r="AU178" s="198">
        <f t="shared" si="63"/>
        <v>3934621.8245861428</v>
      </c>
      <c r="AV178" s="198">
        <f t="shared" si="63"/>
        <v>3533717.656026769</v>
      </c>
      <c r="AW178" s="198">
        <f t="shared" ref="AW178:AZ178" si="64">MAX(AW177-($P$167*$B$160)*(2^(((AW166 - 42) - $P$166)/HLOOKUP((AW166-42)-$B$163,$P$190:$BH$192,3,TRUE)))-AW180,0)</f>
        <v>3284037.4433309664</v>
      </c>
      <c r="AX178" s="198">
        <f t="shared" si="64"/>
        <v>2693813.8224219405</v>
      </c>
      <c r="AY178" s="198">
        <f t="shared" si="64"/>
        <v>3045957.9273012802</v>
      </c>
      <c r="AZ178" s="198">
        <f t="shared" si="64"/>
        <v>3237342.7244669292</v>
      </c>
      <c r="BA178" s="198">
        <f t="shared" ref="BA178:BG178" si="65">MAX(BA177-($P$167*$B$160)*(2^(((BA166 - 42) - $P$166)/HLOOKUP((BA166-42)-$B$163,$P$190:$BH$192,3,TRUE)))-BA180,0)</f>
        <v>3427076.6020857031</v>
      </c>
      <c r="BB178" s="241">
        <f t="shared" si="65"/>
        <v>189882911.31475949</v>
      </c>
      <c r="BC178" s="203">
        <f t="shared" si="65"/>
        <v>109788162.97184353</v>
      </c>
      <c r="BD178" s="203">
        <f t="shared" si="65"/>
        <v>107086293.50152051</v>
      </c>
      <c r="BE178" s="203">
        <f t="shared" si="65"/>
        <v>133933788.07709268</v>
      </c>
      <c r="BF178" s="204">
        <f t="shared" si="65"/>
        <v>192310972.85059133</v>
      </c>
      <c r="BG178" s="199">
        <f t="shared" si="65"/>
        <v>0</v>
      </c>
      <c r="BH178" s="246"/>
      <c r="BI178" s="45"/>
      <c r="BJ178" s="45"/>
      <c r="BK178" s="69"/>
    </row>
    <row r="179" spans="1:63" x14ac:dyDescent="0.25">
      <c r="A179" s="62" t="s">
        <v>111</v>
      </c>
      <c r="B179" s="9"/>
      <c r="C179" s="9"/>
      <c r="D179" s="9"/>
      <c r="E179" s="9"/>
      <c r="F179" s="9"/>
      <c r="G179" s="9"/>
      <c r="H179" s="9"/>
      <c r="I179" s="9"/>
      <c r="J179" s="9"/>
      <c r="K179" s="9"/>
      <c r="L179" s="9"/>
      <c r="M179" s="9"/>
      <c r="N179" s="9"/>
      <c r="O179" s="5"/>
      <c r="P179" s="225">
        <f>(1*$B$161)*(2^(((P166 - 14) -$B$163)/$P$192))</f>
        <v>0.35133142435370507</v>
      </c>
      <c r="Q179" s="222">
        <f>(1*$B$161)*(2^(((Q166 - 14) -$B$163)/$P$192))</f>
        <v>0.8793994084295168</v>
      </c>
      <c r="R179" s="222">
        <f>(1*$B$161)*(2^(((R166 - 14) -$B$163)/$P$192))</f>
        <v>1.2405438181505943</v>
      </c>
      <c r="S179" s="222">
        <f>(1*$B$161)*(2^(((S166 - 14) -$B$163)/$P$192))</f>
        <v>1.5603765038925292</v>
      </c>
      <c r="T179" s="211">
        <f t="shared" ref="T179:AV179" si="66">($P$167*$B$161)*(2^(((T166 - 14) - $P$166)/HLOOKUP((T166-14)-$B$163,$P$190:$BH$192,3,TRUE)))</f>
        <v>1.9653383070069901</v>
      </c>
      <c r="U179" s="211">
        <f t="shared" si="66"/>
        <v>2.7724470405161594</v>
      </c>
      <c r="V179" s="211">
        <f t="shared" si="66"/>
        <v>3.0357142857142851</v>
      </c>
      <c r="W179" s="211">
        <f t="shared" si="66"/>
        <v>3.5840256691447028</v>
      </c>
      <c r="X179" s="211">
        <f t="shared" si="66"/>
        <v>6.2103332730529663</v>
      </c>
      <c r="Y179" s="211">
        <f t="shared" si="66"/>
        <v>11.368617573959821</v>
      </c>
      <c r="Z179" s="211">
        <f t="shared" si="66"/>
        <v>24.151785714285708</v>
      </c>
      <c r="AA179" s="211">
        <f t="shared" si="66"/>
        <v>58.080357142857132</v>
      </c>
      <c r="AB179" s="211">
        <f t="shared" si="66"/>
        <v>123.70535714285711</v>
      </c>
      <c r="AC179" s="211">
        <f t="shared" si="66"/>
        <v>515.59097869702066</v>
      </c>
      <c r="AD179" s="211">
        <f t="shared" si="66"/>
        <v>5570.8928571428578</v>
      </c>
      <c r="AE179" s="211">
        <f t="shared" si="66"/>
        <v>13823.025678649645</v>
      </c>
      <c r="AF179" s="211">
        <f t="shared" si="66"/>
        <v>21428.939201378067</v>
      </c>
      <c r="AG179" s="211">
        <f t="shared" si="66"/>
        <v>50945.755168707459</v>
      </c>
      <c r="AH179" s="284">
        <f t="shared" si="66"/>
        <v>35451.144071431758</v>
      </c>
      <c r="AI179" s="284">
        <f t="shared" si="66"/>
        <v>41149.616953211123</v>
      </c>
      <c r="AJ179" s="211">
        <f t="shared" si="66"/>
        <v>61572.988963700482</v>
      </c>
      <c r="AK179" s="211">
        <f t="shared" si="66"/>
        <v>213818.6361690232</v>
      </c>
      <c r="AL179" s="211">
        <f t="shared" si="66"/>
        <v>88996.021400140351</v>
      </c>
      <c r="AM179" s="211">
        <f t="shared" si="66"/>
        <v>181510.39218532681</v>
      </c>
      <c r="AN179" s="211">
        <f t="shared" si="66"/>
        <v>335250.99708197563</v>
      </c>
      <c r="AO179" s="284">
        <f t="shared" si="66"/>
        <v>284279.88501626055</v>
      </c>
      <c r="AP179" s="284">
        <f t="shared" si="66"/>
        <v>330492.71124494524</v>
      </c>
      <c r="AQ179" s="211">
        <f t="shared" si="66"/>
        <v>361056.91060199292</v>
      </c>
      <c r="AR179" s="286">
        <f t="shared" si="66"/>
        <v>2666502.0525329262</v>
      </c>
      <c r="AS179" s="284">
        <f t="shared" si="66"/>
        <v>1379132.6691192864</v>
      </c>
      <c r="AT179" s="284">
        <f t="shared" si="66"/>
        <v>1231987.4866374773</v>
      </c>
      <c r="AU179" s="284">
        <f t="shared" si="66"/>
        <v>1138577.0373848728</v>
      </c>
      <c r="AV179" s="284">
        <f t="shared" si="66"/>
        <v>1106146.544676583</v>
      </c>
      <c r="AW179" s="284">
        <f t="shared" ref="AW179:AZ179" si="67">($P$167*$B$161)*(2^(((AW166 - 14) - $P$166)/HLOOKUP((AW166-14)-$B$163,$P$190:$BH$192,3,TRUE)))</f>
        <v>1098970.1181956055</v>
      </c>
      <c r="AX179" s="284">
        <f t="shared" si="67"/>
        <v>960627.98856745125</v>
      </c>
      <c r="AY179" s="284">
        <f t="shared" si="67"/>
        <v>1135961.86505783</v>
      </c>
      <c r="AZ179" s="284">
        <f t="shared" si="67"/>
        <v>1259306.1129403065</v>
      </c>
      <c r="BA179" s="284">
        <f t="shared" ref="BA179:BG179" si="68">($P$167*$B$161)*(2^(((BA166 - 14) - $P$166)/HLOOKUP((BA166-14)-$B$163,$P$190:$BH$192,3,TRUE)))</f>
        <v>1384865.6380260359</v>
      </c>
      <c r="BB179" s="238">
        <f t="shared" si="68"/>
        <v>79453730.46044229</v>
      </c>
      <c r="BC179" s="208">
        <f t="shared" si="68"/>
        <v>52365514.671853706</v>
      </c>
      <c r="BD179" s="208">
        <f t="shared" si="68"/>
        <v>55731419.512365155</v>
      </c>
      <c r="BE179" s="208">
        <f t="shared" si="68"/>
        <v>74204997.202958301</v>
      </c>
      <c r="BF179" s="209">
        <f t="shared" si="68"/>
        <v>111698115.52330752</v>
      </c>
      <c r="BG179" s="208">
        <f t="shared" si="68"/>
        <v>181132823.4636991</v>
      </c>
      <c r="BH179" s="244">
        <f>BH167*B161</f>
        <v>1156979.2500000002</v>
      </c>
      <c r="BI179" s="45"/>
      <c r="BJ179" s="45"/>
      <c r="BK179" s="69"/>
    </row>
    <row r="180" spans="1:63" x14ac:dyDescent="0.25">
      <c r="A180" s="37" t="s">
        <v>160</v>
      </c>
      <c r="B180" s="38"/>
      <c r="C180" s="39"/>
      <c r="D180" s="39"/>
      <c r="E180" s="39"/>
      <c r="F180" s="39"/>
      <c r="G180" s="39"/>
      <c r="H180" s="39"/>
      <c r="I180" s="39"/>
      <c r="J180" s="39"/>
      <c r="K180" s="39"/>
      <c r="L180" s="39"/>
      <c r="M180" s="39"/>
      <c r="N180" s="39"/>
      <c r="O180" s="63"/>
      <c r="P180" s="206">
        <f t="shared" ref="P180:AA180" si="69">P179</f>
        <v>0.35133142435370507</v>
      </c>
      <c r="Q180" s="207">
        <f t="shared" si="69"/>
        <v>0.8793994084295168</v>
      </c>
      <c r="R180" s="207">
        <f t="shared" si="69"/>
        <v>1.2405438181505943</v>
      </c>
      <c r="S180" s="207">
        <f t="shared" si="69"/>
        <v>1.5603765038925292</v>
      </c>
      <c r="T180" s="207">
        <f t="shared" si="69"/>
        <v>1.9653383070069901</v>
      </c>
      <c r="U180" s="207">
        <f t="shared" si="69"/>
        <v>2.7724470405161594</v>
      </c>
      <c r="V180" s="207">
        <f t="shared" si="69"/>
        <v>3.0357142857142851</v>
      </c>
      <c r="W180" s="207">
        <f t="shared" si="69"/>
        <v>3.5840256691447028</v>
      </c>
      <c r="X180" s="207">
        <f t="shared" si="69"/>
        <v>6.2103332730529663</v>
      </c>
      <c r="Y180" s="207">
        <f t="shared" si="69"/>
        <v>11.368617573959821</v>
      </c>
      <c r="Z180" s="207">
        <f t="shared" si="69"/>
        <v>24.151785714285708</v>
      </c>
      <c r="AA180" s="207">
        <f t="shared" si="69"/>
        <v>58.080357142857132</v>
      </c>
      <c r="AB180" s="205">
        <f t="shared" ref="AB180:AV180" si="70">MAX(AB179-($P$167*$B$161)*(2^(((AB166 - 35) - $P$166)/HLOOKUP((AB166-35)-$B$163,$P$190:$BH$192,3,TRUE))),0)</f>
        <v>121.95297559059789</v>
      </c>
      <c r="AC180" s="205">
        <f t="shared" si="70"/>
        <v>512.48161226603429</v>
      </c>
      <c r="AD180" s="205">
        <f t="shared" si="70"/>
        <v>5557.792864255247</v>
      </c>
      <c r="AE180" s="205">
        <f t="shared" si="70"/>
        <v>13764.945321506788</v>
      </c>
      <c r="AF180" s="205">
        <f t="shared" si="70"/>
        <v>21278.039953623709</v>
      </c>
      <c r="AG180" s="205">
        <f t="shared" si="70"/>
        <v>50430.164190010437</v>
      </c>
      <c r="AH180" s="205">
        <f t="shared" si="70"/>
        <v>33551.402995707496</v>
      </c>
      <c r="AI180" s="205">
        <f t="shared" si="70"/>
        <v>29360.355102132755</v>
      </c>
      <c r="AJ180" s="205">
        <f t="shared" si="70"/>
        <v>20544.911077719866</v>
      </c>
      <c r="AK180" s="205">
        <f t="shared" si="70"/>
        <v>178872.55865173941</v>
      </c>
      <c r="AL180" s="205">
        <f t="shared" si="70"/>
        <v>42400.499171367694</v>
      </c>
      <c r="AM180" s="205">
        <f t="shared" si="70"/>
        <v>0</v>
      </c>
      <c r="AN180" s="205">
        <f t="shared" si="70"/>
        <v>173147.04652534609</v>
      </c>
      <c r="AO180" s="205">
        <f t="shared" si="70"/>
        <v>150473.53169511273</v>
      </c>
      <c r="AP180" s="205">
        <f t="shared" si="70"/>
        <v>204203.72976794056</v>
      </c>
      <c r="AQ180" s="205">
        <f t="shared" si="70"/>
        <v>203957.27579973071</v>
      </c>
      <c r="AR180" s="205">
        <f t="shared" si="70"/>
        <v>2079092.3441904909</v>
      </c>
      <c r="AS180" s="205">
        <f t="shared" si="70"/>
        <v>941653.01746410923</v>
      </c>
      <c r="AT180" s="205">
        <f t="shared" si="70"/>
        <v>753334.19950907747</v>
      </c>
      <c r="AU180" s="205">
        <f t="shared" si="70"/>
        <v>628775.00328887347</v>
      </c>
      <c r="AV180" s="205">
        <f t="shared" si="70"/>
        <v>556948.6153099169</v>
      </c>
      <c r="AW180" s="205">
        <f t="shared" ref="AW180:AZ180" si="71">MAX(AW179-($P$167*$B$161)*(2^(((AW166 - 35) - $P$166)/HLOOKUP((AW166-35)-$B$163,$P$190:$BH$192,3,TRUE))),0)</f>
        <v>508449.23303968273</v>
      </c>
      <c r="AX180" s="205">
        <f t="shared" si="71"/>
        <v>407913.24340974761</v>
      </c>
      <c r="AY180" s="205">
        <f t="shared" si="71"/>
        <v>452664.45612368477</v>
      </c>
      <c r="AZ180" s="205">
        <f t="shared" si="71"/>
        <v>471537.81820859679</v>
      </c>
      <c r="BA180" s="205">
        <f t="shared" ref="BA180:BG180" si="72">MAX(BA179-($P$167*$B$161)*(2^(((BA166 - 35) - $P$166)/HLOOKUP((BA166-35)-$B$163,$P$190:$BH$192,3,TRUE))),0)</f>
        <v>489158.12831048609</v>
      </c>
      <c r="BB180" s="241">
        <f t="shared" si="72"/>
        <v>26555443.577914871</v>
      </c>
      <c r="BC180" s="203">
        <f t="shared" si="72"/>
        <v>13976433.219739527</v>
      </c>
      <c r="BD180" s="203">
        <f t="shared" si="72"/>
        <v>12575819.160904154</v>
      </c>
      <c r="BE180" s="203">
        <f t="shared" si="72"/>
        <v>14679447.196659826</v>
      </c>
      <c r="BF180" s="204">
        <f t="shared" si="72"/>
        <v>19859384.150339574</v>
      </c>
      <c r="BG180" s="199">
        <f t="shared" si="72"/>
        <v>29469451.018112838</v>
      </c>
      <c r="BH180" s="244"/>
      <c r="BI180" s="45"/>
      <c r="BJ180" s="45"/>
      <c r="BK180" s="69"/>
    </row>
    <row r="181" spans="1:63" x14ac:dyDescent="0.25">
      <c r="A181" s="41" t="s">
        <v>56</v>
      </c>
      <c r="B181" s="15"/>
      <c r="C181" s="16"/>
      <c r="D181" s="16"/>
      <c r="E181" s="16"/>
      <c r="F181" s="16"/>
      <c r="G181" s="16"/>
      <c r="H181" s="16"/>
      <c r="I181" s="16"/>
      <c r="J181" s="16"/>
      <c r="K181" s="16"/>
      <c r="L181" s="16"/>
      <c r="M181" s="16"/>
      <c r="N181" s="16"/>
      <c r="O181" s="16"/>
      <c r="P181" s="226">
        <f t="shared" ref="P181:BG181" si="73">P167*$B$162</f>
        <v>1.875</v>
      </c>
      <c r="Q181" s="227">
        <f t="shared" si="73"/>
        <v>3.75</v>
      </c>
      <c r="R181" s="227">
        <f t="shared" si="73"/>
        <v>7.5</v>
      </c>
      <c r="S181" s="227">
        <f t="shared" si="73"/>
        <v>15</v>
      </c>
      <c r="T181" s="227">
        <f t="shared" si="73"/>
        <v>30</v>
      </c>
      <c r="U181" s="227">
        <f t="shared" si="73"/>
        <v>60</v>
      </c>
      <c r="V181" s="227">
        <f t="shared" si="73"/>
        <v>120</v>
      </c>
      <c r="W181" s="227">
        <f t="shared" si="73"/>
        <v>240</v>
      </c>
      <c r="X181" s="227">
        <f t="shared" si="73"/>
        <v>480</v>
      </c>
      <c r="Y181" s="227">
        <f t="shared" si="73"/>
        <v>960</v>
      </c>
      <c r="Z181" s="227">
        <f t="shared" si="73"/>
        <v>1920</v>
      </c>
      <c r="AA181" s="227">
        <f t="shared" si="73"/>
        <v>3840</v>
      </c>
      <c r="AB181" s="227">
        <f t="shared" si="73"/>
        <v>7680</v>
      </c>
      <c r="AC181" s="227">
        <f t="shared" si="73"/>
        <v>15360</v>
      </c>
      <c r="AD181" s="227">
        <f t="shared" si="73"/>
        <v>30720</v>
      </c>
      <c r="AE181" s="227">
        <f t="shared" ref="AE181:AG181" si="74">AE167*$B$162</f>
        <v>38400</v>
      </c>
      <c r="AF181" s="227">
        <f t="shared" si="74"/>
        <v>46080</v>
      </c>
      <c r="AG181" s="227">
        <f t="shared" si="74"/>
        <v>53760</v>
      </c>
      <c r="AH181" s="227">
        <f t="shared" si="73"/>
        <v>61440</v>
      </c>
      <c r="AI181" s="227">
        <f t="shared" ref="AI181:AK181" si="75">AI167*$B$162</f>
        <v>76800</v>
      </c>
      <c r="AJ181" s="227">
        <f t="shared" si="75"/>
        <v>92160</v>
      </c>
      <c r="AK181" s="227">
        <f t="shared" si="75"/>
        <v>107520</v>
      </c>
      <c r="AL181" s="227">
        <f t="shared" si="73"/>
        <v>122880</v>
      </c>
      <c r="AM181" s="227">
        <f t="shared" ref="AM181:AP181" si="76">AM167*$B$162</f>
        <v>147456</v>
      </c>
      <c r="AN181" s="227">
        <f t="shared" si="76"/>
        <v>172032</v>
      </c>
      <c r="AO181" s="227">
        <f t="shared" si="76"/>
        <v>196608</v>
      </c>
      <c r="AP181" s="227">
        <f t="shared" si="76"/>
        <v>221184</v>
      </c>
      <c r="AQ181" s="227">
        <f t="shared" si="73"/>
        <v>245760</v>
      </c>
      <c r="AR181" s="227">
        <f t="shared" ref="AR181:AU181" si="77">AR167*$B$162</f>
        <v>294912</v>
      </c>
      <c r="AS181" s="227">
        <f t="shared" si="77"/>
        <v>344064</v>
      </c>
      <c r="AT181" s="227">
        <f t="shared" si="77"/>
        <v>393216</v>
      </c>
      <c r="AU181" s="227">
        <f t="shared" si="77"/>
        <v>442368</v>
      </c>
      <c r="AV181" s="227">
        <f t="shared" si="73"/>
        <v>491520</v>
      </c>
      <c r="AW181" s="227">
        <f t="shared" ref="AW181:AZ181" si="78">AW167*$B$162</f>
        <v>589824</v>
      </c>
      <c r="AX181" s="227">
        <f t="shared" si="78"/>
        <v>688128</v>
      </c>
      <c r="AY181" s="227">
        <f t="shared" si="78"/>
        <v>786432</v>
      </c>
      <c r="AZ181" s="227">
        <f t="shared" si="78"/>
        <v>884736</v>
      </c>
      <c r="BA181" s="227">
        <f t="shared" si="73"/>
        <v>983040</v>
      </c>
      <c r="BB181" s="240">
        <f t="shared" ref="BB181:BF181" si="79">BB167*$B$162</f>
        <v>1966080</v>
      </c>
      <c r="BC181" s="199">
        <f t="shared" si="79"/>
        <v>3932160</v>
      </c>
      <c r="BD181" s="199">
        <f t="shared" si="79"/>
        <v>7864320</v>
      </c>
      <c r="BE181" s="199">
        <f t="shared" si="79"/>
        <v>15728640</v>
      </c>
      <c r="BF181" s="200">
        <f t="shared" si="79"/>
        <v>19833930</v>
      </c>
      <c r="BG181" s="208">
        <f t="shared" si="73"/>
        <v>19833930</v>
      </c>
      <c r="BH181" s="244">
        <f>BH167*B162</f>
        <v>1388375.1</v>
      </c>
      <c r="BI181" s="45"/>
      <c r="BJ181" s="45"/>
      <c r="BK181" s="69"/>
    </row>
    <row r="182" spans="1:63" x14ac:dyDescent="0.25">
      <c r="A182" s="37" t="s">
        <v>55</v>
      </c>
      <c r="B182" s="38"/>
      <c r="C182" s="39"/>
      <c r="D182" s="39"/>
      <c r="E182" s="39"/>
      <c r="F182" s="39"/>
      <c r="G182" s="39"/>
      <c r="H182" s="39"/>
      <c r="I182" s="39"/>
      <c r="J182" s="39"/>
      <c r="K182" s="39"/>
      <c r="L182" s="39"/>
      <c r="M182" s="39"/>
      <c r="N182" s="39"/>
      <c r="O182" s="39"/>
      <c r="P182" s="201"/>
      <c r="Q182" s="202"/>
      <c r="R182" s="202"/>
      <c r="S182" s="202"/>
      <c r="T182" s="202"/>
      <c r="U182" s="202"/>
      <c r="V182" s="202"/>
      <c r="W182" s="202"/>
      <c r="X182" s="202"/>
      <c r="Y182" s="202"/>
      <c r="Z182" s="202"/>
      <c r="AA182" s="202"/>
      <c r="AB182" s="210">
        <f t="shared" ref="AB182:AV182" si="80">($P$167*$B$162)*(2^(((AB166-35)-$P$166)/HLOOKUP((AB166-35)-$B$163,$P$190:$BH$192,3,TRUE)))</f>
        <v>2.1028578627110601</v>
      </c>
      <c r="AC182" s="210">
        <f t="shared" si="80"/>
        <v>3.7312397171836262</v>
      </c>
      <c r="AD182" s="210">
        <f t="shared" si="80"/>
        <v>15.719991465133234</v>
      </c>
      <c r="AE182" s="210">
        <f t="shared" si="80"/>
        <v>69.696428571428555</v>
      </c>
      <c r="AF182" s="210">
        <f t="shared" si="80"/>
        <v>181.07909730522741</v>
      </c>
      <c r="AG182" s="210">
        <f t="shared" si="80"/>
        <v>618.70917443642475</v>
      </c>
      <c r="AH182" s="210">
        <f t="shared" si="80"/>
        <v>2279.6892908691125</v>
      </c>
      <c r="AI182" s="210">
        <f t="shared" si="80"/>
        <v>14147.114221294043</v>
      </c>
      <c r="AJ182" s="210">
        <f t="shared" si="80"/>
        <v>49233.693463176736</v>
      </c>
      <c r="AK182" s="210">
        <f t="shared" si="80"/>
        <v>41935.293020740544</v>
      </c>
      <c r="AL182" s="210">
        <f t="shared" si="80"/>
        <v>55914.626674527193</v>
      </c>
      <c r="AM182" s="210">
        <f t="shared" si="80"/>
        <v>248719.83342260594</v>
      </c>
      <c r="AN182" s="210">
        <f t="shared" si="80"/>
        <v>194524.74066795546</v>
      </c>
      <c r="AO182" s="210">
        <f t="shared" si="80"/>
        <v>160567.62398537737</v>
      </c>
      <c r="AP182" s="210">
        <f t="shared" si="80"/>
        <v>151546.77777240562</v>
      </c>
      <c r="AQ182" s="210">
        <f t="shared" si="80"/>
        <v>188519.56176271467</v>
      </c>
      <c r="AR182" s="210">
        <f t="shared" si="80"/>
        <v>704891.65001092257</v>
      </c>
      <c r="AS182" s="210">
        <f t="shared" si="80"/>
        <v>524975.58198621252</v>
      </c>
      <c r="AT182" s="210">
        <f t="shared" si="80"/>
        <v>574383.94455407979</v>
      </c>
      <c r="AU182" s="210">
        <f t="shared" si="80"/>
        <v>611762.44091519923</v>
      </c>
      <c r="AV182" s="210">
        <f t="shared" si="80"/>
        <v>659037.5152399994</v>
      </c>
      <c r="AW182" s="210">
        <f t="shared" ref="AW182:AZ182" si="81">($P$167*$B$162)*(2^(((AW166-35)-$P$166)/HLOOKUP((AW166-35)-$B$163,$P$190:$BH$192,3,TRUE)))</f>
        <v>708625.06218710716</v>
      </c>
      <c r="AX182" s="210">
        <f t="shared" si="81"/>
        <v>663257.6941892443</v>
      </c>
      <c r="AY182" s="210">
        <f t="shared" si="81"/>
        <v>819956.89072097419</v>
      </c>
      <c r="AZ182" s="210">
        <f t="shared" si="81"/>
        <v>945321.95367805171</v>
      </c>
      <c r="BA182" s="210">
        <f t="shared" ref="BA182:BG182" si="82">($P$167*$B$162)*(2^(((BA166-35)-$P$166)/HLOOKUP((BA166-35)-$B$163,$P$190:$BH$192,3,TRUE)))</f>
        <v>1074849.0116586597</v>
      </c>
      <c r="BB182" s="241">
        <f t="shared" si="82"/>
        <v>63477944.259032898</v>
      </c>
      <c r="BC182" s="203">
        <f t="shared" si="82"/>
        <v>46066897.742537022</v>
      </c>
      <c r="BD182" s="203">
        <f t="shared" si="82"/>
        <v>51786720.421753198</v>
      </c>
      <c r="BE182" s="203">
        <f t="shared" si="82"/>
        <v>71430660.007558167</v>
      </c>
      <c r="BF182" s="204">
        <f t="shared" si="82"/>
        <v>110206477.64756154</v>
      </c>
      <c r="BG182" s="203">
        <f t="shared" si="82"/>
        <v>181996046.9347035</v>
      </c>
      <c r="BH182" s="247">
        <f>($P$167*$B$162)*(2^(((BH166 - 35) - $P$166)/BH192))</f>
        <v>13818278.279355321</v>
      </c>
      <c r="BI182" s="45"/>
      <c r="BJ182" s="45"/>
      <c r="BK182" s="69"/>
    </row>
    <row r="183" spans="1:63" s="69" customFormat="1" hidden="1" x14ac:dyDescent="0.25">
      <c r="A183" s="48" t="s">
        <v>105</v>
      </c>
      <c r="B183" s="25"/>
      <c r="C183" s="47"/>
      <c r="D183" s="47"/>
      <c r="E183" s="47"/>
      <c r="F183" s="47"/>
      <c r="G183" s="47"/>
      <c r="H183" s="47"/>
      <c r="I183" s="47"/>
      <c r="J183" s="47"/>
      <c r="K183" s="47"/>
      <c r="L183" s="47"/>
      <c r="M183" s="47"/>
      <c r="N183" s="47"/>
      <c r="O183" s="47"/>
      <c r="P183" s="150">
        <f t="shared" ref="P183:BG183" si="83">P166-7</f>
        <v>43875</v>
      </c>
      <c r="Q183" s="150">
        <f t="shared" si="83"/>
        <v>43883</v>
      </c>
      <c r="R183" s="150">
        <f t="shared" si="83"/>
        <v>43886</v>
      </c>
      <c r="S183" s="150">
        <f t="shared" si="83"/>
        <v>43888</v>
      </c>
      <c r="T183" s="150">
        <f t="shared" si="83"/>
        <v>43891</v>
      </c>
      <c r="U183" s="150">
        <f t="shared" si="83"/>
        <v>43894</v>
      </c>
      <c r="V183" s="150">
        <f t="shared" si="83"/>
        <v>43897</v>
      </c>
      <c r="W183" s="150">
        <f t="shared" si="83"/>
        <v>43899</v>
      </c>
      <c r="X183" s="150">
        <f t="shared" si="83"/>
        <v>43901</v>
      </c>
      <c r="Y183" s="150">
        <f t="shared" si="83"/>
        <v>43903</v>
      </c>
      <c r="Z183" s="150">
        <f t="shared" si="83"/>
        <v>43905</v>
      </c>
      <c r="AA183" s="150">
        <f t="shared" si="83"/>
        <v>43908</v>
      </c>
      <c r="AB183" s="150">
        <f t="shared" si="83"/>
        <v>43911</v>
      </c>
      <c r="AC183" s="150">
        <f t="shared" si="83"/>
        <v>43916</v>
      </c>
      <c r="AD183" s="150">
        <f t="shared" si="83"/>
        <v>43925</v>
      </c>
      <c r="AE183" s="150"/>
      <c r="AF183" s="150"/>
      <c r="AG183" s="150"/>
      <c r="AH183" s="150">
        <f t="shared" si="83"/>
        <v>43941</v>
      </c>
      <c r="AI183" s="150"/>
      <c r="AJ183" s="150"/>
      <c r="AK183" s="150"/>
      <c r="AL183" s="150">
        <f t="shared" si="83"/>
        <v>43973</v>
      </c>
      <c r="AM183" s="150"/>
      <c r="AN183" s="150"/>
      <c r="AO183" s="150"/>
      <c r="AP183" s="150"/>
      <c r="AQ183" s="150">
        <f t="shared" si="83"/>
        <v>44037</v>
      </c>
      <c r="AR183" s="150"/>
      <c r="AS183" s="150"/>
      <c r="AT183" s="150"/>
      <c r="AU183" s="150"/>
      <c r="AV183" s="150">
        <f t="shared" si="83"/>
        <v>44293</v>
      </c>
      <c r="AW183" s="150"/>
      <c r="AX183" s="150"/>
      <c r="AY183" s="150"/>
      <c r="AZ183" s="150"/>
      <c r="BA183" s="150">
        <f t="shared" si="83"/>
        <v>44549</v>
      </c>
      <c r="BB183" s="150"/>
      <c r="BC183" s="150"/>
      <c r="BD183" s="150"/>
      <c r="BE183" s="150"/>
      <c r="BF183" s="150"/>
      <c r="BG183" s="150">
        <f t="shared" si="83"/>
        <v>46085</v>
      </c>
      <c r="BH183" s="150"/>
      <c r="BI183" s="45"/>
      <c r="BJ183" s="45"/>
    </row>
    <row r="184" spans="1:63" s="69" customFormat="1" hidden="1" x14ac:dyDescent="0.25">
      <c r="A184" s="48" t="s">
        <v>103</v>
      </c>
      <c r="B184" s="25"/>
      <c r="C184" s="47"/>
      <c r="D184" s="47"/>
      <c r="E184" s="47"/>
      <c r="F184" s="47"/>
      <c r="G184" s="47"/>
      <c r="H184" s="47"/>
      <c r="I184" s="47"/>
      <c r="J184" s="47"/>
      <c r="K184" s="47"/>
      <c r="L184" s="47"/>
      <c r="M184" s="47"/>
      <c r="N184" s="47"/>
      <c r="O184" s="47"/>
      <c r="P184" s="150">
        <f t="shared" ref="P184:BG184" si="84">P166-14</f>
        <v>43868</v>
      </c>
      <c r="Q184" s="150">
        <f t="shared" si="84"/>
        <v>43876</v>
      </c>
      <c r="R184" s="150">
        <f t="shared" si="84"/>
        <v>43879</v>
      </c>
      <c r="S184" s="150">
        <f t="shared" si="84"/>
        <v>43881</v>
      </c>
      <c r="T184" s="150">
        <f t="shared" si="84"/>
        <v>43884</v>
      </c>
      <c r="U184" s="150">
        <f t="shared" si="84"/>
        <v>43887</v>
      </c>
      <c r="V184" s="150">
        <f t="shared" si="84"/>
        <v>43890</v>
      </c>
      <c r="W184" s="150">
        <f t="shared" si="84"/>
        <v>43892</v>
      </c>
      <c r="X184" s="150">
        <f t="shared" si="84"/>
        <v>43894</v>
      </c>
      <c r="Y184" s="150">
        <f t="shared" si="84"/>
        <v>43896</v>
      </c>
      <c r="Z184" s="150">
        <f t="shared" si="84"/>
        <v>43898</v>
      </c>
      <c r="AA184" s="150">
        <f t="shared" si="84"/>
        <v>43901</v>
      </c>
      <c r="AB184" s="150">
        <f t="shared" si="84"/>
        <v>43904</v>
      </c>
      <c r="AC184" s="150">
        <f t="shared" si="84"/>
        <v>43909</v>
      </c>
      <c r="AD184" s="150">
        <f t="shared" si="84"/>
        <v>43918</v>
      </c>
      <c r="AE184" s="150"/>
      <c r="AF184" s="150"/>
      <c r="AG184" s="150"/>
      <c r="AH184" s="150">
        <f t="shared" si="84"/>
        <v>43934</v>
      </c>
      <c r="AI184" s="150"/>
      <c r="AJ184" s="150"/>
      <c r="AK184" s="150"/>
      <c r="AL184" s="150">
        <f t="shared" si="84"/>
        <v>43966</v>
      </c>
      <c r="AM184" s="150"/>
      <c r="AN184" s="150"/>
      <c r="AO184" s="150"/>
      <c r="AP184" s="150"/>
      <c r="AQ184" s="150">
        <f t="shared" si="84"/>
        <v>44030</v>
      </c>
      <c r="AR184" s="150"/>
      <c r="AS184" s="150"/>
      <c r="AT184" s="150"/>
      <c r="AU184" s="150"/>
      <c r="AV184" s="150">
        <f t="shared" si="84"/>
        <v>44286</v>
      </c>
      <c r="AW184" s="150"/>
      <c r="AX184" s="150"/>
      <c r="AY184" s="150"/>
      <c r="AZ184" s="150"/>
      <c r="BA184" s="150">
        <f t="shared" si="84"/>
        <v>44542</v>
      </c>
      <c r="BB184" s="150"/>
      <c r="BC184" s="150"/>
      <c r="BD184" s="150"/>
      <c r="BE184" s="150"/>
      <c r="BF184" s="150"/>
      <c r="BG184" s="150">
        <f t="shared" si="84"/>
        <v>46078</v>
      </c>
      <c r="BH184" s="150"/>
      <c r="BI184" s="45"/>
      <c r="BJ184" s="45"/>
    </row>
    <row r="185" spans="1:63" s="69" customFormat="1" hidden="1" x14ac:dyDescent="0.25">
      <c r="A185" s="48" t="s">
        <v>106</v>
      </c>
      <c r="B185" s="25"/>
      <c r="C185" s="47"/>
      <c r="D185" s="47"/>
      <c r="E185" s="47"/>
      <c r="F185" s="47"/>
      <c r="G185" s="47"/>
      <c r="H185" s="47"/>
      <c r="I185" s="47"/>
      <c r="J185" s="47"/>
      <c r="K185" s="47"/>
      <c r="L185" s="47"/>
      <c r="M185" s="47"/>
      <c r="N185" s="47"/>
      <c r="O185" s="47"/>
      <c r="P185" s="150">
        <f t="shared" ref="P185:BG185" si="85">P166-(7*5)</f>
        <v>43847</v>
      </c>
      <c r="Q185" s="150">
        <f t="shared" si="85"/>
        <v>43855</v>
      </c>
      <c r="R185" s="150">
        <f t="shared" si="85"/>
        <v>43858</v>
      </c>
      <c r="S185" s="150">
        <f t="shared" si="85"/>
        <v>43860</v>
      </c>
      <c r="T185" s="150">
        <f t="shared" si="85"/>
        <v>43863</v>
      </c>
      <c r="U185" s="150">
        <f t="shared" si="85"/>
        <v>43866</v>
      </c>
      <c r="V185" s="150">
        <f t="shared" si="85"/>
        <v>43869</v>
      </c>
      <c r="W185" s="150">
        <f t="shared" si="85"/>
        <v>43871</v>
      </c>
      <c r="X185" s="150">
        <f t="shared" si="85"/>
        <v>43873</v>
      </c>
      <c r="Y185" s="150">
        <f t="shared" si="85"/>
        <v>43875</v>
      </c>
      <c r="Z185" s="150">
        <f t="shared" si="85"/>
        <v>43877</v>
      </c>
      <c r="AA185" s="150">
        <f t="shared" si="85"/>
        <v>43880</v>
      </c>
      <c r="AB185" s="150">
        <f t="shared" si="85"/>
        <v>43883</v>
      </c>
      <c r="AC185" s="150">
        <f t="shared" si="85"/>
        <v>43888</v>
      </c>
      <c r="AD185" s="150">
        <f t="shared" si="85"/>
        <v>43897</v>
      </c>
      <c r="AE185" s="150"/>
      <c r="AF185" s="150"/>
      <c r="AG185" s="150"/>
      <c r="AH185" s="150">
        <f t="shared" si="85"/>
        <v>43913</v>
      </c>
      <c r="AI185" s="150"/>
      <c r="AJ185" s="150"/>
      <c r="AK185" s="150"/>
      <c r="AL185" s="150">
        <f t="shared" si="85"/>
        <v>43945</v>
      </c>
      <c r="AM185" s="150"/>
      <c r="AN185" s="150"/>
      <c r="AO185" s="150"/>
      <c r="AP185" s="150"/>
      <c r="AQ185" s="150">
        <f t="shared" si="85"/>
        <v>44009</v>
      </c>
      <c r="AR185" s="150"/>
      <c r="AS185" s="150"/>
      <c r="AT185" s="150"/>
      <c r="AU185" s="150"/>
      <c r="AV185" s="150">
        <f t="shared" si="85"/>
        <v>44265</v>
      </c>
      <c r="AW185" s="150"/>
      <c r="AX185" s="150"/>
      <c r="AY185" s="150"/>
      <c r="AZ185" s="150"/>
      <c r="BA185" s="150">
        <f t="shared" si="85"/>
        <v>44521</v>
      </c>
      <c r="BB185" s="150"/>
      <c r="BC185" s="150"/>
      <c r="BD185" s="150"/>
      <c r="BE185" s="150"/>
      <c r="BF185" s="150"/>
      <c r="BG185" s="150">
        <f t="shared" si="85"/>
        <v>46057</v>
      </c>
      <c r="BH185" s="150"/>
      <c r="BI185" s="45"/>
      <c r="BJ185" s="45"/>
    </row>
    <row r="186" spans="1:63" s="69" customFormat="1" hidden="1" x14ac:dyDescent="0.25">
      <c r="A186" s="48" t="s">
        <v>104</v>
      </c>
      <c r="B186" s="25"/>
      <c r="C186" s="47"/>
      <c r="D186" s="47"/>
      <c r="E186" s="47"/>
      <c r="F186" s="47"/>
      <c r="G186" s="47"/>
      <c r="H186" s="47"/>
      <c r="I186" s="47"/>
      <c r="J186" s="47"/>
      <c r="K186" s="47"/>
      <c r="L186" s="47"/>
      <c r="M186" s="47"/>
      <c r="N186" s="47"/>
      <c r="O186" s="47"/>
      <c r="P186" s="150">
        <f t="shared" ref="P186:BG186" si="86">P166-(6*7)</f>
        <v>43840</v>
      </c>
      <c r="Q186" s="150">
        <f t="shared" si="86"/>
        <v>43848</v>
      </c>
      <c r="R186" s="150">
        <f t="shared" si="86"/>
        <v>43851</v>
      </c>
      <c r="S186" s="150">
        <f t="shared" si="86"/>
        <v>43853</v>
      </c>
      <c r="T186" s="150">
        <f t="shared" si="86"/>
        <v>43856</v>
      </c>
      <c r="U186" s="150">
        <f t="shared" si="86"/>
        <v>43859</v>
      </c>
      <c r="V186" s="150">
        <f t="shared" si="86"/>
        <v>43862</v>
      </c>
      <c r="W186" s="150">
        <f t="shared" si="86"/>
        <v>43864</v>
      </c>
      <c r="X186" s="150">
        <f t="shared" si="86"/>
        <v>43866</v>
      </c>
      <c r="Y186" s="150">
        <f t="shared" si="86"/>
        <v>43868</v>
      </c>
      <c r="Z186" s="150">
        <f t="shared" si="86"/>
        <v>43870</v>
      </c>
      <c r="AA186" s="150">
        <f t="shared" si="86"/>
        <v>43873</v>
      </c>
      <c r="AB186" s="150">
        <f t="shared" si="86"/>
        <v>43876</v>
      </c>
      <c r="AC186" s="150">
        <f t="shared" si="86"/>
        <v>43881</v>
      </c>
      <c r="AD186" s="150">
        <f t="shared" si="86"/>
        <v>43890</v>
      </c>
      <c r="AE186" s="150"/>
      <c r="AF186" s="150"/>
      <c r="AG186" s="150"/>
      <c r="AH186" s="150">
        <f t="shared" si="86"/>
        <v>43906</v>
      </c>
      <c r="AI186" s="150"/>
      <c r="AJ186" s="150"/>
      <c r="AK186" s="150"/>
      <c r="AL186" s="150">
        <f t="shared" si="86"/>
        <v>43938</v>
      </c>
      <c r="AM186" s="150"/>
      <c r="AN186" s="150"/>
      <c r="AO186" s="150"/>
      <c r="AP186" s="150"/>
      <c r="AQ186" s="150">
        <f t="shared" si="86"/>
        <v>44002</v>
      </c>
      <c r="AR186" s="150"/>
      <c r="AS186" s="150"/>
      <c r="AT186" s="150"/>
      <c r="AU186" s="150"/>
      <c r="AV186" s="150">
        <f t="shared" si="86"/>
        <v>44258</v>
      </c>
      <c r="AW186" s="150"/>
      <c r="AX186" s="150"/>
      <c r="AY186" s="150"/>
      <c r="AZ186" s="150"/>
      <c r="BA186" s="150">
        <f t="shared" si="86"/>
        <v>44514</v>
      </c>
      <c r="BB186" s="150"/>
      <c r="BC186" s="150"/>
      <c r="BD186" s="150"/>
      <c r="BE186" s="150"/>
      <c r="BF186" s="150"/>
      <c r="BG186" s="150">
        <f t="shared" si="86"/>
        <v>46050</v>
      </c>
      <c r="BH186" s="150"/>
      <c r="BI186" s="45"/>
      <c r="BJ186" s="45"/>
    </row>
    <row r="188" spans="1:63" x14ac:dyDescent="0.25">
      <c r="A188" s="53" t="s">
        <v>48</v>
      </c>
      <c r="B188" s="15"/>
      <c r="C188" s="16"/>
      <c r="D188" s="16"/>
      <c r="E188" s="16"/>
      <c r="F188" s="16"/>
      <c r="G188" s="16"/>
      <c r="H188" s="16"/>
      <c r="I188" s="16"/>
      <c r="J188" s="16"/>
      <c r="K188" s="16"/>
      <c r="L188" s="16"/>
      <c r="M188" s="16"/>
      <c r="N188" s="16"/>
      <c r="O188" s="16"/>
    </row>
    <row r="189" spans="1:63" s="69" customFormat="1" x14ac:dyDescent="0.25">
      <c r="A189" s="143" t="s">
        <v>102</v>
      </c>
      <c r="B189" s="25"/>
      <c r="C189" s="47"/>
      <c r="D189" s="47"/>
      <c r="E189" s="47"/>
      <c r="F189" s="47"/>
      <c r="G189" s="47"/>
      <c r="H189" s="47"/>
      <c r="I189" s="47"/>
      <c r="J189" s="47"/>
      <c r="K189" s="47"/>
      <c r="L189" s="47"/>
      <c r="M189" s="47"/>
      <c r="N189" s="47"/>
      <c r="O189" s="47"/>
      <c r="P189" s="141">
        <f t="shared" ref="P189:BH189" si="87">(P166-$B$163)/7</f>
        <v>4.4285714285714288</v>
      </c>
      <c r="Q189" s="141">
        <f t="shared" si="87"/>
        <v>5.5714285714285712</v>
      </c>
      <c r="R189" s="145">
        <f t="shared" si="87"/>
        <v>6</v>
      </c>
      <c r="S189" s="145">
        <f t="shared" si="87"/>
        <v>6.2857142857142856</v>
      </c>
      <c r="T189" s="141">
        <f t="shared" si="87"/>
        <v>6.7142857142857144</v>
      </c>
      <c r="U189" s="145">
        <f t="shared" si="87"/>
        <v>7.1428571428571432</v>
      </c>
      <c r="V189" s="141">
        <f t="shared" si="87"/>
        <v>7.5714285714285712</v>
      </c>
      <c r="W189" s="145">
        <f t="shared" si="87"/>
        <v>7.8571428571428568</v>
      </c>
      <c r="X189" s="145">
        <f t="shared" si="87"/>
        <v>8.1428571428571423</v>
      </c>
      <c r="Y189" s="142">
        <f t="shared" si="87"/>
        <v>8.4285714285714288</v>
      </c>
      <c r="Z189" s="145">
        <f t="shared" si="87"/>
        <v>8.7142857142857135</v>
      </c>
      <c r="AA189" s="145">
        <f t="shared" si="87"/>
        <v>9.1428571428571423</v>
      </c>
      <c r="AB189" s="141">
        <f t="shared" si="87"/>
        <v>9.5714285714285712</v>
      </c>
      <c r="AC189" s="142">
        <f t="shared" si="87"/>
        <v>10.285714285714286</v>
      </c>
      <c r="AD189" s="142">
        <f t="shared" si="87"/>
        <v>11.571428571428571</v>
      </c>
      <c r="AE189" s="144">
        <f t="shared" ref="AE189:AG189" si="88">(AE166-$B$163)/7</f>
        <v>12.142857142857142</v>
      </c>
      <c r="AF189" s="144">
        <f t="shared" si="88"/>
        <v>12.714285714285714</v>
      </c>
      <c r="AG189" s="144">
        <f t="shared" si="88"/>
        <v>13.285714285714286</v>
      </c>
      <c r="AH189" s="144">
        <f t="shared" si="87"/>
        <v>13.857142857142858</v>
      </c>
      <c r="AI189" s="144">
        <f t="shared" ref="AI189:AK189" si="89">(AI166-$B$163)/7</f>
        <v>15.319999999999709</v>
      </c>
      <c r="AJ189" s="144">
        <f t="shared" si="89"/>
        <v>16.142857142857142</v>
      </c>
      <c r="AK189" s="144">
        <f t="shared" si="89"/>
        <v>17.285714285714285</v>
      </c>
      <c r="AL189" s="144">
        <f t="shared" si="87"/>
        <v>18.428571428571427</v>
      </c>
      <c r="AM189" s="142">
        <f t="shared" ref="AM189:AP189" si="90">(AM166-$B$163)/7</f>
        <v>20.257142857143272</v>
      </c>
      <c r="AN189" s="142">
        <f t="shared" si="90"/>
        <v>22.085714285714079</v>
      </c>
      <c r="AO189" s="142">
        <f t="shared" si="90"/>
        <v>23.914285714285921</v>
      </c>
      <c r="AP189" s="142">
        <f t="shared" si="90"/>
        <v>25.742857142856728</v>
      </c>
      <c r="AQ189" s="142">
        <f t="shared" si="87"/>
        <v>27.571428571428573</v>
      </c>
      <c r="AR189" s="144">
        <f t="shared" ref="AR189:AU189" si="91">(AR166-$B$163)/7</f>
        <v>34.885714285713867</v>
      </c>
      <c r="AS189" s="144">
        <f t="shared" si="91"/>
        <v>42.200000000000209</v>
      </c>
      <c r="AT189" s="144">
        <f t="shared" si="91"/>
        <v>49.514285714285506</v>
      </c>
      <c r="AU189" s="144">
        <f t="shared" si="91"/>
        <v>56.828571428571841</v>
      </c>
      <c r="AV189" s="144">
        <f t="shared" si="87"/>
        <v>64.142857142857139</v>
      </c>
      <c r="AW189" s="141">
        <f t="shared" ref="AW189:AZ189" si="92">(AW166-$B$163)/7</f>
        <v>71.457142857142443</v>
      </c>
      <c r="AX189" s="141">
        <f t="shared" si="92"/>
        <v>78.771428571428785</v>
      </c>
      <c r="AY189" s="141">
        <f t="shared" si="92"/>
        <v>86.085714285714076</v>
      </c>
      <c r="AZ189" s="141">
        <f t="shared" si="92"/>
        <v>93.400000000000418</v>
      </c>
      <c r="BA189" s="141">
        <f t="shared" si="87"/>
        <v>100.71428571428571</v>
      </c>
      <c r="BB189" s="141">
        <f t="shared" ref="BB189:BF189" si="93">(BB166-$B$163)/7</f>
        <v>137.28571428571428</v>
      </c>
      <c r="BC189" s="141">
        <f t="shared" si="93"/>
        <v>173.85714285714286</v>
      </c>
      <c r="BD189" s="141">
        <f t="shared" si="93"/>
        <v>210.42857142857142</v>
      </c>
      <c r="BE189" s="141">
        <f t="shared" si="93"/>
        <v>247</v>
      </c>
      <c r="BF189" s="141">
        <f t="shared" si="93"/>
        <v>283.57142857142856</v>
      </c>
      <c r="BG189" s="144">
        <f t="shared" si="87"/>
        <v>320.14285714285717</v>
      </c>
      <c r="BH189" s="144">
        <f t="shared" si="87"/>
        <v>328.14285714285717</v>
      </c>
    </row>
    <row r="190" spans="1:63" s="69" customFormat="1" x14ac:dyDescent="0.25">
      <c r="A190" s="143" t="s">
        <v>101</v>
      </c>
      <c r="B190" s="25"/>
      <c r="C190" s="47"/>
      <c r="D190" s="47"/>
      <c r="E190" s="47"/>
      <c r="F190" s="47"/>
      <c r="G190" s="47"/>
      <c r="H190" s="47"/>
      <c r="I190" s="47"/>
      <c r="J190" s="47"/>
      <c r="K190" s="47"/>
      <c r="L190" s="47"/>
      <c r="M190" s="47"/>
      <c r="N190" s="47"/>
      <c r="O190" s="47"/>
      <c r="P190" s="269">
        <f>P166-$B$163</f>
        <v>31</v>
      </c>
      <c r="Q190" s="234">
        <f t="shared" ref="Q190:U190" si="94">Q166-$B$163</f>
        <v>39</v>
      </c>
      <c r="R190" s="234">
        <f t="shared" si="94"/>
        <v>42</v>
      </c>
      <c r="S190" s="234">
        <f t="shared" si="94"/>
        <v>44</v>
      </c>
      <c r="T190" s="234">
        <f t="shared" si="94"/>
        <v>47</v>
      </c>
      <c r="U190" s="234">
        <f t="shared" si="94"/>
        <v>50</v>
      </c>
      <c r="V190" s="234">
        <f>V166-$B$163</f>
        <v>53</v>
      </c>
      <c r="W190" s="234">
        <f t="shared" ref="W190:BH190" si="95">W166-$B$163</f>
        <v>55</v>
      </c>
      <c r="X190" s="234">
        <f t="shared" si="95"/>
        <v>57</v>
      </c>
      <c r="Y190" s="234">
        <f t="shared" si="95"/>
        <v>59</v>
      </c>
      <c r="Z190" s="234">
        <f t="shared" si="95"/>
        <v>61</v>
      </c>
      <c r="AA190" s="234">
        <f t="shared" si="95"/>
        <v>64</v>
      </c>
      <c r="AB190" s="234">
        <f t="shared" si="95"/>
        <v>67</v>
      </c>
      <c r="AC190" s="234">
        <f t="shared" si="95"/>
        <v>72</v>
      </c>
      <c r="AD190" s="234">
        <f t="shared" si="95"/>
        <v>81</v>
      </c>
      <c r="AE190" s="234">
        <f t="shared" ref="AE190:AG190" si="96">AE166-$B$163</f>
        <v>85</v>
      </c>
      <c r="AF190" s="234">
        <f t="shared" si="96"/>
        <v>89</v>
      </c>
      <c r="AG190" s="234">
        <f t="shared" si="96"/>
        <v>93</v>
      </c>
      <c r="AH190" s="234">
        <f t="shared" si="95"/>
        <v>97</v>
      </c>
      <c r="AI190" s="234">
        <f t="shared" ref="AI190:AK190" si="97">AI166-$B$163</f>
        <v>107.23999999999796</v>
      </c>
      <c r="AJ190" s="234">
        <f t="shared" si="97"/>
        <v>113</v>
      </c>
      <c r="AK190" s="234">
        <f t="shared" si="97"/>
        <v>121</v>
      </c>
      <c r="AL190" s="234">
        <f t="shared" si="95"/>
        <v>129</v>
      </c>
      <c r="AM190" s="234">
        <f t="shared" ref="AM190:AP190" si="98">AM166-$B$163</f>
        <v>141.80000000000291</v>
      </c>
      <c r="AN190" s="234">
        <f t="shared" si="98"/>
        <v>154.59999999999854</v>
      </c>
      <c r="AO190" s="234">
        <f t="shared" si="98"/>
        <v>167.40000000000146</v>
      </c>
      <c r="AP190" s="234">
        <f t="shared" si="98"/>
        <v>180.19999999999709</v>
      </c>
      <c r="AQ190" s="234">
        <f t="shared" si="95"/>
        <v>193</v>
      </c>
      <c r="AR190" s="234">
        <f t="shared" ref="AR190:AU190" si="99">AR166-$B$163</f>
        <v>244.19999999999709</v>
      </c>
      <c r="AS190" s="234">
        <f t="shared" si="99"/>
        <v>295.40000000000146</v>
      </c>
      <c r="AT190" s="234">
        <f t="shared" si="99"/>
        <v>346.59999999999854</v>
      </c>
      <c r="AU190" s="234">
        <f t="shared" si="99"/>
        <v>397.80000000000291</v>
      </c>
      <c r="AV190" s="234">
        <f t="shared" si="95"/>
        <v>449</v>
      </c>
      <c r="AW190" s="235">
        <f t="shared" ref="AW190:AZ190" si="100">AW166-$B$163</f>
        <v>500.19999999999709</v>
      </c>
      <c r="AX190" s="235">
        <f t="shared" si="100"/>
        <v>551.40000000000146</v>
      </c>
      <c r="AY190" s="235">
        <f t="shared" si="100"/>
        <v>602.59999999999854</v>
      </c>
      <c r="AZ190" s="235">
        <f t="shared" si="100"/>
        <v>653.80000000000291</v>
      </c>
      <c r="BA190" s="235">
        <f t="shared" si="95"/>
        <v>705</v>
      </c>
      <c r="BB190" s="262">
        <f t="shared" ref="BB190:BF190" si="101">BB166-$B$163</f>
        <v>961</v>
      </c>
      <c r="BC190" s="191">
        <f t="shared" si="101"/>
        <v>1217</v>
      </c>
      <c r="BD190" s="191">
        <f t="shared" si="101"/>
        <v>1473</v>
      </c>
      <c r="BE190" s="191">
        <f t="shared" si="101"/>
        <v>1729</v>
      </c>
      <c r="BF190" s="191">
        <f t="shared" si="101"/>
        <v>1985</v>
      </c>
      <c r="BG190" s="191">
        <f t="shared" si="95"/>
        <v>2241</v>
      </c>
      <c r="BH190" s="191">
        <f t="shared" si="95"/>
        <v>2297</v>
      </c>
    </row>
    <row r="191" spans="1:63" x14ac:dyDescent="0.25">
      <c r="A191" s="41" t="s">
        <v>42</v>
      </c>
      <c r="B191" s="16"/>
      <c r="C191" s="16"/>
      <c r="D191" s="16"/>
      <c r="E191" s="16"/>
      <c r="F191" s="16"/>
      <c r="G191" s="16"/>
      <c r="H191" s="16"/>
      <c r="I191" s="16"/>
      <c r="J191" s="16"/>
      <c r="K191" s="16"/>
      <c r="L191" s="16"/>
      <c r="M191" s="16"/>
      <c r="N191" s="16"/>
      <c r="O191" s="16"/>
      <c r="P191" s="146">
        <v>35</v>
      </c>
      <c r="Q191" s="147">
        <v>68</v>
      </c>
      <c r="R191" s="148">
        <v>124</v>
      </c>
      <c r="S191" s="148">
        <v>221</v>
      </c>
      <c r="T191" s="148">
        <v>541</v>
      </c>
      <c r="U191" s="148">
        <v>1301</v>
      </c>
      <c r="V191" s="148">
        <v>2771</v>
      </c>
      <c r="W191" s="148">
        <v>4604</v>
      </c>
      <c r="X191" s="148">
        <v>9317</v>
      </c>
      <c r="Y191" s="148">
        <v>19551</v>
      </c>
      <c r="Z191" s="148">
        <v>33840</v>
      </c>
      <c r="AA191" s="148">
        <v>68905</v>
      </c>
      <c r="AB191" s="148">
        <v>124788</v>
      </c>
      <c r="AC191" s="148">
        <v>250708</v>
      </c>
      <c r="AD191" s="148">
        <v>539942</v>
      </c>
      <c r="AE191" s="148">
        <v>652474</v>
      </c>
      <c r="AF191" s="148">
        <v>770014</v>
      </c>
      <c r="AG191" s="148">
        <v>886274</v>
      </c>
      <c r="AH191" s="148">
        <v>1010356</v>
      </c>
      <c r="AI191" s="148">
        <v>1292623</v>
      </c>
      <c r="AJ191" s="183">
        <f t="shared" ref="AJ191:AK191" si="102">AJ167</f>
        <v>1536000</v>
      </c>
      <c r="AK191" s="183">
        <f t="shared" si="102"/>
        <v>1792000</v>
      </c>
      <c r="AL191" s="183">
        <f>AL167</f>
        <v>2048000</v>
      </c>
      <c r="AM191" s="183">
        <f t="shared" ref="AM191:AP191" si="103">AH191*2</f>
        <v>2020712</v>
      </c>
      <c r="AN191" s="183">
        <f t="shared" si="103"/>
        <v>2585246</v>
      </c>
      <c r="AO191" s="183">
        <f t="shared" si="103"/>
        <v>3072000</v>
      </c>
      <c r="AP191" s="183">
        <f t="shared" si="103"/>
        <v>3584000</v>
      </c>
      <c r="AQ191" s="183">
        <f>AL191*2</f>
        <v>4096000</v>
      </c>
      <c r="AR191" s="183">
        <f t="shared" ref="AR191:AU191" si="104">AM191*2</f>
        <v>4041424</v>
      </c>
      <c r="AS191" s="183">
        <f t="shared" si="104"/>
        <v>5170492</v>
      </c>
      <c r="AT191" s="183">
        <f t="shared" si="104"/>
        <v>6144000</v>
      </c>
      <c r="AU191" s="183">
        <f t="shared" si="104"/>
        <v>7168000</v>
      </c>
      <c r="AV191" s="183">
        <f>AQ191*2</f>
        <v>8192000</v>
      </c>
      <c r="AW191" s="183">
        <f t="shared" ref="AW191:AZ191" si="105">AR191*2</f>
        <v>8082848</v>
      </c>
      <c r="AX191" s="183">
        <f t="shared" si="105"/>
        <v>10340984</v>
      </c>
      <c r="AY191" s="183">
        <f t="shared" si="105"/>
        <v>12288000</v>
      </c>
      <c r="AZ191" s="183">
        <f t="shared" si="105"/>
        <v>14336000</v>
      </c>
      <c r="BA191" s="183">
        <f>AV191*2</f>
        <v>16384000</v>
      </c>
      <c r="BB191" s="187">
        <f t="shared" ref="BB191" si="106">BA191*2</f>
        <v>32768000</v>
      </c>
      <c r="BC191" s="187">
        <f t="shared" ref="BC191" si="107">BB191*2</f>
        <v>65536000</v>
      </c>
      <c r="BD191" s="187">
        <f t="shared" ref="BD191" si="108">BC191*2</f>
        <v>131072000</v>
      </c>
      <c r="BE191" s="187">
        <f t="shared" ref="BE191" si="109">BD191*2</f>
        <v>262144000</v>
      </c>
      <c r="BF191" s="187">
        <f t="shared" ref="BF191" si="110">BE191*2</f>
        <v>524288000</v>
      </c>
      <c r="BG191" s="187">
        <f>BG167</f>
        <v>330565500</v>
      </c>
      <c r="BH191" s="188">
        <f>BG167</f>
        <v>330565500</v>
      </c>
    </row>
    <row r="192" spans="1:63" x14ac:dyDescent="0.25">
      <c r="A192" s="41" t="s">
        <v>157</v>
      </c>
      <c r="B192" s="16"/>
      <c r="C192" s="16"/>
      <c r="D192" s="16"/>
      <c r="E192" s="16"/>
      <c r="F192" s="16"/>
      <c r="G192" s="16"/>
      <c r="H192" s="16"/>
      <c r="I192" s="16"/>
      <c r="J192" s="16"/>
      <c r="K192" s="16"/>
      <c r="L192" s="16"/>
      <c r="M192" s="16"/>
      <c r="N192" s="16"/>
      <c r="O192" s="16"/>
      <c r="P192" s="194">
        <f>(P166-B163)/(LOG(P191/1)/LOG(2))</f>
        <v>6.0437296787073755</v>
      </c>
      <c r="Q192" s="174">
        <f>(Q166-$P$166)/(LOG(Q191/$P$191)/LOG(2))</f>
        <v>8.3491634837954933</v>
      </c>
      <c r="R192" s="174">
        <f t="shared" ref="R192:BH192" si="111">(R166-$P$166)/(LOG(R191/$P$191)/LOG(2))</f>
        <v>6.0276836381926202</v>
      </c>
      <c r="S192" s="174">
        <f t="shared" si="111"/>
        <v>4.8897556767514709</v>
      </c>
      <c r="T192" s="174">
        <f t="shared" si="111"/>
        <v>4.0504260147273037</v>
      </c>
      <c r="U192" s="174">
        <f t="shared" si="111"/>
        <v>3.6425526786068976</v>
      </c>
      <c r="V192" s="174">
        <f t="shared" si="111"/>
        <v>3.4882386226134869</v>
      </c>
      <c r="W192" s="174">
        <f t="shared" si="111"/>
        <v>3.4093867599891814</v>
      </c>
      <c r="X192" s="174">
        <f t="shared" si="111"/>
        <v>3.2272612172752644</v>
      </c>
      <c r="Y192" s="174">
        <f t="shared" si="111"/>
        <v>3.0682672712732586</v>
      </c>
      <c r="Z192" s="174">
        <f t="shared" si="111"/>
        <v>3.0250599197351313</v>
      </c>
      <c r="AA192" s="174">
        <f t="shared" si="111"/>
        <v>3.0156159459256791</v>
      </c>
      <c r="AB192" s="174">
        <f t="shared" si="111"/>
        <v>3.0508896880563214</v>
      </c>
      <c r="AC192" s="174">
        <f t="shared" si="111"/>
        <v>3.201532865133665</v>
      </c>
      <c r="AD192" s="174">
        <f t="shared" si="111"/>
        <v>3.5937194117521298</v>
      </c>
      <c r="AE192" s="174">
        <f t="shared" si="111"/>
        <v>3.8064952970597021</v>
      </c>
      <c r="AF192" s="174">
        <f t="shared" si="111"/>
        <v>4.020729736229403</v>
      </c>
      <c r="AG192" s="174">
        <f t="shared" si="111"/>
        <v>4.2384148703141689</v>
      </c>
      <c r="AH192" s="174">
        <f t="shared" ref="AH192:AK192" si="112">(AH166-$P$166)/(LOG(AH191/$P$191)/LOG(2))</f>
        <v>4.4542981107309165</v>
      </c>
      <c r="AI192" s="174">
        <f t="shared" si="112"/>
        <v>5.0248516880461835</v>
      </c>
      <c r="AJ192" s="184">
        <f t="shared" si="112"/>
        <v>5.3172643810778863</v>
      </c>
      <c r="AK192" s="184">
        <f t="shared" si="112"/>
        <v>5.7530572327062561</v>
      </c>
      <c r="AL192" s="184">
        <f t="shared" si="111"/>
        <v>6.1882355416328014</v>
      </c>
      <c r="AM192" s="184">
        <f t="shared" ref="AM192:AP192" si="113">(AM166-$P$166)/(LOG(AM191/$P$191)/LOG(2))</f>
        <v>7.005054963336975</v>
      </c>
      <c r="AN192" s="184">
        <f t="shared" si="113"/>
        <v>7.6425620147150815</v>
      </c>
      <c r="AO192" s="184">
        <f t="shared" si="113"/>
        <v>8.3062022925239791</v>
      </c>
      <c r="AP192" s="184">
        <f t="shared" si="113"/>
        <v>8.9642687547167839</v>
      </c>
      <c r="AQ192" s="184">
        <f t="shared" si="111"/>
        <v>9.6219515815096521</v>
      </c>
      <c r="AR192" s="184">
        <f t="shared" ref="AR192:AU192" si="114">(AR166-$P$166)/(LOG(AR191/$P$191)/LOG(2))</f>
        <v>12.67753509090236</v>
      </c>
      <c r="AS192" s="184">
        <f t="shared" si="114"/>
        <v>15.396631745608092</v>
      </c>
      <c r="AT192" s="184">
        <f t="shared" si="114"/>
        <v>18.115584556778611</v>
      </c>
      <c r="AU192" s="184">
        <f t="shared" si="114"/>
        <v>20.789106193949667</v>
      </c>
      <c r="AV192" s="184">
        <f t="shared" si="111"/>
        <v>23.435089299522666</v>
      </c>
      <c r="AW192" s="184">
        <f t="shared" ref="AW192:AZ192" si="115">(AW166-$P$166)/(LOG(AW191/$P$191)/LOG(2))</f>
        <v>26.334179103989193</v>
      </c>
      <c r="AX192" s="184">
        <f t="shared" si="115"/>
        <v>28.636539012018329</v>
      </c>
      <c r="AY192" s="184">
        <f t="shared" si="115"/>
        <v>31.0290217533814</v>
      </c>
      <c r="AZ192" s="184">
        <f t="shared" si="115"/>
        <v>33.405106414711533</v>
      </c>
      <c r="BA192" s="184">
        <f t="shared" si="111"/>
        <v>35.781591837075005</v>
      </c>
      <c r="BB192" s="189">
        <f t="shared" ref="BB192" si="116">(BB166-$P$166)/(LOG(BB191/$P$191)/LOG(2))</f>
        <v>46.883267742055239</v>
      </c>
      <c r="BC192" s="189">
        <f t="shared" ref="BC192" si="117">(BC166-$P$166)/(LOG(BC191/$P$191)/LOG(2))</f>
        <v>56.919344796024866</v>
      </c>
      <c r="BD192" s="189">
        <f t="shared" ref="BD192" si="118">(BD166-$P$166)/(LOG(BD191/$P$191)/LOG(2))</f>
        <v>66.036219920076633</v>
      </c>
      <c r="BE192" s="189">
        <f t="shared" ref="BE192" si="119">(BE166-$P$166)/(LOG(BE191/$P$191)/LOG(2))</f>
        <v>74.35464741704466</v>
      </c>
      <c r="BF192" s="189">
        <f t="shared" ref="BF192" si="120">(BF166-$P$166)/(LOG(BF191/$P$191)/LOG(2))</f>
        <v>81.975117826809281</v>
      </c>
      <c r="BG192" s="189">
        <f t="shared" si="111"/>
        <v>95.377522315434575</v>
      </c>
      <c r="BH192" s="190">
        <f t="shared" si="111"/>
        <v>97.794328310757805</v>
      </c>
    </row>
    <row r="193" spans="1:60" x14ac:dyDescent="0.25">
      <c r="A193" s="41" t="s">
        <v>194</v>
      </c>
      <c r="B193" s="16"/>
      <c r="C193" s="16"/>
      <c r="D193" s="16"/>
      <c r="E193" s="16"/>
      <c r="F193" s="16"/>
      <c r="G193" s="16"/>
      <c r="H193" s="16"/>
      <c r="I193" s="16"/>
      <c r="J193" s="16"/>
      <c r="K193" s="16"/>
      <c r="L193" s="16"/>
      <c r="M193" s="16"/>
      <c r="N193" s="16"/>
      <c r="O193" s="16"/>
      <c r="P193" s="266">
        <v>14</v>
      </c>
      <c r="Q193" s="263">
        <v>51</v>
      </c>
      <c r="R193" s="263">
        <v>70</v>
      </c>
      <c r="S193" s="263">
        <v>102</v>
      </c>
      <c r="T193" s="263">
        <v>246</v>
      </c>
      <c r="U193" s="263">
        <v>608</v>
      </c>
      <c r="V193" s="263">
        <v>1390</v>
      </c>
      <c r="W193" s="263">
        <v>2355</v>
      </c>
      <c r="X193" s="263">
        <v>4207</v>
      </c>
      <c r="Y193" s="263">
        <v>8341</v>
      </c>
      <c r="Z193" s="263">
        <v>15608</v>
      </c>
      <c r="AA193" s="263">
        <v>36304</v>
      </c>
      <c r="AB193" s="263">
        <v>71401</v>
      </c>
      <c r="AC193" s="263">
        <v>161932</v>
      </c>
      <c r="AD193" s="263">
        <v>400623</v>
      </c>
      <c r="AE193" s="263">
        <v>505584</v>
      </c>
      <c r="AF193" s="263">
        <v>593640</v>
      </c>
      <c r="AG193" s="263">
        <v>680047</v>
      </c>
      <c r="AH193" s="263">
        <v>763531</v>
      </c>
      <c r="AI193" s="263">
        <v>998445</v>
      </c>
      <c r="AJ193" s="267"/>
      <c r="AK193" s="267"/>
      <c r="AL193" s="267"/>
      <c r="AM193" s="267"/>
      <c r="AN193" s="267"/>
      <c r="AO193" s="267"/>
      <c r="AP193" s="267"/>
      <c r="AQ193" s="267"/>
      <c r="AR193" s="267"/>
      <c r="AS193" s="267"/>
      <c r="AT193" s="267"/>
      <c r="AU193" s="267"/>
      <c r="AV193" s="267"/>
      <c r="AW193" s="267"/>
      <c r="AX193" s="267"/>
      <c r="AY193" s="267"/>
      <c r="AZ193" s="267"/>
      <c r="BA193" s="267"/>
      <c r="BB193" s="189"/>
      <c r="BC193" s="189"/>
      <c r="BD193" s="189"/>
      <c r="BE193" s="189"/>
      <c r="BF193" s="189"/>
      <c r="BG193" s="189"/>
      <c r="BH193" s="190"/>
    </row>
    <row r="194" spans="1:60" x14ac:dyDescent="0.25">
      <c r="A194" s="41" t="s">
        <v>63</v>
      </c>
      <c r="B194" s="16"/>
      <c r="C194" s="16"/>
      <c r="D194" s="16"/>
      <c r="E194" s="16"/>
      <c r="F194" s="16"/>
      <c r="G194" s="16"/>
      <c r="H194" s="16"/>
      <c r="I194" s="16"/>
      <c r="J194" s="16"/>
      <c r="K194" s="16"/>
      <c r="L194" s="16"/>
      <c r="M194" s="16"/>
      <c r="N194" s="16"/>
      <c r="O194" s="16"/>
      <c r="P194" s="233">
        <f>P191-P195-P193</f>
        <v>21</v>
      </c>
      <c r="Q194" s="149">
        <f t="shared" ref="Q194:AE194" si="121">Q191-Q195-Q193</f>
        <v>16</v>
      </c>
      <c r="R194" s="149">
        <f t="shared" si="121"/>
        <v>45</v>
      </c>
      <c r="S194" s="149">
        <f t="shared" si="121"/>
        <v>107</v>
      </c>
      <c r="T194" s="149">
        <f t="shared" si="121"/>
        <v>273</v>
      </c>
      <c r="U194" s="149">
        <f t="shared" si="121"/>
        <v>655</v>
      </c>
      <c r="V194" s="149">
        <f t="shared" si="121"/>
        <v>1323</v>
      </c>
      <c r="W194" s="149">
        <f t="shared" si="121"/>
        <v>2154</v>
      </c>
      <c r="X194" s="149">
        <f t="shared" si="121"/>
        <v>4939</v>
      </c>
      <c r="Y194" s="149">
        <f t="shared" si="121"/>
        <v>10901</v>
      </c>
      <c r="Z194" s="149">
        <f t="shared" si="121"/>
        <v>17723</v>
      </c>
      <c r="AA194" s="149">
        <f t="shared" si="121"/>
        <v>31341</v>
      </c>
      <c r="AB194" s="149">
        <f t="shared" si="121"/>
        <v>50633</v>
      </c>
      <c r="AC194" s="149">
        <f t="shared" si="121"/>
        <v>81200</v>
      </c>
      <c r="AD194" s="149">
        <f t="shared" si="121"/>
        <v>115257</v>
      </c>
      <c r="AE194" s="149">
        <f t="shared" si="121"/>
        <v>114178</v>
      </c>
      <c r="AF194" s="149">
        <f t="shared" ref="AF194:AH194" si="122">AF191-AF195-AF193</f>
        <v>135473</v>
      </c>
      <c r="AG194" s="149">
        <f t="shared" si="122"/>
        <v>155993</v>
      </c>
      <c r="AH194" s="149">
        <f t="shared" si="122"/>
        <v>190030</v>
      </c>
      <c r="AI194" s="149">
        <f t="shared" ref="AI194" si="123">AI191-AI195-AI193</f>
        <v>217250</v>
      </c>
      <c r="AJ194" s="253"/>
      <c r="AK194" s="253"/>
      <c r="AL194" s="253"/>
      <c r="AM194" s="185"/>
      <c r="AN194" s="185"/>
      <c r="AO194" s="185"/>
      <c r="AP194" s="185"/>
      <c r="AQ194" s="185"/>
      <c r="AR194" s="185"/>
      <c r="AS194" s="185"/>
      <c r="AT194" s="185"/>
      <c r="AU194" s="185"/>
      <c r="AV194" s="185"/>
      <c r="AW194" s="185"/>
      <c r="AX194" s="185"/>
      <c r="AY194" s="185"/>
      <c r="AZ194" s="185"/>
      <c r="BA194" s="185"/>
      <c r="BB194" s="187"/>
      <c r="BC194" s="107"/>
      <c r="BD194" s="107"/>
      <c r="BE194" s="107"/>
      <c r="BF194" s="107"/>
      <c r="BG194" s="107"/>
      <c r="BH194" s="108"/>
    </row>
    <row r="195" spans="1:60" x14ac:dyDescent="0.25">
      <c r="A195" s="49" t="s">
        <v>43</v>
      </c>
      <c r="B195" s="38"/>
      <c r="C195" s="39"/>
      <c r="D195" s="39"/>
      <c r="E195" s="39"/>
      <c r="F195" s="39"/>
      <c r="G195" s="39"/>
      <c r="H195" s="39"/>
      <c r="I195" s="39"/>
      <c r="J195" s="39"/>
      <c r="K195" s="39"/>
      <c r="L195" s="39"/>
      <c r="M195" s="39"/>
      <c r="N195" s="39"/>
      <c r="O195" s="39"/>
      <c r="P195" s="67">
        <v>0</v>
      </c>
      <c r="Q195" s="68">
        <v>1</v>
      </c>
      <c r="R195" s="52">
        <v>9</v>
      </c>
      <c r="S195" s="52">
        <v>12</v>
      </c>
      <c r="T195" s="52">
        <v>22</v>
      </c>
      <c r="U195" s="52">
        <v>38</v>
      </c>
      <c r="V195" s="52">
        <v>58</v>
      </c>
      <c r="W195" s="52">
        <v>95</v>
      </c>
      <c r="X195" s="52">
        <v>171</v>
      </c>
      <c r="Y195" s="52">
        <v>309</v>
      </c>
      <c r="Z195" s="52">
        <v>509</v>
      </c>
      <c r="AA195" s="52">
        <v>1260</v>
      </c>
      <c r="AB195" s="52">
        <v>2754</v>
      </c>
      <c r="AC195" s="52">
        <v>7576</v>
      </c>
      <c r="AD195" s="52">
        <v>24062</v>
      </c>
      <c r="AE195" s="52">
        <v>32712</v>
      </c>
      <c r="AF195" s="52">
        <v>40901</v>
      </c>
      <c r="AG195" s="52">
        <v>50234</v>
      </c>
      <c r="AH195" s="52">
        <v>56795</v>
      </c>
      <c r="AI195" s="52">
        <v>76928</v>
      </c>
      <c r="AJ195" s="254"/>
      <c r="AK195" s="254"/>
      <c r="AL195" s="254"/>
      <c r="AM195" s="186"/>
      <c r="AN195" s="186"/>
      <c r="AO195" s="186"/>
      <c r="AP195" s="186"/>
      <c r="AQ195" s="186"/>
      <c r="AR195" s="186"/>
      <c r="AS195" s="186"/>
      <c r="AT195" s="186"/>
      <c r="AU195" s="186"/>
      <c r="AV195" s="186"/>
      <c r="AW195" s="186"/>
      <c r="AX195" s="186"/>
      <c r="AY195" s="186"/>
      <c r="AZ195" s="186"/>
      <c r="BA195" s="186"/>
      <c r="BB195" s="187"/>
      <c r="BC195" s="107"/>
      <c r="BD195" s="107"/>
      <c r="BE195" s="107"/>
      <c r="BF195" s="107"/>
      <c r="BG195" s="107"/>
      <c r="BH195" s="108"/>
    </row>
    <row r="196" spans="1:60" x14ac:dyDescent="0.25">
      <c r="B196" s="3"/>
      <c r="P196" s="35"/>
      <c r="Q196" s="35"/>
      <c r="R196" s="35"/>
      <c r="S196" s="35"/>
      <c r="T196" s="35"/>
      <c r="U196" s="35"/>
      <c r="V196" s="35"/>
      <c r="W196" s="35"/>
      <c r="X196" s="35"/>
      <c r="Y196" s="35"/>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row>
    <row r="197" spans="1:60" x14ac:dyDescent="0.25">
      <c r="A197" s="74" t="s">
        <v>49</v>
      </c>
      <c r="AQ197" s="16"/>
      <c r="AR197" s="16"/>
      <c r="AS197" s="16"/>
      <c r="AT197" s="16"/>
      <c r="AU197" s="16"/>
    </row>
    <row r="198" spans="1:60" x14ac:dyDescent="0.25">
      <c r="A198" s="4" t="s">
        <v>0</v>
      </c>
      <c r="B198" s="193" t="s">
        <v>118</v>
      </c>
      <c r="C198" s="5" t="s">
        <v>3</v>
      </c>
      <c r="D198" s="193" t="s">
        <v>51</v>
      </c>
      <c r="E198" s="58" t="s">
        <v>2</v>
      </c>
      <c r="F198" s="9" t="s">
        <v>3</v>
      </c>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5"/>
      <c r="BH198" s="47"/>
    </row>
    <row r="199" spans="1:60" x14ac:dyDescent="0.25">
      <c r="A199" s="41" t="s">
        <v>12</v>
      </c>
      <c r="B199" s="13">
        <f>'Population by Age - Wikipedia'!D41</f>
        <v>3.6394890344941602E-2</v>
      </c>
      <c r="C199" s="12">
        <f>$B$153*B199</f>
        <v>12030895.124320794</v>
      </c>
      <c r="D199" s="22">
        <f>'AU Infection Rate by Age'!C4</f>
        <v>2.8847876724601325E-2</v>
      </c>
      <c r="E199" s="5"/>
      <c r="F199" s="16"/>
      <c r="G199" s="16"/>
      <c r="H199" s="16"/>
      <c r="I199" s="16"/>
      <c r="J199" s="16"/>
      <c r="K199" s="16"/>
      <c r="L199" s="16"/>
      <c r="M199" s="16"/>
      <c r="N199" s="16"/>
      <c r="O199" s="16"/>
      <c r="P199" s="18">
        <f t="shared" ref="P199:BG199" si="124">P$167*$D$199</f>
        <v>0.90149614764379138</v>
      </c>
      <c r="Q199" s="19">
        <f t="shared" si="124"/>
        <v>1.8029922952875828</v>
      </c>
      <c r="R199" s="19">
        <f t="shared" si="124"/>
        <v>3.6059845905751655</v>
      </c>
      <c r="S199" s="19">
        <f t="shared" si="124"/>
        <v>7.211969181150331</v>
      </c>
      <c r="T199" s="19">
        <f t="shared" si="124"/>
        <v>14.423938362300662</v>
      </c>
      <c r="U199" s="19">
        <f t="shared" si="124"/>
        <v>28.847876724601324</v>
      </c>
      <c r="V199" s="19">
        <f t="shared" si="124"/>
        <v>57.695753449202648</v>
      </c>
      <c r="W199" s="19">
        <f t="shared" si="124"/>
        <v>115.3915068984053</v>
      </c>
      <c r="X199" s="19">
        <f t="shared" si="124"/>
        <v>230.78301379681059</v>
      </c>
      <c r="Y199" s="19">
        <f t="shared" si="124"/>
        <v>461.56602759362119</v>
      </c>
      <c r="Z199" s="19">
        <f t="shared" si="124"/>
        <v>923.13205518724237</v>
      </c>
      <c r="AA199" s="19">
        <f t="shared" si="124"/>
        <v>1846.2641103744847</v>
      </c>
      <c r="AB199" s="19">
        <f t="shared" si="124"/>
        <v>3692.5282207489695</v>
      </c>
      <c r="AC199" s="19">
        <f t="shared" si="124"/>
        <v>7385.056441497939</v>
      </c>
      <c r="AD199" s="19">
        <f t="shared" si="124"/>
        <v>14770.112882995878</v>
      </c>
      <c r="AE199" s="19">
        <f t="shared" si="124"/>
        <v>18462.641103744849</v>
      </c>
      <c r="AF199" s="19">
        <f t="shared" si="124"/>
        <v>22155.169324493818</v>
      </c>
      <c r="AG199" s="19">
        <f t="shared" si="124"/>
        <v>25847.697545242787</v>
      </c>
      <c r="AH199" s="19">
        <f t="shared" si="124"/>
        <v>29540.225765991756</v>
      </c>
      <c r="AI199" s="19">
        <f t="shared" si="124"/>
        <v>36925.282207489698</v>
      </c>
      <c r="AJ199" s="19">
        <f t="shared" si="124"/>
        <v>44310.338648987636</v>
      </c>
      <c r="AK199" s="19">
        <f t="shared" si="124"/>
        <v>51695.395090485574</v>
      </c>
      <c r="AL199" s="19">
        <f t="shared" si="124"/>
        <v>59080.451531983512</v>
      </c>
      <c r="AM199" s="19">
        <f t="shared" si="124"/>
        <v>70896.541838380217</v>
      </c>
      <c r="AN199" s="19">
        <f t="shared" si="124"/>
        <v>82712.632144776915</v>
      </c>
      <c r="AO199" s="19">
        <f t="shared" si="124"/>
        <v>94528.722451173628</v>
      </c>
      <c r="AP199" s="19">
        <f t="shared" si="124"/>
        <v>106344.81275757033</v>
      </c>
      <c r="AQ199" s="19">
        <f t="shared" si="124"/>
        <v>118160.90306396702</v>
      </c>
      <c r="AR199" s="19">
        <f t="shared" si="124"/>
        <v>141793.08367676043</v>
      </c>
      <c r="AS199" s="19">
        <f t="shared" si="124"/>
        <v>165425.26428955383</v>
      </c>
      <c r="AT199" s="19">
        <f t="shared" si="124"/>
        <v>189057.44490234726</v>
      </c>
      <c r="AU199" s="19">
        <f t="shared" si="124"/>
        <v>212689.62551514065</v>
      </c>
      <c r="AV199" s="19">
        <f t="shared" si="124"/>
        <v>236321.80612793405</v>
      </c>
      <c r="AW199" s="19">
        <f t="shared" si="124"/>
        <v>283586.16735352087</v>
      </c>
      <c r="AX199" s="19">
        <f t="shared" si="124"/>
        <v>330850.52857910766</v>
      </c>
      <c r="AY199" s="19">
        <f t="shared" si="124"/>
        <v>378114.88980469451</v>
      </c>
      <c r="AZ199" s="19">
        <f t="shared" si="124"/>
        <v>425379.2510302813</v>
      </c>
      <c r="BA199" s="19">
        <f t="shared" si="124"/>
        <v>472643.61225586809</v>
      </c>
      <c r="BB199" s="18">
        <f t="shared" si="124"/>
        <v>945287.22451173619</v>
      </c>
      <c r="BC199" s="19">
        <f t="shared" si="124"/>
        <v>1890574.4490234724</v>
      </c>
      <c r="BD199" s="19">
        <f t="shared" si="124"/>
        <v>3781148.8980469448</v>
      </c>
      <c r="BE199" s="19">
        <f t="shared" si="124"/>
        <v>7562297.7960938895</v>
      </c>
      <c r="BF199" s="19">
        <f t="shared" si="124"/>
        <v>9536112.7934061997</v>
      </c>
      <c r="BG199" s="60">
        <f t="shared" si="124"/>
        <v>9536112.7934061997</v>
      </c>
      <c r="BH199" s="45"/>
    </row>
    <row r="200" spans="1:60" x14ac:dyDescent="0.25">
      <c r="A200" s="41"/>
      <c r="B200" s="6"/>
      <c r="C200" s="10"/>
      <c r="D200" s="8"/>
      <c r="E200" s="27">
        <v>0.14799999999999999</v>
      </c>
      <c r="F200" s="10"/>
      <c r="G200" s="10"/>
      <c r="H200" s="10"/>
      <c r="I200" s="10"/>
      <c r="J200" s="10"/>
      <c r="K200" s="10"/>
      <c r="L200" s="10"/>
      <c r="M200" s="10"/>
      <c r="N200" s="10"/>
      <c r="O200" s="10"/>
      <c r="P200" s="29">
        <f t="shared" ref="P200:BG200" si="125">P$167*$D$199*$E$200</f>
        <v>0.13342142985128111</v>
      </c>
      <c r="Q200" s="30">
        <f t="shared" si="125"/>
        <v>0.26684285970256222</v>
      </c>
      <c r="R200" s="30">
        <f t="shared" si="125"/>
        <v>0.53368571940512444</v>
      </c>
      <c r="S200" s="30">
        <f t="shared" si="125"/>
        <v>1.0673714388102489</v>
      </c>
      <c r="T200" s="30">
        <f t="shared" si="125"/>
        <v>2.1347428776204977</v>
      </c>
      <c r="U200" s="30">
        <f t="shared" si="125"/>
        <v>4.2694857552409955</v>
      </c>
      <c r="V200" s="30">
        <f t="shared" si="125"/>
        <v>8.538971510481991</v>
      </c>
      <c r="W200" s="30">
        <f t="shared" si="125"/>
        <v>17.077943020963982</v>
      </c>
      <c r="X200" s="30">
        <f t="shared" si="125"/>
        <v>34.155886041927964</v>
      </c>
      <c r="Y200" s="30">
        <f t="shared" si="125"/>
        <v>68.311772083855928</v>
      </c>
      <c r="Z200" s="30">
        <f t="shared" si="125"/>
        <v>136.62354416771186</v>
      </c>
      <c r="AA200" s="30">
        <f t="shared" si="125"/>
        <v>273.24708833542371</v>
      </c>
      <c r="AB200" s="30">
        <f t="shared" si="125"/>
        <v>546.49417667084742</v>
      </c>
      <c r="AC200" s="30">
        <f t="shared" si="125"/>
        <v>1092.9883533416948</v>
      </c>
      <c r="AD200" s="30">
        <f t="shared" si="125"/>
        <v>2185.9767066833897</v>
      </c>
      <c r="AE200" s="30">
        <f t="shared" si="125"/>
        <v>2732.4708833542377</v>
      </c>
      <c r="AF200" s="30">
        <f t="shared" si="125"/>
        <v>3278.9650600250848</v>
      </c>
      <c r="AG200" s="30">
        <f t="shared" si="125"/>
        <v>3825.4592366959323</v>
      </c>
      <c r="AH200" s="30">
        <f t="shared" si="125"/>
        <v>4371.9534133667794</v>
      </c>
      <c r="AI200" s="30">
        <f t="shared" si="125"/>
        <v>5464.9417667084754</v>
      </c>
      <c r="AJ200" s="30">
        <f t="shared" si="125"/>
        <v>6557.9301200501695</v>
      </c>
      <c r="AK200" s="30">
        <f t="shared" si="125"/>
        <v>7650.9184733918646</v>
      </c>
      <c r="AL200" s="30">
        <f t="shared" si="125"/>
        <v>8743.9068267335588</v>
      </c>
      <c r="AM200" s="30">
        <f t="shared" si="125"/>
        <v>10492.688192080272</v>
      </c>
      <c r="AN200" s="30">
        <f t="shared" si="125"/>
        <v>12241.469557426983</v>
      </c>
      <c r="AO200" s="30">
        <f t="shared" si="125"/>
        <v>13990.250922773695</v>
      </c>
      <c r="AP200" s="30">
        <f t="shared" si="125"/>
        <v>15739.032288120407</v>
      </c>
      <c r="AQ200" s="30">
        <f t="shared" si="125"/>
        <v>17487.813653467118</v>
      </c>
      <c r="AR200" s="30">
        <f t="shared" si="125"/>
        <v>20985.376384160543</v>
      </c>
      <c r="AS200" s="30">
        <f t="shared" si="125"/>
        <v>24482.939114853965</v>
      </c>
      <c r="AT200" s="30">
        <f t="shared" si="125"/>
        <v>27980.501845547391</v>
      </c>
      <c r="AU200" s="30">
        <f t="shared" si="125"/>
        <v>31478.064576240813</v>
      </c>
      <c r="AV200" s="30">
        <f t="shared" si="125"/>
        <v>34975.627306934235</v>
      </c>
      <c r="AW200" s="30">
        <f t="shared" si="125"/>
        <v>41970.752768321086</v>
      </c>
      <c r="AX200" s="30">
        <f t="shared" si="125"/>
        <v>48965.878229707931</v>
      </c>
      <c r="AY200" s="30">
        <f t="shared" si="125"/>
        <v>55961.003691094782</v>
      </c>
      <c r="AZ200" s="30">
        <f t="shared" si="125"/>
        <v>62956.129152481626</v>
      </c>
      <c r="BA200" s="30">
        <f t="shared" si="125"/>
        <v>69951.25461386847</v>
      </c>
      <c r="BB200" s="29">
        <f t="shared" si="125"/>
        <v>139902.50922773694</v>
      </c>
      <c r="BC200" s="30">
        <f t="shared" si="125"/>
        <v>279805.01845547388</v>
      </c>
      <c r="BD200" s="30">
        <f t="shared" si="125"/>
        <v>559610.03691094776</v>
      </c>
      <c r="BE200" s="30">
        <f t="shared" si="125"/>
        <v>1119220.0738218955</v>
      </c>
      <c r="BF200" s="30">
        <f t="shared" si="125"/>
        <v>1411344.6934241175</v>
      </c>
      <c r="BG200" s="71">
        <f t="shared" si="125"/>
        <v>1411344.6934241175</v>
      </c>
      <c r="BH200" s="45"/>
    </row>
    <row r="201" spans="1:60" x14ac:dyDescent="0.25">
      <c r="A201" s="41" t="s">
        <v>13</v>
      </c>
      <c r="B201" s="6">
        <f>'Population by Age - Wikipedia'!D37</f>
        <v>5.3752877231864643E-2</v>
      </c>
      <c r="C201" s="10">
        <f t="shared" ref="C201:C215" si="126">$B$153*B201</f>
        <v>17768846.73858995</v>
      </c>
      <c r="D201" s="23">
        <f>'AU Infection Rate by Age'!C5</f>
        <v>0.10661171833004837</v>
      </c>
      <c r="E201" s="17"/>
      <c r="F201" s="16"/>
      <c r="G201" s="16"/>
      <c r="H201" s="16"/>
      <c r="I201" s="16"/>
      <c r="J201" s="16"/>
      <c r="K201" s="16"/>
      <c r="L201" s="16"/>
      <c r="M201" s="16"/>
      <c r="N201" s="16"/>
      <c r="O201" s="16"/>
      <c r="P201" s="20">
        <f t="shared" ref="P201:BG201" si="127">P$167*$D$201</f>
        <v>3.3316161978140117</v>
      </c>
      <c r="Q201" s="21">
        <f t="shared" si="127"/>
        <v>6.6632323956280235</v>
      </c>
      <c r="R201" s="21">
        <f t="shared" si="127"/>
        <v>13.326464791256047</v>
      </c>
      <c r="S201" s="21">
        <f t="shared" si="127"/>
        <v>26.652929582512094</v>
      </c>
      <c r="T201" s="21">
        <f t="shared" si="127"/>
        <v>53.305859165024188</v>
      </c>
      <c r="U201" s="21">
        <f t="shared" si="127"/>
        <v>106.61171833004838</v>
      </c>
      <c r="V201" s="21">
        <f t="shared" si="127"/>
        <v>213.22343666009675</v>
      </c>
      <c r="W201" s="21">
        <f t="shared" si="127"/>
        <v>426.4468733201935</v>
      </c>
      <c r="X201" s="21">
        <f t="shared" si="127"/>
        <v>852.89374664038701</v>
      </c>
      <c r="Y201" s="21">
        <f t="shared" si="127"/>
        <v>1705.787493280774</v>
      </c>
      <c r="Z201" s="21">
        <f t="shared" si="127"/>
        <v>3411.574986561548</v>
      </c>
      <c r="AA201" s="21">
        <f t="shared" si="127"/>
        <v>6823.1499731230961</v>
      </c>
      <c r="AB201" s="21">
        <f t="shared" si="127"/>
        <v>13646.299946246192</v>
      </c>
      <c r="AC201" s="21">
        <f t="shared" si="127"/>
        <v>27292.599892492384</v>
      </c>
      <c r="AD201" s="21">
        <f t="shared" si="127"/>
        <v>54585.199784984768</v>
      </c>
      <c r="AE201" s="21">
        <f t="shared" si="127"/>
        <v>68231.499731230957</v>
      </c>
      <c r="AF201" s="21">
        <f t="shared" si="127"/>
        <v>81877.799677477145</v>
      </c>
      <c r="AG201" s="21">
        <f t="shared" si="127"/>
        <v>95524.099623723334</v>
      </c>
      <c r="AH201" s="21">
        <f t="shared" si="127"/>
        <v>109170.39956996954</v>
      </c>
      <c r="AI201" s="21">
        <f t="shared" si="127"/>
        <v>136462.99946246191</v>
      </c>
      <c r="AJ201" s="21">
        <f t="shared" si="127"/>
        <v>163755.59935495429</v>
      </c>
      <c r="AK201" s="21">
        <f t="shared" si="127"/>
        <v>191048.19924744667</v>
      </c>
      <c r="AL201" s="21">
        <f t="shared" si="127"/>
        <v>218340.79913993907</v>
      </c>
      <c r="AM201" s="21">
        <f t="shared" si="127"/>
        <v>262008.95896792688</v>
      </c>
      <c r="AN201" s="21">
        <f t="shared" si="127"/>
        <v>305677.11879591469</v>
      </c>
      <c r="AO201" s="21">
        <f t="shared" si="127"/>
        <v>349345.27862390253</v>
      </c>
      <c r="AP201" s="21">
        <f t="shared" si="127"/>
        <v>393013.43845189031</v>
      </c>
      <c r="AQ201" s="21">
        <f t="shared" si="127"/>
        <v>436681.59827987815</v>
      </c>
      <c r="AR201" s="21">
        <f t="shared" si="127"/>
        <v>524017.91793585377</v>
      </c>
      <c r="AS201" s="21">
        <f t="shared" si="127"/>
        <v>611354.23759182938</v>
      </c>
      <c r="AT201" s="21">
        <f t="shared" si="127"/>
        <v>698690.55724780506</v>
      </c>
      <c r="AU201" s="21">
        <f t="shared" si="127"/>
        <v>786026.87690378062</v>
      </c>
      <c r="AV201" s="21">
        <f t="shared" si="127"/>
        <v>873363.1965597563</v>
      </c>
      <c r="AW201" s="21">
        <f t="shared" si="127"/>
        <v>1048035.8358717075</v>
      </c>
      <c r="AX201" s="21">
        <f t="shared" si="127"/>
        <v>1222708.4751836588</v>
      </c>
      <c r="AY201" s="21">
        <f t="shared" si="127"/>
        <v>1397381.1144956101</v>
      </c>
      <c r="AZ201" s="21">
        <f t="shared" si="127"/>
        <v>1572053.7538075612</v>
      </c>
      <c r="BA201" s="21">
        <f t="shared" si="127"/>
        <v>1746726.3931195126</v>
      </c>
      <c r="BB201" s="20">
        <f t="shared" si="127"/>
        <v>3493452.7862390252</v>
      </c>
      <c r="BC201" s="21">
        <f t="shared" si="127"/>
        <v>6986905.5724780504</v>
      </c>
      <c r="BD201" s="21">
        <f t="shared" si="127"/>
        <v>13973811.144956101</v>
      </c>
      <c r="BE201" s="21">
        <f t="shared" si="127"/>
        <v>27947622.289912201</v>
      </c>
      <c r="BF201" s="21">
        <f t="shared" si="127"/>
        <v>35242155.975631602</v>
      </c>
      <c r="BG201" s="72">
        <f t="shared" si="127"/>
        <v>35242155.975631602</v>
      </c>
      <c r="BH201" s="45"/>
    </row>
    <row r="202" spans="1:60" x14ac:dyDescent="0.25">
      <c r="A202" s="41"/>
      <c r="B202" s="6"/>
      <c r="C202" s="10"/>
      <c r="D202" s="8"/>
      <c r="E202" s="27">
        <v>0.08</v>
      </c>
      <c r="F202" s="10"/>
      <c r="G202" s="10"/>
      <c r="H202" s="10"/>
      <c r="I202" s="10"/>
      <c r="J202" s="10"/>
      <c r="K202" s="10"/>
      <c r="L202" s="10"/>
      <c r="M202" s="10"/>
      <c r="N202" s="10"/>
      <c r="O202" s="10"/>
      <c r="P202" s="29">
        <f t="shared" ref="P202:BG202" si="128">P$167*$D$201*$E$202</f>
        <v>0.26652929582512097</v>
      </c>
      <c r="Q202" s="30">
        <f t="shared" si="128"/>
        <v>0.53305859165024194</v>
      </c>
      <c r="R202" s="30">
        <f t="shared" si="128"/>
        <v>1.0661171833004839</v>
      </c>
      <c r="S202" s="30">
        <f t="shared" si="128"/>
        <v>2.1322343666009678</v>
      </c>
      <c r="T202" s="30">
        <f t="shared" si="128"/>
        <v>4.2644687332019355</v>
      </c>
      <c r="U202" s="30">
        <f t="shared" si="128"/>
        <v>8.5289374664038711</v>
      </c>
      <c r="V202" s="30">
        <f t="shared" si="128"/>
        <v>17.057874932807742</v>
      </c>
      <c r="W202" s="30">
        <f t="shared" si="128"/>
        <v>34.115749865615484</v>
      </c>
      <c r="X202" s="30">
        <f t="shared" si="128"/>
        <v>68.231499731230969</v>
      </c>
      <c r="Y202" s="30">
        <f t="shared" si="128"/>
        <v>136.46299946246194</v>
      </c>
      <c r="Z202" s="30">
        <f t="shared" si="128"/>
        <v>272.92599892492387</v>
      </c>
      <c r="AA202" s="30">
        <f t="shared" si="128"/>
        <v>545.85199784984775</v>
      </c>
      <c r="AB202" s="30">
        <f t="shared" si="128"/>
        <v>1091.7039956996955</v>
      </c>
      <c r="AC202" s="30">
        <f t="shared" si="128"/>
        <v>2183.407991399391</v>
      </c>
      <c r="AD202" s="30">
        <f t="shared" si="128"/>
        <v>4366.815982798782</v>
      </c>
      <c r="AE202" s="30">
        <f t="shared" si="128"/>
        <v>5458.519978498477</v>
      </c>
      <c r="AF202" s="30">
        <f t="shared" si="128"/>
        <v>6550.2239741981721</v>
      </c>
      <c r="AG202" s="30">
        <f t="shared" si="128"/>
        <v>7641.9279698978671</v>
      </c>
      <c r="AH202" s="30">
        <f t="shared" si="128"/>
        <v>8733.631965597564</v>
      </c>
      <c r="AI202" s="30">
        <f t="shared" si="128"/>
        <v>10917.039956996954</v>
      </c>
      <c r="AJ202" s="30">
        <f t="shared" si="128"/>
        <v>13100.447948396344</v>
      </c>
      <c r="AK202" s="30">
        <f t="shared" si="128"/>
        <v>15283.855939795734</v>
      </c>
      <c r="AL202" s="30">
        <f t="shared" si="128"/>
        <v>17467.263931195128</v>
      </c>
      <c r="AM202" s="30">
        <f t="shared" si="128"/>
        <v>20960.716717434152</v>
      </c>
      <c r="AN202" s="30">
        <f t="shared" si="128"/>
        <v>24454.169503673176</v>
      </c>
      <c r="AO202" s="30">
        <f t="shared" si="128"/>
        <v>27947.622289912204</v>
      </c>
      <c r="AP202" s="30">
        <f t="shared" si="128"/>
        <v>31441.075076151224</v>
      </c>
      <c r="AQ202" s="30">
        <f t="shared" si="128"/>
        <v>34934.527862390256</v>
      </c>
      <c r="AR202" s="30">
        <f t="shared" si="128"/>
        <v>41921.433434868304</v>
      </c>
      <c r="AS202" s="30">
        <f t="shared" si="128"/>
        <v>48908.339007346352</v>
      </c>
      <c r="AT202" s="30">
        <f t="shared" si="128"/>
        <v>55895.244579824408</v>
      </c>
      <c r="AU202" s="30">
        <f t="shared" si="128"/>
        <v>62882.150152302449</v>
      </c>
      <c r="AV202" s="30">
        <f t="shared" si="128"/>
        <v>69869.055724780512</v>
      </c>
      <c r="AW202" s="30">
        <f t="shared" si="128"/>
        <v>83842.866869736608</v>
      </c>
      <c r="AX202" s="30">
        <f t="shared" si="128"/>
        <v>97816.678014692705</v>
      </c>
      <c r="AY202" s="30">
        <f t="shared" si="128"/>
        <v>111790.48915964882</v>
      </c>
      <c r="AZ202" s="30">
        <f t="shared" si="128"/>
        <v>125764.3003046049</v>
      </c>
      <c r="BA202" s="30">
        <f t="shared" si="128"/>
        <v>139738.11144956102</v>
      </c>
      <c r="BB202" s="29">
        <f t="shared" si="128"/>
        <v>279476.22289912205</v>
      </c>
      <c r="BC202" s="30">
        <f t="shared" si="128"/>
        <v>558952.44579824409</v>
      </c>
      <c r="BD202" s="30">
        <f t="shared" si="128"/>
        <v>1117904.8915964882</v>
      </c>
      <c r="BE202" s="30">
        <f t="shared" si="128"/>
        <v>2235809.7831929764</v>
      </c>
      <c r="BF202" s="30">
        <f t="shared" si="128"/>
        <v>2819372.4780505281</v>
      </c>
      <c r="BG202" s="71">
        <f t="shared" si="128"/>
        <v>2819372.4780505281</v>
      </c>
      <c r="BH202" s="45"/>
    </row>
    <row r="203" spans="1:60" x14ac:dyDescent="0.25">
      <c r="A203" s="41" t="s">
        <v>14</v>
      </c>
      <c r="B203" s="6">
        <f>'Population by Age - Wikipedia'!D33</f>
        <v>9.4748533661399834E-2</v>
      </c>
      <c r="C203" s="10">
        <f t="shared" si="126"/>
        <v>31320596.404047467</v>
      </c>
      <c r="D203" s="23">
        <f>'AU Infection Rate by Age'!C6</f>
        <v>0.16735352087439526</v>
      </c>
      <c r="E203" s="17"/>
      <c r="F203" s="10"/>
      <c r="G203" s="10"/>
      <c r="H203" s="10"/>
      <c r="I203" s="10"/>
      <c r="J203" s="10"/>
      <c r="K203" s="10"/>
      <c r="L203" s="10"/>
      <c r="M203" s="10"/>
      <c r="N203" s="10"/>
      <c r="O203" s="10"/>
      <c r="P203" s="20">
        <f t="shared" ref="P203:BG203" si="129">P$167*$D$203</f>
        <v>5.2297975273248518</v>
      </c>
      <c r="Q203" s="21">
        <f t="shared" si="129"/>
        <v>10.459595054649704</v>
      </c>
      <c r="R203" s="21">
        <f t="shared" si="129"/>
        <v>20.919190109299407</v>
      </c>
      <c r="S203" s="21">
        <f t="shared" si="129"/>
        <v>41.838380218598815</v>
      </c>
      <c r="T203" s="21">
        <f t="shared" si="129"/>
        <v>83.676760437197629</v>
      </c>
      <c r="U203" s="21">
        <f t="shared" si="129"/>
        <v>167.35352087439526</v>
      </c>
      <c r="V203" s="21">
        <f t="shared" si="129"/>
        <v>334.70704174879052</v>
      </c>
      <c r="W203" s="21">
        <f t="shared" si="129"/>
        <v>669.41408349758103</v>
      </c>
      <c r="X203" s="21">
        <f t="shared" si="129"/>
        <v>1338.8281669951621</v>
      </c>
      <c r="Y203" s="21">
        <f t="shared" si="129"/>
        <v>2677.6563339903241</v>
      </c>
      <c r="Z203" s="21">
        <f t="shared" si="129"/>
        <v>5355.3126679806483</v>
      </c>
      <c r="AA203" s="21">
        <f t="shared" si="129"/>
        <v>10710.625335961297</v>
      </c>
      <c r="AB203" s="21">
        <f t="shared" si="129"/>
        <v>21421.250671922593</v>
      </c>
      <c r="AC203" s="21">
        <f t="shared" si="129"/>
        <v>42842.501343845186</v>
      </c>
      <c r="AD203" s="21">
        <f t="shared" si="129"/>
        <v>85685.002687690372</v>
      </c>
      <c r="AE203" s="21">
        <f t="shared" si="129"/>
        <v>107106.25335961297</v>
      </c>
      <c r="AF203" s="21">
        <f t="shared" si="129"/>
        <v>128527.50403153556</v>
      </c>
      <c r="AG203" s="21">
        <f t="shared" si="129"/>
        <v>149948.75470345814</v>
      </c>
      <c r="AH203" s="21">
        <f t="shared" si="129"/>
        <v>171370.00537538074</v>
      </c>
      <c r="AI203" s="21">
        <f t="shared" si="129"/>
        <v>214212.50671922593</v>
      </c>
      <c r="AJ203" s="21">
        <f t="shared" si="129"/>
        <v>257055.00806307112</v>
      </c>
      <c r="AK203" s="21">
        <f t="shared" si="129"/>
        <v>299897.50940691627</v>
      </c>
      <c r="AL203" s="21">
        <f t="shared" si="129"/>
        <v>342740.01075076149</v>
      </c>
      <c r="AM203" s="21">
        <f t="shared" si="129"/>
        <v>411288.01290091377</v>
      </c>
      <c r="AN203" s="21">
        <f t="shared" si="129"/>
        <v>479836.01505106606</v>
      </c>
      <c r="AO203" s="21">
        <f t="shared" si="129"/>
        <v>548384.0172012184</v>
      </c>
      <c r="AP203" s="21">
        <f t="shared" si="129"/>
        <v>616932.01935137063</v>
      </c>
      <c r="AQ203" s="21">
        <f t="shared" si="129"/>
        <v>685480.02150152298</v>
      </c>
      <c r="AR203" s="21">
        <f t="shared" si="129"/>
        <v>822576.02580182755</v>
      </c>
      <c r="AS203" s="21">
        <f t="shared" si="129"/>
        <v>959672.03010213212</v>
      </c>
      <c r="AT203" s="21">
        <f t="shared" si="129"/>
        <v>1096768.0344024368</v>
      </c>
      <c r="AU203" s="21">
        <f t="shared" si="129"/>
        <v>1233864.0387027413</v>
      </c>
      <c r="AV203" s="21">
        <f t="shared" si="129"/>
        <v>1370960.043003046</v>
      </c>
      <c r="AW203" s="21">
        <f t="shared" si="129"/>
        <v>1645152.0516036551</v>
      </c>
      <c r="AX203" s="21">
        <f t="shared" si="129"/>
        <v>1919344.0602042642</v>
      </c>
      <c r="AY203" s="21">
        <f t="shared" si="129"/>
        <v>2193536.0688048736</v>
      </c>
      <c r="AZ203" s="21">
        <f t="shared" si="129"/>
        <v>2467728.0774054825</v>
      </c>
      <c r="BA203" s="21">
        <f t="shared" si="129"/>
        <v>2741920.0860060919</v>
      </c>
      <c r="BB203" s="20">
        <f t="shared" si="129"/>
        <v>5483840.1720121838</v>
      </c>
      <c r="BC203" s="21">
        <f t="shared" si="129"/>
        <v>10967680.344024368</v>
      </c>
      <c r="BD203" s="21">
        <f t="shared" si="129"/>
        <v>21935360.688048735</v>
      </c>
      <c r="BE203" s="21">
        <f t="shared" si="129"/>
        <v>43870721.376097471</v>
      </c>
      <c r="BF203" s="21">
        <f t="shared" si="129"/>
        <v>55321300.304604903</v>
      </c>
      <c r="BG203" s="72">
        <f t="shared" si="129"/>
        <v>55321300.304604903</v>
      </c>
      <c r="BH203" s="45"/>
    </row>
    <row r="204" spans="1:60" x14ac:dyDescent="0.25">
      <c r="A204" s="41"/>
      <c r="B204" s="6"/>
      <c r="C204" s="10"/>
      <c r="D204" s="8"/>
      <c r="E204" s="27">
        <v>3.5999999999999997E-2</v>
      </c>
      <c r="F204" s="10"/>
      <c r="G204" s="10"/>
      <c r="H204" s="10"/>
      <c r="I204" s="10"/>
      <c r="J204" s="10"/>
      <c r="K204" s="10"/>
      <c r="L204" s="10"/>
      <c r="M204" s="10"/>
      <c r="N204" s="10"/>
      <c r="O204" s="10"/>
      <c r="P204" s="29">
        <f t="shared" ref="P204:BG204" si="130">P$167*$D$203*$E$204</f>
        <v>0.18827271098369466</v>
      </c>
      <c r="Q204" s="30">
        <f t="shared" si="130"/>
        <v>0.37654542196738933</v>
      </c>
      <c r="R204" s="30">
        <f t="shared" si="130"/>
        <v>0.75309084393477865</v>
      </c>
      <c r="S204" s="30">
        <f t="shared" si="130"/>
        <v>1.5061816878695573</v>
      </c>
      <c r="T204" s="30">
        <f t="shared" si="130"/>
        <v>3.0123633757391146</v>
      </c>
      <c r="U204" s="30">
        <f t="shared" si="130"/>
        <v>6.0247267514782292</v>
      </c>
      <c r="V204" s="30">
        <f t="shared" si="130"/>
        <v>12.049453502956458</v>
      </c>
      <c r="W204" s="30">
        <f t="shared" si="130"/>
        <v>24.098907005912917</v>
      </c>
      <c r="X204" s="30">
        <f t="shared" si="130"/>
        <v>48.197814011825834</v>
      </c>
      <c r="Y204" s="30">
        <f t="shared" si="130"/>
        <v>96.395628023651668</v>
      </c>
      <c r="Z204" s="30">
        <f t="shared" si="130"/>
        <v>192.79125604730334</v>
      </c>
      <c r="AA204" s="30">
        <f t="shared" si="130"/>
        <v>385.58251209460667</v>
      </c>
      <c r="AB204" s="30">
        <f t="shared" si="130"/>
        <v>771.16502418921334</v>
      </c>
      <c r="AC204" s="30">
        <f t="shared" si="130"/>
        <v>1542.3300483784267</v>
      </c>
      <c r="AD204" s="30">
        <f t="shared" si="130"/>
        <v>3084.6600967568534</v>
      </c>
      <c r="AE204" s="30">
        <f t="shared" si="130"/>
        <v>3855.8251209460664</v>
      </c>
      <c r="AF204" s="30">
        <f t="shared" si="130"/>
        <v>4626.9901451352798</v>
      </c>
      <c r="AG204" s="30">
        <f t="shared" si="130"/>
        <v>5398.1551693244928</v>
      </c>
      <c r="AH204" s="30">
        <f t="shared" si="130"/>
        <v>6169.3201935137067</v>
      </c>
      <c r="AI204" s="30">
        <f t="shared" si="130"/>
        <v>7711.6502418921327</v>
      </c>
      <c r="AJ204" s="30">
        <f t="shared" si="130"/>
        <v>9253.9802902705596</v>
      </c>
      <c r="AK204" s="30">
        <f t="shared" si="130"/>
        <v>10796.310338648986</v>
      </c>
      <c r="AL204" s="30">
        <f t="shared" si="130"/>
        <v>12338.640387027413</v>
      </c>
      <c r="AM204" s="30">
        <f t="shared" si="130"/>
        <v>14806.368464432895</v>
      </c>
      <c r="AN204" s="30">
        <f t="shared" si="130"/>
        <v>17274.096541838378</v>
      </c>
      <c r="AO204" s="30">
        <f t="shared" si="130"/>
        <v>19741.82461924386</v>
      </c>
      <c r="AP204" s="30">
        <f t="shared" si="130"/>
        <v>22209.552696649342</v>
      </c>
      <c r="AQ204" s="30">
        <f t="shared" si="130"/>
        <v>24677.280774054827</v>
      </c>
      <c r="AR204" s="30">
        <f t="shared" si="130"/>
        <v>29612.73692886579</v>
      </c>
      <c r="AS204" s="30">
        <f t="shared" si="130"/>
        <v>34548.193083676757</v>
      </c>
      <c r="AT204" s="30">
        <f t="shared" si="130"/>
        <v>39483.64923848772</v>
      </c>
      <c r="AU204" s="30">
        <f t="shared" si="130"/>
        <v>44419.105393298683</v>
      </c>
      <c r="AV204" s="30">
        <f t="shared" si="130"/>
        <v>49354.561548109654</v>
      </c>
      <c r="AW204" s="30">
        <f t="shared" si="130"/>
        <v>59225.47385773158</v>
      </c>
      <c r="AX204" s="30">
        <f t="shared" si="130"/>
        <v>69096.386167353514</v>
      </c>
      <c r="AY204" s="30">
        <f t="shared" si="130"/>
        <v>78967.29847697544</v>
      </c>
      <c r="AZ204" s="30">
        <f t="shared" si="130"/>
        <v>88838.210786597367</v>
      </c>
      <c r="BA204" s="30">
        <f t="shared" si="130"/>
        <v>98709.123096219308</v>
      </c>
      <c r="BB204" s="29">
        <f t="shared" si="130"/>
        <v>197418.24619243862</v>
      </c>
      <c r="BC204" s="30">
        <f t="shared" si="130"/>
        <v>394836.49238487723</v>
      </c>
      <c r="BD204" s="30">
        <f t="shared" si="130"/>
        <v>789672.98476975446</v>
      </c>
      <c r="BE204" s="30">
        <f t="shared" si="130"/>
        <v>1579345.9695395089</v>
      </c>
      <c r="BF204" s="30">
        <f t="shared" si="130"/>
        <v>1991566.8109657764</v>
      </c>
      <c r="BG204" s="71">
        <f t="shared" si="130"/>
        <v>1991566.8109657764</v>
      </c>
      <c r="BH204" s="45"/>
    </row>
    <row r="205" spans="1:60" x14ac:dyDescent="0.25">
      <c r="A205" s="41" t="s">
        <v>15</v>
      </c>
      <c r="B205" s="6">
        <f>'Population by Age - Wikipedia'!D29</f>
        <v>0.13591428809571979</v>
      </c>
      <c r="C205" s="10">
        <f t="shared" si="126"/>
        <v>44928574.60150566</v>
      </c>
      <c r="D205" s="23">
        <f>'AU Infection Rate by Age'!C7</f>
        <v>0.15534850385235621</v>
      </c>
      <c r="E205" s="17"/>
      <c r="F205" s="10"/>
      <c r="G205" s="10"/>
      <c r="H205" s="10"/>
      <c r="I205" s="10"/>
      <c r="J205" s="10"/>
      <c r="K205" s="10"/>
      <c r="L205" s="10"/>
      <c r="M205" s="10"/>
      <c r="N205" s="10"/>
      <c r="O205" s="10"/>
      <c r="P205" s="20">
        <f t="shared" ref="P205:BG205" si="131">P$167*$D$205</f>
        <v>4.8546407453861313</v>
      </c>
      <c r="Q205" s="21">
        <f t="shared" si="131"/>
        <v>9.7092814907722627</v>
      </c>
      <c r="R205" s="21">
        <f t="shared" si="131"/>
        <v>19.418562981544525</v>
      </c>
      <c r="S205" s="21">
        <f t="shared" si="131"/>
        <v>38.837125963089051</v>
      </c>
      <c r="T205" s="21">
        <f t="shared" si="131"/>
        <v>77.674251926178101</v>
      </c>
      <c r="U205" s="21">
        <f t="shared" si="131"/>
        <v>155.3485038523562</v>
      </c>
      <c r="V205" s="21">
        <f t="shared" si="131"/>
        <v>310.69700770471241</v>
      </c>
      <c r="W205" s="21">
        <f t="shared" si="131"/>
        <v>621.39401540942481</v>
      </c>
      <c r="X205" s="21">
        <f t="shared" si="131"/>
        <v>1242.7880308188496</v>
      </c>
      <c r="Y205" s="21">
        <f t="shared" si="131"/>
        <v>2485.5760616376992</v>
      </c>
      <c r="Z205" s="21">
        <f t="shared" si="131"/>
        <v>4971.1521232753985</v>
      </c>
      <c r="AA205" s="21">
        <f t="shared" si="131"/>
        <v>9942.304246550797</v>
      </c>
      <c r="AB205" s="21">
        <f t="shared" si="131"/>
        <v>19884.608493101594</v>
      </c>
      <c r="AC205" s="21">
        <f t="shared" si="131"/>
        <v>39769.216986203188</v>
      </c>
      <c r="AD205" s="21">
        <f t="shared" si="131"/>
        <v>79538.433972406376</v>
      </c>
      <c r="AE205" s="21">
        <f t="shared" si="131"/>
        <v>99423.04246550797</v>
      </c>
      <c r="AF205" s="21">
        <f t="shared" si="131"/>
        <v>119307.65095860958</v>
      </c>
      <c r="AG205" s="21">
        <f t="shared" si="131"/>
        <v>139192.25945171117</v>
      </c>
      <c r="AH205" s="21">
        <f t="shared" si="131"/>
        <v>159076.86794481275</v>
      </c>
      <c r="AI205" s="21">
        <f t="shared" si="131"/>
        <v>198846.08493101594</v>
      </c>
      <c r="AJ205" s="21">
        <f t="shared" si="131"/>
        <v>238615.30191721916</v>
      </c>
      <c r="AK205" s="21">
        <f t="shared" si="131"/>
        <v>278384.51890342234</v>
      </c>
      <c r="AL205" s="21">
        <f t="shared" si="131"/>
        <v>318153.7358896255</v>
      </c>
      <c r="AM205" s="21">
        <f t="shared" si="131"/>
        <v>381784.48306755064</v>
      </c>
      <c r="AN205" s="21">
        <f t="shared" si="131"/>
        <v>445415.23024547572</v>
      </c>
      <c r="AO205" s="21">
        <f t="shared" si="131"/>
        <v>509045.97742340085</v>
      </c>
      <c r="AP205" s="21">
        <f t="shared" si="131"/>
        <v>572676.72460132593</v>
      </c>
      <c r="AQ205" s="21">
        <f t="shared" si="131"/>
        <v>636307.47177925101</v>
      </c>
      <c r="AR205" s="21">
        <f t="shared" si="131"/>
        <v>763568.96613510128</v>
      </c>
      <c r="AS205" s="21">
        <f t="shared" si="131"/>
        <v>890830.46049095143</v>
      </c>
      <c r="AT205" s="21">
        <f t="shared" si="131"/>
        <v>1018091.9548468017</v>
      </c>
      <c r="AU205" s="21">
        <f t="shared" si="131"/>
        <v>1145353.4492026519</v>
      </c>
      <c r="AV205" s="21">
        <f t="shared" si="131"/>
        <v>1272614.943558502</v>
      </c>
      <c r="AW205" s="21">
        <f t="shared" si="131"/>
        <v>1527137.9322702026</v>
      </c>
      <c r="AX205" s="21">
        <f t="shared" si="131"/>
        <v>1781660.9209819029</v>
      </c>
      <c r="AY205" s="21">
        <f t="shared" si="131"/>
        <v>2036183.9096936034</v>
      </c>
      <c r="AZ205" s="21">
        <f t="shared" si="131"/>
        <v>2290706.8984053037</v>
      </c>
      <c r="BA205" s="21">
        <f t="shared" si="131"/>
        <v>2545229.887117004</v>
      </c>
      <c r="BB205" s="20">
        <f t="shared" si="131"/>
        <v>5090459.774234008</v>
      </c>
      <c r="BC205" s="21">
        <f t="shared" si="131"/>
        <v>10180919.548468016</v>
      </c>
      <c r="BD205" s="21">
        <f t="shared" si="131"/>
        <v>20361839.096936032</v>
      </c>
      <c r="BE205" s="21">
        <f t="shared" si="131"/>
        <v>40723678.193872064</v>
      </c>
      <c r="BF205" s="21">
        <f t="shared" si="131"/>
        <v>51352855.850206055</v>
      </c>
      <c r="BG205" s="72">
        <f t="shared" si="131"/>
        <v>51352855.850206055</v>
      </c>
      <c r="BH205" s="45"/>
    </row>
    <row r="206" spans="1:60" x14ac:dyDescent="0.25">
      <c r="A206" s="41"/>
      <c r="B206" s="6"/>
      <c r="C206" s="10"/>
      <c r="D206" s="8"/>
      <c r="E206" s="27">
        <v>1.2999999999999999E-2</v>
      </c>
      <c r="F206" s="10"/>
      <c r="G206" s="10"/>
      <c r="H206" s="10"/>
      <c r="I206" s="10"/>
      <c r="J206" s="10"/>
      <c r="K206" s="10"/>
      <c r="L206" s="10"/>
      <c r="M206" s="10"/>
      <c r="N206" s="10"/>
      <c r="O206" s="10"/>
      <c r="P206" s="29">
        <f t="shared" ref="P206:BG206" si="132">P$167*$D$205*$E$206</f>
        <v>6.3110329690019701E-2</v>
      </c>
      <c r="Q206" s="30">
        <f t="shared" si="132"/>
        <v>0.1262206593800394</v>
      </c>
      <c r="R206" s="30">
        <f t="shared" si="132"/>
        <v>0.2524413187600788</v>
      </c>
      <c r="S206" s="30">
        <f t="shared" si="132"/>
        <v>0.50488263752015761</v>
      </c>
      <c r="T206" s="30">
        <f t="shared" si="132"/>
        <v>1.0097652750403152</v>
      </c>
      <c r="U206" s="30">
        <f t="shared" si="132"/>
        <v>2.0195305500806304</v>
      </c>
      <c r="V206" s="30">
        <f t="shared" si="132"/>
        <v>4.0390611001612609</v>
      </c>
      <c r="W206" s="30">
        <f t="shared" si="132"/>
        <v>8.0781222003225217</v>
      </c>
      <c r="X206" s="30">
        <f t="shared" si="132"/>
        <v>16.156244400645043</v>
      </c>
      <c r="Y206" s="30">
        <f t="shared" si="132"/>
        <v>32.312488801290087</v>
      </c>
      <c r="Z206" s="30">
        <f t="shared" si="132"/>
        <v>64.624977602580174</v>
      </c>
      <c r="AA206" s="30">
        <f t="shared" si="132"/>
        <v>129.24995520516035</v>
      </c>
      <c r="AB206" s="30">
        <f t="shared" si="132"/>
        <v>258.49991041032069</v>
      </c>
      <c r="AC206" s="30">
        <f t="shared" si="132"/>
        <v>516.99982082064139</v>
      </c>
      <c r="AD206" s="30">
        <f t="shared" si="132"/>
        <v>1033.9996416412828</v>
      </c>
      <c r="AE206" s="30">
        <f t="shared" si="132"/>
        <v>1292.4995520516036</v>
      </c>
      <c r="AF206" s="30">
        <f t="shared" si="132"/>
        <v>1550.9994624619244</v>
      </c>
      <c r="AG206" s="30">
        <f t="shared" si="132"/>
        <v>1809.4993728722452</v>
      </c>
      <c r="AH206" s="30">
        <f t="shared" si="132"/>
        <v>2067.9992832825656</v>
      </c>
      <c r="AI206" s="30">
        <f t="shared" si="132"/>
        <v>2584.9991041032072</v>
      </c>
      <c r="AJ206" s="30">
        <f t="shared" si="132"/>
        <v>3101.9989249238488</v>
      </c>
      <c r="AK206" s="30">
        <f t="shared" si="132"/>
        <v>3618.9987457444904</v>
      </c>
      <c r="AL206" s="30">
        <f t="shared" si="132"/>
        <v>4135.9985665651311</v>
      </c>
      <c r="AM206" s="30">
        <f t="shared" si="132"/>
        <v>4963.1982798781582</v>
      </c>
      <c r="AN206" s="30">
        <f t="shared" si="132"/>
        <v>5790.3979931911845</v>
      </c>
      <c r="AO206" s="30">
        <f t="shared" si="132"/>
        <v>6617.5977065042107</v>
      </c>
      <c r="AP206" s="30">
        <f t="shared" si="132"/>
        <v>7444.7974198172369</v>
      </c>
      <c r="AQ206" s="30">
        <f t="shared" si="132"/>
        <v>8271.9971331302622</v>
      </c>
      <c r="AR206" s="30">
        <f t="shared" si="132"/>
        <v>9926.3965597563165</v>
      </c>
      <c r="AS206" s="30">
        <f t="shared" si="132"/>
        <v>11580.795986382369</v>
      </c>
      <c r="AT206" s="30">
        <f t="shared" si="132"/>
        <v>13235.195413008421</v>
      </c>
      <c r="AU206" s="30">
        <f t="shared" si="132"/>
        <v>14889.594839634474</v>
      </c>
      <c r="AV206" s="30">
        <f t="shared" si="132"/>
        <v>16543.994266260524</v>
      </c>
      <c r="AW206" s="30">
        <f t="shared" si="132"/>
        <v>19852.793119512633</v>
      </c>
      <c r="AX206" s="30">
        <f t="shared" si="132"/>
        <v>23161.591972764738</v>
      </c>
      <c r="AY206" s="30">
        <f t="shared" si="132"/>
        <v>26470.390826016843</v>
      </c>
      <c r="AZ206" s="30">
        <f t="shared" si="132"/>
        <v>29779.189679268948</v>
      </c>
      <c r="BA206" s="30">
        <f t="shared" si="132"/>
        <v>33087.988532521049</v>
      </c>
      <c r="BB206" s="29">
        <f t="shared" si="132"/>
        <v>66175.977065042098</v>
      </c>
      <c r="BC206" s="30">
        <f t="shared" si="132"/>
        <v>132351.9541300842</v>
      </c>
      <c r="BD206" s="30">
        <f t="shared" si="132"/>
        <v>264703.90826016839</v>
      </c>
      <c r="BE206" s="30">
        <f t="shared" si="132"/>
        <v>529407.81652033678</v>
      </c>
      <c r="BF206" s="30">
        <f t="shared" si="132"/>
        <v>667587.12605267868</v>
      </c>
      <c r="BG206" s="71">
        <f t="shared" si="132"/>
        <v>667587.12605267868</v>
      </c>
      <c r="BH206" s="45"/>
    </row>
    <row r="207" spans="1:60" x14ac:dyDescent="0.25">
      <c r="A207" s="41" t="s">
        <v>16</v>
      </c>
      <c r="B207" s="6">
        <f>'Population by Age - Wikipedia'!D25</f>
        <v>0.14121517441978385</v>
      </c>
      <c r="C207" s="10">
        <f t="shared" si="126"/>
        <v>46680864.739663057</v>
      </c>
      <c r="D207" s="23">
        <f>'AU Infection Rate by Age'!C8</f>
        <v>0.12972585558143701</v>
      </c>
      <c r="E207" s="17"/>
      <c r="F207" s="10"/>
      <c r="G207" s="10"/>
      <c r="H207" s="10"/>
      <c r="I207" s="10"/>
      <c r="J207" s="10"/>
      <c r="K207" s="10"/>
      <c r="L207" s="10"/>
      <c r="M207" s="10"/>
      <c r="N207" s="10"/>
      <c r="O207" s="10"/>
      <c r="P207" s="20">
        <f t="shared" ref="P207:BG207" si="133">P$167*$D$207</f>
        <v>4.0539329869199063</v>
      </c>
      <c r="Q207" s="21">
        <f t="shared" si="133"/>
        <v>8.1078659738398127</v>
      </c>
      <c r="R207" s="21">
        <f t="shared" si="133"/>
        <v>16.215731947679625</v>
      </c>
      <c r="S207" s="21">
        <f t="shared" si="133"/>
        <v>32.431463895359251</v>
      </c>
      <c r="T207" s="21">
        <f t="shared" si="133"/>
        <v>64.862927790718501</v>
      </c>
      <c r="U207" s="21">
        <f t="shared" si="133"/>
        <v>129.725855581437</v>
      </c>
      <c r="V207" s="21">
        <f t="shared" si="133"/>
        <v>259.45171116287401</v>
      </c>
      <c r="W207" s="21">
        <f t="shared" si="133"/>
        <v>518.90342232574801</v>
      </c>
      <c r="X207" s="21">
        <f t="shared" si="133"/>
        <v>1037.806844651496</v>
      </c>
      <c r="Y207" s="21">
        <f t="shared" si="133"/>
        <v>2075.613689302992</v>
      </c>
      <c r="Z207" s="21">
        <f t="shared" si="133"/>
        <v>4151.2273786059841</v>
      </c>
      <c r="AA207" s="21">
        <f t="shared" si="133"/>
        <v>8302.4547572119682</v>
      </c>
      <c r="AB207" s="21">
        <f t="shared" si="133"/>
        <v>16604.909514423936</v>
      </c>
      <c r="AC207" s="21">
        <f t="shared" si="133"/>
        <v>33209.819028847873</v>
      </c>
      <c r="AD207" s="21">
        <f t="shared" si="133"/>
        <v>66419.638057695745</v>
      </c>
      <c r="AE207" s="21">
        <f t="shared" si="133"/>
        <v>83024.547572119685</v>
      </c>
      <c r="AF207" s="21">
        <f t="shared" si="133"/>
        <v>99629.457086543625</v>
      </c>
      <c r="AG207" s="21">
        <f t="shared" si="133"/>
        <v>116234.36660096757</v>
      </c>
      <c r="AH207" s="21">
        <f t="shared" si="133"/>
        <v>132839.27611539149</v>
      </c>
      <c r="AI207" s="21">
        <f t="shared" si="133"/>
        <v>166049.09514423937</v>
      </c>
      <c r="AJ207" s="21">
        <f t="shared" si="133"/>
        <v>199258.91417308725</v>
      </c>
      <c r="AK207" s="21">
        <f t="shared" si="133"/>
        <v>232468.73320193513</v>
      </c>
      <c r="AL207" s="21">
        <f t="shared" si="133"/>
        <v>265678.55223078298</v>
      </c>
      <c r="AM207" s="21">
        <f t="shared" si="133"/>
        <v>318814.2626769396</v>
      </c>
      <c r="AN207" s="21">
        <f t="shared" si="133"/>
        <v>371949.97312309622</v>
      </c>
      <c r="AO207" s="21">
        <f t="shared" si="133"/>
        <v>425085.68356925278</v>
      </c>
      <c r="AP207" s="21">
        <f t="shared" si="133"/>
        <v>478221.3940154094</v>
      </c>
      <c r="AQ207" s="21">
        <f t="shared" si="133"/>
        <v>531357.10446156596</v>
      </c>
      <c r="AR207" s="21">
        <f t="shared" si="133"/>
        <v>637628.5253538792</v>
      </c>
      <c r="AS207" s="21">
        <f t="shared" si="133"/>
        <v>743899.94624619244</v>
      </c>
      <c r="AT207" s="21">
        <f t="shared" si="133"/>
        <v>850171.36713850556</v>
      </c>
      <c r="AU207" s="21">
        <f t="shared" si="133"/>
        <v>956442.7880308188</v>
      </c>
      <c r="AV207" s="21">
        <f t="shared" si="133"/>
        <v>1062714.2089231319</v>
      </c>
      <c r="AW207" s="21">
        <f t="shared" si="133"/>
        <v>1275257.0507077584</v>
      </c>
      <c r="AX207" s="21">
        <f t="shared" si="133"/>
        <v>1487799.8924923849</v>
      </c>
      <c r="AY207" s="21">
        <f t="shared" si="133"/>
        <v>1700342.7342770111</v>
      </c>
      <c r="AZ207" s="21">
        <f t="shared" si="133"/>
        <v>1912885.5760616376</v>
      </c>
      <c r="BA207" s="21">
        <f t="shared" si="133"/>
        <v>2125428.4178462639</v>
      </c>
      <c r="BB207" s="20">
        <f t="shared" si="133"/>
        <v>4250856.8356925277</v>
      </c>
      <c r="BC207" s="21">
        <f t="shared" si="133"/>
        <v>8501713.6713850554</v>
      </c>
      <c r="BD207" s="21">
        <f t="shared" si="133"/>
        <v>17003427.342770111</v>
      </c>
      <c r="BE207" s="21">
        <f t="shared" si="133"/>
        <v>34006854.685540222</v>
      </c>
      <c r="BF207" s="21">
        <f t="shared" si="133"/>
        <v>42882892.313205518</v>
      </c>
      <c r="BG207" s="72">
        <f t="shared" si="133"/>
        <v>42882892.313205518</v>
      </c>
      <c r="BH207" s="45"/>
    </row>
    <row r="208" spans="1:60" x14ac:dyDescent="0.25">
      <c r="A208" s="41"/>
      <c r="B208" s="6"/>
      <c r="C208" s="10"/>
      <c r="D208" s="8"/>
      <c r="E208" s="27">
        <v>4.0000000000000001E-3</v>
      </c>
      <c r="F208" s="10"/>
      <c r="G208" s="10"/>
      <c r="H208" s="10"/>
      <c r="I208" s="10"/>
      <c r="J208" s="10"/>
      <c r="K208" s="10"/>
      <c r="L208" s="10"/>
      <c r="M208" s="10"/>
      <c r="N208" s="10"/>
      <c r="O208" s="10"/>
      <c r="P208" s="29">
        <f t="shared" ref="P208:BG208" si="134">P$167*$D$207*$E$208</f>
        <v>1.6215731947679626E-2</v>
      </c>
      <c r="Q208" s="30">
        <f t="shared" si="134"/>
        <v>3.2431463895359253E-2</v>
      </c>
      <c r="R208" s="30">
        <f t="shared" si="134"/>
        <v>6.4862927790718505E-2</v>
      </c>
      <c r="S208" s="30">
        <f t="shared" si="134"/>
        <v>0.12972585558143701</v>
      </c>
      <c r="T208" s="30">
        <f t="shared" si="134"/>
        <v>0.25945171116287402</v>
      </c>
      <c r="U208" s="30">
        <f t="shared" si="134"/>
        <v>0.51890342232574804</v>
      </c>
      <c r="V208" s="30">
        <f t="shared" si="134"/>
        <v>1.0378068446514961</v>
      </c>
      <c r="W208" s="30">
        <f t="shared" si="134"/>
        <v>2.0756136893029922</v>
      </c>
      <c r="X208" s="30">
        <f t="shared" si="134"/>
        <v>4.1512273786059843</v>
      </c>
      <c r="Y208" s="30">
        <f t="shared" si="134"/>
        <v>8.3024547572119687</v>
      </c>
      <c r="Z208" s="30">
        <f t="shared" si="134"/>
        <v>16.604909514423937</v>
      </c>
      <c r="AA208" s="30">
        <f t="shared" si="134"/>
        <v>33.209819028847875</v>
      </c>
      <c r="AB208" s="30">
        <f t="shared" si="134"/>
        <v>66.419638057695749</v>
      </c>
      <c r="AC208" s="30">
        <f t="shared" si="134"/>
        <v>132.8392761153915</v>
      </c>
      <c r="AD208" s="30">
        <f t="shared" si="134"/>
        <v>265.678552230783</v>
      </c>
      <c r="AE208" s="30">
        <f t="shared" si="134"/>
        <v>332.09819028847875</v>
      </c>
      <c r="AF208" s="30">
        <f t="shared" si="134"/>
        <v>398.5178283461745</v>
      </c>
      <c r="AG208" s="30">
        <f t="shared" si="134"/>
        <v>464.93746640387025</v>
      </c>
      <c r="AH208" s="30">
        <f t="shared" si="134"/>
        <v>531.357104461566</v>
      </c>
      <c r="AI208" s="30">
        <f t="shared" si="134"/>
        <v>664.19638057695749</v>
      </c>
      <c r="AJ208" s="30">
        <f t="shared" si="134"/>
        <v>797.03565669234899</v>
      </c>
      <c r="AK208" s="30">
        <f t="shared" si="134"/>
        <v>929.87493280774049</v>
      </c>
      <c r="AL208" s="30">
        <f t="shared" si="134"/>
        <v>1062.714208923132</v>
      </c>
      <c r="AM208" s="30">
        <f t="shared" si="134"/>
        <v>1275.2570507077585</v>
      </c>
      <c r="AN208" s="30">
        <f t="shared" si="134"/>
        <v>1487.799892492385</v>
      </c>
      <c r="AO208" s="30">
        <f t="shared" si="134"/>
        <v>1700.3427342770112</v>
      </c>
      <c r="AP208" s="30">
        <f t="shared" si="134"/>
        <v>1912.8855760616377</v>
      </c>
      <c r="AQ208" s="30">
        <f t="shared" si="134"/>
        <v>2125.428417846264</v>
      </c>
      <c r="AR208" s="30">
        <f t="shared" si="134"/>
        <v>2550.514101415517</v>
      </c>
      <c r="AS208" s="30">
        <f t="shared" si="134"/>
        <v>2975.5997849847699</v>
      </c>
      <c r="AT208" s="30">
        <f t="shared" si="134"/>
        <v>3400.6854685540225</v>
      </c>
      <c r="AU208" s="30">
        <f t="shared" si="134"/>
        <v>3825.7711521232754</v>
      </c>
      <c r="AV208" s="30">
        <f t="shared" si="134"/>
        <v>4250.856835692528</v>
      </c>
      <c r="AW208" s="30">
        <f t="shared" si="134"/>
        <v>5101.0282028310339</v>
      </c>
      <c r="AX208" s="30">
        <f t="shared" si="134"/>
        <v>5951.1995699695399</v>
      </c>
      <c r="AY208" s="30">
        <f t="shared" si="134"/>
        <v>6801.3709371080449</v>
      </c>
      <c r="AZ208" s="30">
        <f t="shared" si="134"/>
        <v>7651.5423042465509</v>
      </c>
      <c r="BA208" s="30">
        <f t="shared" si="134"/>
        <v>8501.7136713850559</v>
      </c>
      <c r="BB208" s="29">
        <f t="shared" si="134"/>
        <v>17003.427342770112</v>
      </c>
      <c r="BC208" s="30">
        <f t="shared" si="134"/>
        <v>34006.854685540224</v>
      </c>
      <c r="BD208" s="30">
        <f t="shared" si="134"/>
        <v>68013.709371080447</v>
      </c>
      <c r="BE208" s="30">
        <f t="shared" si="134"/>
        <v>136027.41874216089</v>
      </c>
      <c r="BF208" s="30">
        <f t="shared" si="134"/>
        <v>171531.56925282208</v>
      </c>
      <c r="BG208" s="71">
        <f t="shared" si="134"/>
        <v>171531.56925282208</v>
      </c>
      <c r="BH208" s="45"/>
    </row>
    <row r="209" spans="1:60" x14ac:dyDescent="0.25">
      <c r="A209" s="41" t="s">
        <v>17</v>
      </c>
      <c r="B209" s="6">
        <f>'Population by Age - Wikipedia'!D21</f>
        <v>0.13001561499489589</v>
      </c>
      <c r="C209" s="10">
        <f t="shared" si="126"/>
        <v>42978676.778595254</v>
      </c>
      <c r="D209" s="23">
        <f>'AU Infection Rate by Age'!C9</f>
        <v>0.15731947679627306</v>
      </c>
      <c r="E209" s="17"/>
      <c r="F209" s="10"/>
      <c r="G209" s="14"/>
      <c r="H209" s="14"/>
      <c r="I209" s="14"/>
      <c r="J209" s="14"/>
      <c r="K209" s="14"/>
      <c r="L209" s="14"/>
      <c r="M209" s="14"/>
      <c r="N209" s="10"/>
      <c r="O209" s="10"/>
      <c r="P209" s="20">
        <f t="shared" ref="P209:BG209" si="135">P$167*$D$209</f>
        <v>4.9162336498835328</v>
      </c>
      <c r="Q209" s="21">
        <f t="shared" si="135"/>
        <v>9.8324672997670657</v>
      </c>
      <c r="R209" s="21">
        <f t="shared" si="135"/>
        <v>19.664934599534131</v>
      </c>
      <c r="S209" s="21">
        <f t="shared" si="135"/>
        <v>39.329869199068263</v>
      </c>
      <c r="T209" s="21">
        <f t="shared" si="135"/>
        <v>78.659738398136525</v>
      </c>
      <c r="U209" s="21">
        <f t="shared" si="135"/>
        <v>157.31947679627305</v>
      </c>
      <c r="V209" s="21">
        <f t="shared" si="135"/>
        <v>314.6389535925461</v>
      </c>
      <c r="W209" s="21">
        <f t="shared" si="135"/>
        <v>629.2779071850922</v>
      </c>
      <c r="X209" s="21">
        <f t="shared" si="135"/>
        <v>1258.5558143701844</v>
      </c>
      <c r="Y209" s="21">
        <f t="shared" si="135"/>
        <v>2517.1116287403688</v>
      </c>
      <c r="Z209" s="21">
        <f t="shared" si="135"/>
        <v>5034.2232574807376</v>
      </c>
      <c r="AA209" s="21">
        <f t="shared" si="135"/>
        <v>10068.446514961475</v>
      </c>
      <c r="AB209" s="21">
        <f t="shared" si="135"/>
        <v>20136.893029922951</v>
      </c>
      <c r="AC209" s="21">
        <f t="shared" si="135"/>
        <v>40273.786059845901</v>
      </c>
      <c r="AD209" s="21">
        <f t="shared" si="135"/>
        <v>80547.572119691802</v>
      </c>
      <c r="AE209" s="21">
        <f t="shared" si="135"/>
        <v>100684.46514961476</v>
      </c>
      <c r="AF209" s="21">
        <f t="shared" si="135"/>
        <v>120821.35817953771</v>
      </c>
      <c r="AG209" s="21">
        <f t="shared" si="135"/>
        <v>140958.25120946066</v>
      </c>
      <c r="AH209" s="21">
        <f t="shared" si="135"/>
        <v>161095.1442393836</v>
      </c>
      <c r="AI209" s="21">
        <f t="shared" si="135"/>
        <v>201368.93029922951</v>
      </c>
      <c r="AJ209" s="21">
        <f t="shared" si="135"/>
        <v>241642.71635907542</v>
      </c>
      <c r="AK209" s="21">
        <f t="shared" si="135"/>
        <v>281916.50241892133</v>
      </c>
      <c r="AL209" s="21">
        <f t="shared" si="135"/>
        <v>322190.28847876721</v>
      </c>
      <c r="AM209" s="21">
        <f t="shared" si="135"/>
        <v>386628.34617452067</v>
      </c>
      <c r="AN209" s="21">
        <f t="shared" si="135"/>
        <v>451066.40387027414</v>
      </c>
      <c r="AO209" s="21">
        <f t="shared" si="135"/>
        <v>515504.46156602754</v>
      </c>
      <c r="AP209" s="21">
        <f t="shared" si="135"/>
        <v>579942.51926178101</v>
      </c>
      <c r="AQ209" s="21">
        <f t="shared" si="135"/>
        <v>644380.57695753442</v>
      </c>
      <c r="AR209" s="21">
        <f t="shared" si="135"/>
        <v>773256.69234904135</v>
      </c>
      <c r="AS209" s="21">
        <f t="shared" si="135"/>
        <v>902132.80774054828</v>
      </c>
      <c r="AT209" s="21">
        <f t="shared" si="135"/>
        <v>1031008.9231320551</v>
      </c>
      <c r="AU209" s="21">
        <f t="shared" si="135"/>
        <v>1159885.038523562</v>
      </c>
      <c r="AV209" s="21">
        <f t="shared" si="135"/>
        <v>1288761.1539150688</v>
      </c>
      <c r="AW209" s="21">
        <f t="shared" si="135"/>
        <v>1546513.3846980827</v>
      </c>
      <c r="AX209" s="21">
        <f t="shared" si="135"/>
        <v>1804265.6154810966</v>
      </c>
      <c r="AY209" s="21">
        <f t="shared" si="135"/>
        <v>2062017.8462641102</v>
      </c>
      <c r="AZ209" s="21">
        <f t="shared" si="135"/>
        <v>2319770.077047124</v>
      </c>
      <c r="BA209" s="21">
        <f t="shared" si="135"/>
        <v>2577522.3078301377</v>
      </c>
      <c r="BB209" s="20">
        <f t="shared" si="135"/>
        <v>5155044.6156602753</v>
      </c>
      <c r="BC209" s="21">
        <f t="shared" si="135"/>
        <v>10310089.231320551</v>
      </c>
      <c r="BD209" s="21">
        <f t="shared" si="135"/>
        <v>20620178.462641101</v>
      </c>
      <c r="BE209" s="21">
        <f t="shared" si="135"/>
        <v>41240356.925282203</v>
      </c>
      <c r="BF209" s="21">
        <f t="shared" si="135"/>
        <v>52004391.506898403</v>
      </c>
      <c r="BG209" s="72">
        <f t="shared" si="135"/>
        <v>52004391.506898403</v>
      </c>
      <c r="BH209" s="45"/>
    </row>
    <row r="210" spans="1:60" x14ac:dyDescent="0.25">
      <c r="A210" s="41"/>
      <c r="B210" s="6"/>
      <c r="C210" s="10"/>
      <c r="D210" s="8"/>
      <c r="E210" s="27">
        <v>2E-3</v>
      </c>
      <c r="F210" s="10"/>
      <c r="G210" s="10"/>
      <c r="H210" s="10"/>
      <c r="I210" s="10"/>
      <c r="J210" s="10"/>
      <c r="K210" s="10"/>
      <c r="L210" s="10"/>
      <c r="M210" s="10"/>
      <c r="N210" s="10"/>
      <c r="O210" s="10"/>
      <c r="P210" s="29">
        <f t="shared" ref="P210:BG210" si="136">P$167*$D$209*$E$210</f>
        <v>9.8324672997670663E-3</v>
      </c>
      <c r="Q210" s="30">
        <f t="shared" si="136"/>
        <v>1.9664934599534133E-2</v>
      </c>
      <c r="R210" s="30">
        <f t="shared" si="136"/>
        <v>3.9329869199068265E-2</v>
      </c>
      <c r="S210" s="30">
        <f t="shared" si="136"/>
        <v>7.8659738398136531E-2</v>
      </c>
      <c r="T210" s="30">
        <f t="shared" si="136"/>
        <v>0.15731947679627306</v>
      </c>
      <c r="U210" s="30">
        <f t="shared" si="136"/>
        <v>0.31463895359254612</v>
      </c>
      <c r="V210" s="30">
        <f t="shared" si="136"/>
        <v>0.62927790718509224</v>
      </c>
      <c r="W210" s="30">
        <f t="shared" si="136"/>
        <v>1.2585558143701845</v>
      </c>
      <c r="X210" s="30">
        <f t="shared" si="136"/>
        <v>2.517111628740369</v>
      </c>
      <c r="Y210" s="30">
        <f t="shared" si="136"/>
        <v>5.034223257480738</v>
      </c>
      <c r="Z210" s="30">
        <f t="shared" si="136"/>
        <v>10.068446514961476</v>
      </c>
      <c r="AA210" s="30">
        <f t="shared" si="136"/>
        <v>20.136893029922952</v>
      </c>
      <c r="AB210" s="30">
        <f t="shared" si="136"/>
        <v>40.273786059845904</v>
      </c>
      <c r="AC210" s="30">
        <f t="shared" si="136"/>
        <v>80.547572119691807</v>
      </c>
      <c r="AD210" s="30">
        <f t="shared" si="136"/>
        <v>161.09514423938361</v>
      </c>
      <c r="AE210" s="30">
        <f t="shared" si="136"/>
        <v>201.3689302992295</v>
      </c>
      <c r="AF210" s="30">
        <f t="shared" si="136"/>
        <v>241.64271635907542</v>
      </c>
      <c r="AG210" s="30">
        <f t="shared" si="136"/>
        <v>281.91650241892131</v>
      </c>
      <c r="AH210" s="30">
        <f t="shared" si="136"/>
        <v>322.19028847876723</v>
      </c>
      <c r="AI210" s="30">
        <f t="shared" si="136"/>
        <v>402.73786059845901</v>
      </c>
      <c r="AJ210" s="30">
        <f t="shared" si="136"/>
        <v>483.28543271815084</v>
      </c>
      <c r="AK210" s="30">
        <f t="shared" si="136"/>
        <v>563.83300483784262</v>
      </c>
      <c r="AL210" s="30">
        <f t="shared" si="136"/>
        <v>644.38057695753446</v>
      </c>
      <c r="AM210" s="30">
        <f t="shared" si="136"/>
        <v>773.25669234904137</v>
      </c>
      <c r="AN210" s="30">
        <f t="shared" si="136"/>
        <v>902.13280774054829</v>
      </c>
      <c r="AO210" s="30">
        <f t="shared" si="136"/>
        <v>1031.0089231320551</v>
      </c>
      <c r="AP210" s="30">
        <f t="shared" si="136"/>
        <v>1159.8850385235621</v>
      </c>
      <c r="AQ210" s="30">
        <f t="shared" si="136"/>
        <v>1288.7611539150689</v>
      </c>
      <c r="AR210" s="30">
        <f t="shared" si="136"/>
        <v>1546.5133846980827</v>
      </c>
      <c r="AS210" s="30">
        <f t="shared" si="136"/>
        <v>1804.2656154810966</v>
      </c>
      <c r="AT210" s="30">
        <f t="shared" si="136"/>
        <v>2062.0178462641102</v>
      </c>
      <c r="AU210" s="30">
        <f t="shared" si="136"/>
        <v>2319.7700770471242</v>
      </c>
      <c r="AV210" s="30">
        <f t="shared" si="136"/>
        <v>2577.5223078301378</v>
      </c>
      <c r="AW210" s="30">
        <f t="shared" si="136"/>
        <v>3093.0267693961655</v>
      </c>
      <c r="AX210" s="30">
        <f t="shared" si="136"/>
        <v>3608.5312309621931</v>
      </c>
      <c r="AY210" s="30">
        <f t="shared" si="136"/>
        <v>4124.0356925282204</v>
      </c>
      <c r="AZ210" s="30">
        <f t="shared" si="136"/>
        <v>4639.5401540942485</v>
      </c>
      <c r="BA210" s="30">
        <f t="shared" si="136"/>
        <v>5155.0446156602757</v>
      </c>
      <c r="BB210" s="29">
        <f t="shared" si="136"/>
        <v>10310.089231320551</v>
      </c>
      <c r="BC210" s="30">
        <f t="shared" si="136"/>
        <v>20620.178462641103</v>
      </c>
      <c r="BD210" s="30">
        <f t="shared" si="136"/>
        <v>41240.356925282205</v>
      </c>
      <c r="BE210" s="30">
        <f t="shared" si="136"/>
        <v>82480.713850564411</v>
      </c>
      <c r="BF210" s="30">
        <f t="shared" si="136"/>
        <v>104008.78301379681</v>
      </c>
      <c r="BG210" s="71">
        <f t="shared" si="136"/>
        <v>104008.78301379681</v>
      </c>
      <c r="BH210" s="45"/>
    </row>
    <row r="211" spans="1:60" x14ac:dyDescent="0.25">
      <c r="A211" s="41" t="s">
        <v>18</v>
      </c>
      <c r="B211" s="6">
        <f>'Population by Age - Wikipedia'!D17</f>
        <v>0.13826223457843137</v>
      </c>
      <c r="C211" s="10">
        <f t="shared" si="126"/>
        <v>45704724.704536453</v>
      </c>
      <c r="D211" s="23">
        <f>'AU Infection Rate by Age'!C10</f>
        <v>0.2160903063967031</v>
      </c>
      <c r="E211" s="17"/>
      <c r="F211" s="10"/>
      <c r="G211" s="10"/>
      <c r="H211" s="10"/>
      <c r="I211" s="10"/>
      <c r="J211" s="10"/>
      <c r="K211" s="10"/>
      <c r="L211" s="10"/>
      <c r="M211" s="10"/>
      <c r="N211" s="10"/>
      <c r="O211" s="10"/>
      <c r="P211" s="20">
        <f t="shared" ref="P211:BG211" si="137">P$167*$D$211</f>
        <v>6.7528220748969714</v>
      </c>
      <c r="Q211" s="21">
        <f t="shared" si="137"/>
        <v>13.505644149793943</v>
      </c>
      <c r="R211" s="21">
        <f t="shared" si="137"/>
        <v>27.011288299587886</v>
      </c>
      <c r="S211" s="21">
        <f t="shared" si="137"/>
        <v>54.022576599175771</v>
      </c>
      <c r="T211" s="21">
        <f t="shared" si="137"/>
        <v>108.04515319835154</v>
      </c>
      <c r="U211" s="21">
        <f t="shared" si="137"/>
        <v>216.09030639670308</v>
      </c>
      <c r="V211" s="21">
        <f t="shared" si="137"/>
        <v>432.18061279340617</v>
      </c>
      <c r="W211" s="21">
        <f t="shared" si="137"/>
        <v>864.36122558681234</v>
      </c>
      <c r="X211" s="21">
        <f t="shared" si="137"/>
        <v>1728.7224511736247</v>
      </c>
      <c r="Y211" s="21">
        <f t="shared" si="137"/>
        <v>3457.4449023472494</v>
      </c>
      <c r="Z211" s="21">
        <f t="shared" si="137"/>
        <v>6914.8898046944987</v>
      </c>
      <c r="AA211" s="21">
        <f t="shared" si="137"/>
        <v>13829.779609388997</v>
      </c>
      <c r="AB211" s="21">
        <f t="shared" si="137"/>
        <v>27659.559218777995</v>
      </c>
      <c r="AC211" s="21">
        <f t="shared" si="137"/>
        <v>55319.11843755599</v>
      </c>
      <c r="AD211" s="21">
        <f t="shared" si="137"/>
        <v>110638.23687511198</v>
      </c>
      <c r="AE211" s="21">
        <f t="shared" si="137"/>
        <v>138297.79609388998</v>
      </c>
      <c r="AF211" s="21">
        <f t="shared" si="137"/>
        <v>165957.35531266799</v>
      </c>
      <c r="AG211" s="21">
        <f t="shared" si="137"/>
        <v>193616.91453144597</v>
      </c>
      <c r="AH211" s="21">
        <f t="shared" si="137"/>
        <v>221276.47375022396</v>
      </c>
      <c r="AI211" s="21">
        <f t="shared" si="137"/>
        <v>276595.59218777996</v>
      </c>
      <c r="AJ211" s="21">
        <f t="shared" si="137"/>
        <v>331914.71062533598</v>
      </c>
      <c r="AK211" s="21">
        <f t="shared" si="137"/>
        <v>387233.82906289195</v>
      </c>
      <c r="AL211" s="21">
        <f t="shared" si="137"/>
        <v>442552.94750044792</v>
      </c>
      <c r="AM211" s="21">
        <f t="shared" si="137"/>
        <v>531063.5370005375</v>
      </c>
      <c r="AN211" s="21">
        <f t="shared" si="137"/>
        <v>619574.12650062714</v>
      </c>
      <c r="AO211" s="21">
        <f t="shared" si="137"/>
        <v>708084.71600071667</v>
      </c>
      <c r="AP211" s="21">
        <f t="shared" si="137"/>
        <v>796595.30550080631</v>
      </c>
      <c r="AQ211" s="21">
        <f t="shared" si="137"/>
        <v>885105.89500089583</v>
      </c>
      <c r="AR211" s="21">
        <f t="shared" si="137"/>
        <v>1062127.074001075</v>
      </c>
      <c r="AS211" s="21">
        <f t="shared" si="137"/>
        <v>1239148.2530012543</v>
      </c>
      <c r="AT211" s="21">
        <f t="shared" si="137"/>
        <v>1416169.4320014333</v>
      </c>
      <c r="AU211" s="21">
        <f t="shared" si="137"/>
        <v>1593190.6110016126</v>
      </c>
      <c r="AV211" s="21">
        <f t="shared" si="137"/>
        <v>1770211.7900017917</v>
      </c>
      <c r="AW211" s="21">
        <f t="shared" si="137"/>
        <v>2124254.14800215</v>
      </c>
      <c r="AX211" s="21">
        <f t="shared" si="137"/>
        <v>2478296.5060025086</v>
      </c>
      <c r="AY211" s="21">
        <f t="shared" si="137"/>
        <v>2832338.8640028667</v>
      </c>
      <c r="AZ211" s="21">
        <f t="shared" si="137"/>
        <v>3186381.2220032252</v>
      </c>
      <c r="BA211" s="21">
        <f t="shared" si="137"/>
        <v>3540423.5800035833</v>
      </c>
      <c r="BB211" s="20">
        <f t="shared" si="137"/>
        <v>7080847.1600071667</v>
      </c>
      <c r="BC211" s="21">
        <f t="shared" si="137"/>
        <v>14161694.320014333</v>
      </c>
      <c r="BD211" s="21">
        <f t="shared" si="137"/>
        <v>28323388.640028667</v>
      </c>
      <c r="BE211" s="21">
        <f t="shared" si="137"/>
        <v>56646777.280057333</v>
      </c>
      <c r="BF211" s="21">
        <f t="shared" si="137"/>
        <v>71432000.179179356</v>
      </c>
      <c r="BG211" s="72">
        <f t="shared" si="137"/>
        <v>71432000.179179356</v>
      </c>
      <c r="BH211" s="45"/>
    </row>
    <row r="212" spans="1:60" x14ac:dyDescent="0.25">
      <c r="A212" s="41"/>
      <c r="B212" s="6"/>
      <c r="C212" s="10"/>
      <c r="D212" s="8"/>
      <c r="E212" s="27">
        <v>2E-3</v>
      </c>
      <c r="F212" s="10"/>
      <c r="G212" s="10"/>
      <c r="H212" s="10"/>
      <c r="I212" s="10"/>
      <c r="J212" s="10"/>
      <c r="K212" s="10"/>
      <c r="L212" s="10"/>
      <c r="M212" s="10"/>
      <c r="N212" s="10"/>
      <c r="O212" s="10"/>
      <c r="P212" s="29">
        <f t="shared" ref="P212:BG212" si="138">P$167*$D$211*$E$212</f>
        <v>1.3505644149793944E-2</v>
      </c>
      <c r="Q212" s="30">
        <f t="shared" si="138"/>
        <v>2.7011288299587887E-2</v>
      </c>
      <c r="R212" s="30">
        <f t="shared" si="138"/>
        <v>5.4022576599175774E-2</v>
      </c>
      <c r="S212" s="30">
        <f t="shared" si="138"/>
        <v>0.10804515319835155</v>
      </c>
      <c r="T212" s="30">
        <f t="shared" si="138"/>
        <v>0.2160903063967031</v>
      </c>
      <c r="U212" s="30">
        <f t="shared" si="138"/>
        <v>0.43218061279340619</v>
      </c>
      <c r="V212" s="30">
        <f t="shared" si="138"/>
        <v>0.86436122558681239</v>
      </c>
      <c r="W212" s="30">
        <f t="shared" si="138"/>
        <v>1.7287224511736248</v>
      </c>
      <c r="X212" s="30">
        <f t="shared" si="138"/>
        <v>3.4574449023472495</v>
      </c>
      <c r="Y212" s="30">
        <f t="shared" si="138"/>
        <v>6.9148898046944991</v>
      </c>
      <c r="Z212" s="30">
        <f t="shared" si="138"/>
        <v>13.829779609388998</v>
      </c>
      <c r="AA212" s="30">
        <f t="shared" si="138"/>
        <v>27.659559218777996</v>
      </c>
      <c r="AB212" s="30">
        <f t="shared" si="138"/>
        <v>55.319118437555993</v>
      </c>
      <c r="AC212" s="30">
        <f t="shared" si="138"/>
        <v>110.63823687511199</v>
      </c>
      <c r="AD212" s="30">
        <f t="shared" si="138"/>
        <v>221.27647375022397</v>
      </c>
      <c r="AE212" s="30">
        <f t="shared" si="138"/>
        <v>276.59559218777997</v>
      </c>
      <c r="AF212" s="30">
        <f t="shared" si="138"/>
        <v>331.914710625336</v>
      </c>
      <c r="AG212" s="30">
        <f t="shared" si="138"/>
        <v>387.23382906289197</v>
      </c>
      <c r="AH212" s="30">
        <f t="shared" si="138"/>
        <v>442.55294750044794</v>
      </c>
      <c r="AI212" s="30">
        <f t="shared" si="138"/>
        <v>553.19118437555994</v>
      </c>
      <c r="AJ212" s="30">
        <f t="shared" si="138"/>
        <v>663.829421250672</v>
      </c>
      <c r="AK212" s="30">
        <f t="shared" si="138"/>
        <v>774.46765812578394</v>
      </c>
      <c r="AL212" s="30">
        <f t="shared" si="138"/>
        <v>885.10589500089588</v>
      </c>
      <c r="AM212" s="30">
        <f t="shared" si="138"/>
        <v>1062.127074001075</v>
      </c>
      <c r="AN212" s="30">
        <f t="shared" si="138"/>
        <v>1239.1482530012543</v>
      </c>
      <c r="AO212" s="30">
        <f t="shared" si="138"/>
        <v>1416.1694320014333</v>
      </c>
      <c r="AP212" s="30">
        <f t="shared" si="138"/>
        <v>1593.1906110016128</v>
      </c>
      <c r="AQ212" s="30">
        <f t="shared" si="138"/>
        <v>1770.2117900017918</v>
      </c>
      <c r="AR212" s="30">
        <f t="shared" si="138"/>
        <v>2124.25414800215</v>
      </c>
      <c r="AS212" s="30">
        <f t="shared" si="138"/>
        <v>2478.2965060025085</v>
      </c>
      <c r="AT212" s="30">
        <f t="shared" si="138"/>
        <v>2832.3388640028666</v>
      </c>
      <c r="AU212" s="30">
        <f t="shared" si="138"/>
        <v>3186.3812220032255</v>
      </c>
      <c r="AV212" s="30">
        <f t="shared" si="138"/>
        <v>3540.4235800035835</v>
      </c>
      <c r="AW212" s="30">
        <f t="shared" si="138"/>
        <v>4248.5082960043001</v>
      </c>
      <c r="AX212" s="30">
        <f t="shared" si="138"/>
        <v>4956.593012005017</v>
      </c>
      <c r="AY212" s="30">
        <f t="shared" si="138"/>
        <v>5664.6777280057331</v>
      </c>
      <c r="AZ212" s="30">
        <f t="shared" si="138"/>
        <v>6372.762444006451</v>
      </c>
      <c r="BA212" s="30">
        <f t="shared" si="138"/>
        <v>7080.8471600071671</v>
      </c>
      <c r="BB212" s="29">
        <f t="shared" si="138"/>
        <v>14161.694320014334</v>
      </c>
      <c r="BC212" s="30">
        <f t="shared" si="138"/>
        <v>28323.388640028668</v>
      </c>
      <c r="BD212" s="30">
        <f t="shared" si="138"/>
        <v>56646.777280057337</v>
      </c>
      <c r="BE212" s="30">
        <f t="shared" si="138"/>
        <v>113293.55456011467</v>
      </c>
      <c r="BF212" s="30">
        <f t="shared" si="138"/>
        <v>142864.00035835872</v>
      </c>
      <c r="BG212" s="71">
        <f t="shared" si="138"/>
        <v>142864.00035835872</v>
      </c>
      <c r="BH212" s="45"/>
    </row>
    <row r="213" spans="1:60" x14ac:dyDescent="0.25">
      <c r="A213" s="42" t="s">
        <v>19</v>
      </c>
      <c r="B213" s="6">
        <f>'Population by Age - Wikipedia'!D13</f>
        <v>0.13835839467257338</v>
      </c>
      <c r="C213" s="10">
        <f t="shared" si="126"/>
        <v>45736511.914136559</v>
      </c>
      <c r="D213" s="23">
        <f>'AU Infection Rate by Age'!C11</f>
        <v>2.8847876724601325E-2</v>
      </c>
      <c r="E213" s="17"/>
      <c r="F213" s="10"/>
      <c r="G213" s="10"/>
      <c r="H213" s="10"/>
      <c r="I213" s="10"/>
      <c r="J213" s="10"/>
      <c r="K213" s="10"/>
      <c r="L213" s="10"/>
      <c r="M213" s="10"/>
      <c r="N213" s="10"/>
      <c r="O213" s="10"/>
      <c r="P213" s="20">
        <f t="shared" ref="P213:BG213" si="139">P$167*$D$213</f>
        <v>0.90149614764379138</v>
      </c>
      <c r="Q213" s="21">
        <f t="shared" si="139"/>
        <v>1.8029922952875828</v>
      </c>
      <c r="R213" s="21">
        <f t="shared" si="139"/>
        <v>3.6059845905751655</v>
      </c>
      <c r="S213" s="21">
        <f t="shared" si="139"/>
        <v>7.211969181150331</v>
      </c>
      <c r="T213" s="21">
        <f t="shared" si="139"/>
        <v>14.423938362300662</v>
      </c>
      <c r="U213" s="21">
        <f t="shared" si="139"/>
        <v>28.847876724601324</v>
      </c>
      <c r="V213" s="21">
        <f t="shared" si="139"/>
        <v>57.695753449202648</v>
      </c>
      <c r="W213" s="21">
        <f t="shared" si="139"/>
        <v>115.3915068984053</v>
      </c>
      <c r="X213" s="21">
        <f t="shared" si="139"/>
        <v>230.78301379681059</v>
      </c>
      <c r="Y213" s="21">
        <f t="shared" si="139"/>
        <v>461.56602759362119</v>
      </c>
      <c r="Z213" s="21">
        <f t="shared" si="139"/>
        <v>923.13205518724237</v>
      </c>
      <c r="AA213" s="21">
        <f t="shared" si="139"/>
        <v>1846.2641103744847</v>
      </c>
      <c r="AB213" s="21">
        <f t="shared" si="139"/>
        <v>3692.5282207489695</v>
      </c>
      <c r="AC213" s="21">
        <f t="shared" si="139"/>
        <v>7385.056441497939</v>
      </c>
      <c r="AD213" s="21">
        <f t="shared" si="139"/>
        <v>14770.112882995878</v>
      </c>
      <c r="AE213" s="21">
        <f t="shared" si="139"/>
        <v>18462.641103744849</v>
      </c>
      <c r="AF213" s="21">
        <f t="shared" si="139"/>
        <v>22155.169324493818</v>
      </c>
      <c r="AG213" s="21">
        <f t="shared" si="139"/>
        <v>25847.697545242787</v>
      </c>
      <c r="AH213" s="21">
        <f t="shared" si="139"/>
        <v>29540.225765991756</v>
      </c>
      <c r="AI213" s="21">
        <f t="shared" si="139"/>
        <v>36925.282207489698</v>
      </c>
      <c r="AJ213" s="21">
        <f t="shared" si="139"/>
        <v>44310.338648987636</v>
      </c>
      <c r="AK213" s="21">
        <f t="shared" si="139"/>
        <v>51695.395090485574</v>
      </c>
      <c r="AL213" s="21">
        <f t="shared" si="139"/>
        <v>59080.451531983512</v>
      </c>
      <c r="AM213" s="21">
        <f t="shared" si="139"/>
        <v>70896.541838380217</v>
      </c>
      <c r="AN213" s="21">
        <f t="shared" si="139"/>
        <v>82712.632144776915</v>
      </c>
      <c r="AO213" s="21">
        <f t="shared" si="139"/>
        <v>94528.722451173628</v>
      </c>
      <c r="AP213" s="21">
        <f t="shared" si="139"/>
        <v>106344.81275757033</v>
      </c>
      <c r="AQ213" s="21">
        <f t="shared" si="139"/>
        <v>118160.90306396702</v>
      </c>
      <c r="AR213" s="21">
        <f t="shared" si="139"/>
        <v>141793.08367676043</v>
      </c>
      <c r="AS213" s="21">
        <f t="shared" si="139"/>
        <v>165425.26428955383</v>
      </c>
      <c r="AT213" s="21">
        <f t="shared" si="139"/>
        <v>189057.44490234726</v>
      </c>
      <c r="AU213" s="21">
        <f t="shared" si="139"/>
        <v>212689.62551514065</v>
      </c>
      <c r="AV213" s="21">
        <f t="shared" si="139"/>
        <v>236321.80612793405</v>
      </c>
      <c r="AW213" s="21">
        <f t="shared" si="139"/>
        <v>283586.16735352087</v>
      </c>
      <c r="AX213" s="21">
        <f t="shared" si="139"/>
        <v>330850.52857910766</v>
      </c>
      <c r="AY213" s="21">
        <f t="shared" si="139"/>
        <v>378114.88980469451</v>
      </c>
      <c r="AZ213" s="21">
        <f t="shared" si="139"/>
        <v>425379.2510302813</v>
      </c>
      <c r="BA213" s="21">
        <f t="shared" si="139"/>
        <v>472643.61225586809</v>
      </c>
      <c r="BB213" s="20">
        <f t="shared" si="139"/>
        <v>945287.22451173619</v>
      </c>
      <c r="BC213" s="21">
        <f t="shared" si="139"/>
        <v>1890574.4490234724</v>
      </c>
      <c r="BD213" s="21">
        <f t="shared" si="139"/>
        <v>3781148.8980469448</v>
      </c>
      <c r="BE213" s="21">
        <f t="shared" si="139"/>
        <v>7562297.7960938895</v>
      </c>
      <c r="BF213" s="21">
        <f t="shared" si="139"/>
        <v>9536112.7934061997</v>
      </c>
      <c r="BG213" s="72">
        <f t="shared" si="139"/>
        <v>9536112.7934061997</v>
      </c>
      <c r="BH213" s="45"/>
    </row>
    <row r="214" spans="1:60" x14ac:dyDescent="0.25">
      <c r="A214" s="42"/>
      <c r="B214" s="6"/>
      <c r="C214" s="10"/>
      <c r="D214" s="8"/>
      <c r="E214" s="27">
        <v>2E-3</v>
      </c>
      <c r="F214" s="10"/>
      <c r="G214" s="10"/>
      <c r="H214" s="10"/>
      <c r="I214" s="10"/>
      <c r="J214" s="10"/>
      <c r="K214" s="10"/>
      <c r="L214" s="10"/>
      <c r="M214" s="10"/>
      <c r="N214" s="10"/>
      <c r="O214" s="10"/>
      <c r="P214" s="29">
        <f t="shared" ref="P214:BG214" si="140">P$167*$D$213*$E$214</f>
        <v>1.8029922952875828E-3</v>
      </c>
      <c r="Q214" s="30">
        <f t="shared" si="140"/>
        <v>3.6059845905751656E-3</v>
      </c>
      <c r="R214" s="30">
        <f t="shared" si="140"/>
        <v>7.2119691811503312E-3</v>
      </c>
      <c r="S214" s="30">
        <f t="shared" si="140"/>
        <v>1.4423938362300662E-2</v>
      </c>
      <c r="T214" s="30">
        <f t="shared" si="140"/>
        <v>2.8847876724601325E-2</v>
      </c>
      <c r="U214" s="30">
        <f t="shared" si="140"/>
        <v>5.769575344920265E-2</v>
      </c>
      <c r="V214" s="30">
        <f t="shared" si="140"/>
        <v>0.1153915068984053</v>
      </c>
      <c r="W214" s="30">
        <f t="shared" si="140"/>
        <v>0.2307830137968106</v>
      </c>
      <c r="X214" s="30">
        <f t="shared" si="140"/>
        <v>0.4615660275936212</v>
      </c>
      <c r="Y214" s="30">
        <f t="shared" si="140"/>
        <v>0.9231320551872424</v>
      </c>
      <c r="Z214" s="30">
        <f t="shared" si="140"/>
        <v>1.8462641103744848</v>
      </c>
      <c r="AA214" s="30">
        <f t="shared" si="140"/>
        <v>3.6925282207489696</v>
      </c>
      <c r="AB214" s="30">
        <f t="shared" si="140"/>
        <v>7.3850564414979392</v>
      </c>
      <c r="AC214" s="30">
        <f t="shared" si="140"/>
        <v>14.770112882995878</v>
      </c>
      <c r="AD214" s="30">
        <f t="shared" si="140"/>
        <v>29.540225765991757</v>
      </c>
      <c r="AE214" s="30">
        <f t="shared" si="140"/>
        <v>36.925282207489701</v>
      </c>
      <c r="AF214" s="30">
        <f t="shared" si="140"/>
        <v>44.310338648987639</v>
      </c>
      <c r="AG214" s="30">
        <f t="shared" si="140"/>
        <v>51.695395090485576</v>
      </c>
      <c r="AH214" s="30">
        <f t="shared" si="140"/>
        <v>59.080451531983513</v>
      </c>
      <c r="AI214" s="30">
        <f t="shared" si="140"/>
        <v>73.850564414979402</v>
      </c>
      <c r="AJ214" s="30">
        <f t="shared" si="140"/>
        <v>88.620677297975277</v>
      </c>
      <c r="AK214" s="30">
        <f t="shared" si="140"/>
        <v>103.39079018097115</v>
      </c>
      <c r="AL214" s="30">
        <f t="shared" si="140"/>
        <v>118.16090306396703</v>
      </c>
      <c r="AM214" s="30">
        <f t="shared" si="140"/>
        <v>141.79308367676043</v>
      </c>
      <c r="AN214" s="30">
        <f t="shared" si="140"/>
        <v>165.42526428955384</v>
      </c>
      <c r="AO214" s="30">
        <f t="shared" si="140"/>
        <v>189.05744490234727</v>
      </c>
      <c r="AP214" s="30">
        <f t="shared" si="140"/>
        <v>212.68962551514065</v>
      </c>
      <c r="AQ214" s="30">
        <f t="shared" si="140"/>
        <v>236.32180612793405</v>
      </c>
      <c r="AR214" s="30">
        <f t="shared" si="140"/>
        <v>283.58616735352086</v>
      </c>
      <c r="AS214" s="30">
        <f t="shared" si="140"/>
        <v>330.85052857910767</v>
      </c>
      <c r="AT214" s="30">
        <f t="shared" si="140"/>
        <v>378.11488980469454</v>
      </c>
      <c r="AU214" s="30">
        <f t="shared" si="140"/>
        <v>425.3792510302813</v>
      </c>
      <c r="AV214" s="30">
        <f t="shared" si="140"/>
        <v>472.64361225586811</v>
      </c>
      <c r="AW214" s="30">
        <f t="shared" si="140"/>
        <v>567.17233470704173</v>
      </c>
      <c r="AX214" s="30">
        <f t="shared" si="140"/>
        <v>661.70105715821535</v>
      </c>
      <c r="AY214" s="30">
        <f t="shared" si="140"/>
        <v>756.22977960938908</v>
      </c>
      <c r="AZ214" s="30">
        <f t="shared" si="140"/>
        <v>850.75850206056259</v>
      </c>
      <c r="BA214" s="30">
        <f t="shared" si="140"/>
        <v>945.28722451173621</v>
      </c>
      <c r="BB214" s="29">
        <f t="shared" si="140"/>
        <v>1890.5744490234724</v>
      </c>
      <c r="BC214" s="30">
        <f t="shared" si="140"/>
        <v>3781.1488980469449</v>
      </c>
      <c r="BD214" s="30">
        <f t="shared" si="140"/>
        <v>7562.2977960938897</v>
      </c>
      <c r="BE214" s="30">
        <f t="shared" si="140"/>
        <v>15124.595592187779</v>
      </c>
      <c r="BF214" s="30">
        <f t="shared" si="140"/>
        <v>19072.225586812401</v>
      </c>
      <c r="BG214" s="71">
        <f t="shared" si="140"/>
        <v>19072.225586812401</v>
      </c>
      <c r="BH214" s="45"/>
    </row>
    <row r="215" spans="1:60" x14ac:dyDescent="0.25">
      <c r="A215" s="42" t="s">
        <v>20</v>
      </c>
      <c r="B215" s="6">
        <f>'Population by Age - Wikipedia'!D9</f>
        <v>0.13133799200038965</v>
      </c>
      <c r="C215" s="10">
        <f t="shared" si="126"/>
        <v>43415808.994604804</v>
      </c>
      <c r="D215" s="23">
        <f>'AU Infection Rate by Age'!C12</f>
        <v>9.8548647195843032E-3</v>
      </c>
      <c r="E215" s="17"/>
      <c r="F215" s="10"/>
      <c r="G215" s="10"/>
      <c r="H215" s="10"/>
      <c r="I215" s="10"/>
      <c r="J215" s="10"/>
      <c r="K215" s="10"/>
      <c r="L215" s="10"/>
      <c r="M215" s="10"/>
      <c r="N215" s="10"/>
      <c r="O215" s="10"/>
      <c r="P215" s="20">
        <f t="shared" ref="P215:BG215" si="141">P$167*$D$215</f>
        <v>0.30796452248700945</v>
      </c>
      <c r="Q215" s="21">
        <f t="shared" si="141"/>
        <v>0.6159290449740189</v>
      </c>
      <c r="R215" s="21">
        <f t="shared" si="141"/>
        <v>1.2318580899480378</v>
      </c>
      <c r="S215" s="21">
        <f t="shared" si="141"/>
        <v>2.4637161798960756</v>
      </c>
      <c r="T215" s="21">
        <f t="shared" si="141"/>
        <v>4.9274323597921512</v>
      </c>
      <c r="U215" s="21">
        <f t="shared" si="141"/>
        <v>9.8548647195843024</v>
      </c>
      <c r="V215" s="21">
        <f t="shared" si="141"/>
        <v>19.709729439168605</v>
      </c>
      <c r="W215" s="21">
        <f t="shared" si="141"/>
        <v>39.41945887833721</v>
      </c>
      <c r="X215" s="21">
        <f t="shared" si="141"/>
        <v>78.838917756674419</v>
      </c>
      <c r="Y215" s="21">
        <f t="shared" si="141"/>
        <v>157.67783551334884</v>
      </c>
      <c r="Z215" s="21">
        <f t="shared" si="141"/>
        <v>315.35567102669768</v>
      </c>
      <c r="AA215" s="21">
        <f t="shared" si="141"/>
        <v>630.71134205339536</v>
      </c>
      <c r="AB215" s="21">
        <f t="shared" si="141"/>
        <v>1261.4226841067907</v>
      </c>
      <c r="AC215" s="21">
        <f t="shared" si="141"/>
        <v>2522.8453682135814</v>
      </c>
      <c r="AD215" s="21">
        <f t="shared" si="141"/>
        <v>5045.6907364271628</v>
      </c>
      <c r="AE215" s="21">
        <f t="shared" si="141"/>
        <v>6307.113420533954</v>
      </c>
      <c r="AF215" s="21">
        <f t="shared" si="141"/>
        <v>7568.5361046407452</v>
      </c>
      <c r="AG215" s="21">
        <f t="shared" si="141"/>
        <v>8829.9587887475354</v>
      </c>
      <c r="AH215" s="21">
        <f t="shared" si="141"/>
        <v>10091.381472854326</v>
      </c>
      <c r="AI215" s="21">
        <f t="shared" si="141"/>
        <v>12614.226841067908</v>
      </c>
      <c r="AJ215" s="21">
        <f t="shared" si="141"/>
        <v>15137.07220928149</v>
      </c>
      <c r="AK215" s="21">
        <f t="shared" si="141"/>
        <v>17659.917577495071</v>
      </c>
      <c r="AL215" s="21">
        <f t="shared" si="141"/>
        <v>20182.762945708651</v>
      </c>
      <c r="AM215" s="21">
        <f t="shared" si="141"/>
        <v>24219.315534850382</v>
      </c>
      <c r="AN215" s="21">
        <f t="shared" si="141"/>
        <v>28255.868123992113</v>
      </c>
      <c r="AO215" s="21">
        <f t="shared" si="141"/>
        <v>32292.420713133844</v>
      </c>
      <c r="AP215" s="21">
        <f t="shared" si="141"/>
        <v>36328.973302275575</v>
      </c>
      <c r="AQ215" s="21">
        <f t="shared" si="141"/>
        <v>40365.525891417303</v>
      </c>
      <c r="AR215" s="21">
        <f t="shared" si="141"/>
        <v>48438.631069700765</v>
      </c>
      <c r="AS215" s="21">
        <f t="shared" si="141"/>
        <v>56511.736247984227</v>
      </c>
      <c r="AT215" s="21">
        <f t="shared" si="141"/>
        <v>64584.841426267689</v>
      </c>
      <c r="AU215" s="21">
        <f t="shared" si="141"/>
        <v>72657.946604551151</v>
      </c>
      <c r="AV215" s="21">
        <f t="shared" si="141"/>
        <v>80731.051782834606</v>
      </c>
      <c r="AW215" s="21">
        <f t="shared" si="141"/>
        <v>96877.26213940153</v>
      </c>
      <c r="AX215" s="21">
        <f t="shared" si="141"/>
        <v>113023.47249596845</v>
      </c>
      <c r="AY215" s="21">
        <f t="shared" si="141"/>
        <v>129169.68285253538</v>
      </c>
      <c r="AZ215" s="21">
        <f t="shared" si="141"/>
        <v>145315.8932091023</v>
      </c>
      <c r="BA215" s="21">
        <f t="shared" si="141"/>
        <v>161462.10356566921</v>
      </c>
      <c r="BB215" s="20">
        <f t="shared" si="141"/>
        <v>322924.20713133842</v>
      </c>
      <c r="BC215" s="21">
        <f t="shared" si="141"/>
        <v>645848.41426267684</v>
      </c>
      <c r="BD215" s="21">
        <f t="shared" si="141"/>
        <v>1291696.8285253537</v>
      </c>
      <c r="BE215" s="21">
        <f t="shared" si="141"/>
        <v>2583393.6570507074</v>
      </c>
      <c r="BF215" s="21">
        <f t="shared" si="141"/>
        <v>3257678.2834617449</v>
      </c>
      <c r="BG215" s="72">
        <f t="shared" si="141"/>
        <v>3257678.2834617449</v>
      </c>
      <c r="BH215" s="45"/>
    </row>
    <row r="216" spans="1:60" x14ac:dyDescent="0.25">
      <c r="A216" s="42"/>
      <c r="B216" s="7"/>
      <c r="C216" s="11"/>
      <c r="D216" s="26"/>
      <c r="E216" s="28">
        <v>0</v>
      </c>
      <c r="F216" s="10"/>
      <c r="G216" s="10"/>
      <c r="H216" s="10"/>
      <c r="I216" s="10"/>
      <c r="J216" s="10"/>
      <c r="K216" s="10"/>
      <c r="L216" s="10"/>
      <c r="M216" s="10"/>
      <c r="N216" s="10"/>
      <c r="O216" s="10"/>
      <c r="P216" s="31">
        <f t="shared" ref="P216:BG216" si="142">P$167*$D$215*$E$216</f>
        <v>0</v>
      </c>
      <c r="Q216" s="32">
        <f t="shared" si="142"/>
        <v>0</v>
      </c>
      <c r="R216" s="32">
        <f t="shared" si="142"/>
        <v>0</v>
      </c>
      <c r="S216" s="32">
        <f t="shared" si="142"/>
        <v>0</v>
      </c>
      <c r="T216" s="32">
        <f t="shared" si="142"/>
        <v>0</v>
      </c>
      <c r="U216" s="32">
        <f t="shared" si="142"/>
        <v>0</v>
      </c>
      <c r="V216" s="32">
        <f t="shared" si="142"/>
        <v>0</v>
      </c>
      <c r="W216" s="32">
        <f t="shared" si="142"/>
        <v>0</v>
      </c>
      <c r="X216" s="32">
        <f t="shared" si="142"/>
        <v>0</v>
      </c>
      <c r="Y216" s="32">
        <f t="shared" si="142"/>
        <v>0</v>
      </c>
      <c r="Z216" s="32">
        <f t="shared" si="142"/>
        <v>0</v>
      </c>
      <c r="AA216" s="32">
        <f t="shared" si="142"/>
        <v>0</v>
      </c>
      <c r="AB216" s="32">
        <f t="shared" si="142"/>
        <v>0</v>
      </c>
      <c r="AC216" s="32">
        <f t="shared" si="142"/>
        <v>0</v>
      </c>
      <c r="AD216" s="32">
        <f t="shared" si="142"/>
        <v>0</v>
      </c>
      <c r="AE216" s="32">
        <f t="shared" si="142"/>
        <v>0</v>
      </c>
      <c r="AF216" s="32">
        <f t="shared" si="142"/>
        <v>0</v>
      </c>
      <c r="AG216" s="32">
        <f t="shared" si="142"/>
        <v>0</v>
      </c>
      <c r="AH216" s="32">
        <f t="shared" si="142"/>
        <v>0</v>
      </c>
      <c r="AI216" s="32">
        <f t="shared" si="142"/>
        <v>0</v>
      </c>
      <c r="AJ216" s="32">
        <f t="shared" si="142"/>
        <v>0</v>
      </c>
      <c r="AK216" s="32">
        <f t="shared" si="142"/>
        <v>0</v>
      </c>
      <c r="AL216" s="32">
        <f t="shared" si="142"/>
        <v>0</v>
      </c>
      <c r="AM216" s="32">
        <f t="shared" si="142"/>
        <v>0</v>
      </c>
      <c r="AN216" s="32">
        <f t="shared" si="142"/>
        <v>0</v>
      </c>
      <c r="AO216" s="32">
        <f t="shared" si="142"/>
        <v>0</v>
      </c>
      <c r="AP216" s="32">
        <f t="shared" si="142"/>
        <v>0</v>
      </c>
      <c r="AQ216" s="32">
        <f t="shared" si="142"/>
        <v>0</v>
      </c>
      <c r="AR216" s="32">
        <f t="shared" si="142"/>
        <v>0</v>
      </c>
      <c r="AS216" s="32">
        <f t="shared" si="142"/>
        <v>0</v>
      </c>
      <c r="AT216" s="32">
        <f t="shared" si="142"/>
        <v>0</v>
      </c>
      <c r="AU216" s="32">
        <f t="shared" si="142"/>
        <v>0</v>
      </c>
      <c r="AV216" s="32">
        <f t="shared" si="142"/>
        <v>0</v>
      </c>
      <c r="AW216" s="32">
        <f t="shared" si="142"/>
        <v>0</v>
      </c>
      <c r="AX216" s="32">
        <f t="shared" si="142"/>
        <v>0</v>
      </c>
      <c r="AY216" s="32">
        <f t="shared" si="142"/>
        <v>0</v>
      </c>
      <c r="AZ216" s="32">
        <f t="shared" si="142"/>
        <v>0</v>
      </c>
      <c r="BA216" s="32">
        <f t="shared" si="142"/>
        <v>0</v>
      </c>
      <c r="BB216" s="29">
        <f t="shared" si="142"/>
        <v>0</v>
      </c>
      <c r="BC216" s="30">
        <f t="shared" si="142"/>
        <v>0</v>
      </c>
      <c r="BD216" s="30">
        <f t="shared" si="142"/>
        <v>0</v>
      </c>
      <c r="BE216" s="30">
        <f t="shared" si="142"/>
        <v>0</v>
      </c>
      <c r="BF216" s="30">
        <f t="shared" si="142"/>
        <v>0</v>
      </c>
      <c r="BG216" s="71">
        <f t="shared" si="142"/>
        <v>0</v>
      </c>
      <c r="BH216" s="45"/>
    </row>
    <row r="217" spans="1:60" x14ac:dyDescent="0.25">
      <c r="A217" s="41" t="s">
        <v>39</v>
      </c>
      <c r="B217" s="14"/>
      <c r="C217" s="10"/>
      <c r="D217" s="10"/>
      <c r="E217" s="15"/>
      <c r="F217" s="10"/>
      <c r="G217" s="10"/>
      <c r="H217" s="10"/>
      <c r="I217" s="10"/>
      <c r="J217" s="10"/>
      <c r="K217" s="10"/>
      <c r="L217" s="10"/>
      <c r="M217" s="10"/>
      <c r="N217" s="10"/>
      <c r="O217" s="10"/>
      <c r="P217" s="18">
        <f t="shared" ref="P217:AP217" si="143">SUM(P199,P201,P203,P205,P207,P209,P211,P213,P215)</f>
        <v>31.249999999999996</v>
      </c>
      <c r="Q217" s="19">
        <f t="shared" si="143"/>
        <v>62.499999999999993</v>
      </c>
      <c r="R217" s="19">
        <f t="shared" si="143"/>
        <v>124.99999999999999</v>
      </c>
      <c r="S217" s="19">
        <f t="shared" si="143"/>
        <v>249.99999999999997</v>
      </c>
      <c r="T217" s="19">
        <f t="shared" si="143"/>
        <v>499.99999999999994</v>
      </c>
      <c r="U217" s="19">
        <f>SUM(U199,U201,U203,U205,U207,U209,U211,U213,U215)</f>
        <v>999.99999999999989</v>
      </c>
      <c r="V217" s="19">
        <f t="shared" si="143"/>
        <v>1999.9999999999998</v>
      </c>
      <c r="W217" s="19">
        <f t="shared" si="143"/>
        <v>3999.9999999999995</v>
      </c>
      <c r="X217" s="19">
        <f t="shared" si="143"/>
        <v>7999.9999999999991</v>
      </c>
      <c r="Y217" s="19">
        <f t="shared" si="143"/>
        <v>15999.999999999998</v>
      </c>
      <c r="Z217" s="19">
        <f t="shared" si="143"/>
        <v>31999.999999999996</v>
      </c>
      <c r="AA217" s="19">
        <f t="shared" si="143"/>
        <v>63999.999999999993</v>
      </c>
      <c r="AB217" s="19">
        <f t="shared" si="143"/>
        <v>127999.99999999999</v>
      </c>
      <c r="AC217" s="19">
        <f t="shared" si="143"/>
        <v>255999.99999999997</v>
      </c>
      <c r="AD217" s="19">
        <f t="shared" si="143"/>
        <v>511999.99999999994</v>
      </c>
      <c r="AE217" s="19">
        <f t="shared" ref="AE217:AG217" si="144">SUM(AE199,AE201,AE203,AE205,AE207,AE209,AE211,AE213,AE215)</f>
        <v>640000</v>
      </c>
      <c r="AF217" s="19">
        <f t="shared" si="144"/>
        <v>768000</v>
      </c>
      <c r="AG217" s="19">
        <f t="shared" si="144"/>
        <v>895999.99999999988</v>
      </c>
      <c r="AH217" s="19">
        <f t="shared" si="143"/>
        <v>1023999.9999999999</v>
      </c>
      <c r="AI217" s="19">
        <f t="shared" ref="AI217:AK217" si="145">SUM(AI199,AI201,AI203,AI205,AI207,AI209,AI211,AI213,AI215)</f>
        <v>1280000</v>
      </c>
      <c r="AJ217" s="19">
        <f t="shared" si="145"/>
        <v>1536000</v>
      </c>
      <c r="AK217" s="19">
        <f t="shared" si="145"/>
        <v>1791999.9999999998</v>
      </c>
      <c r="AL217" s="19">
        <f t="shared" si="143"/>
        <v>2047999.9999999998</v>
      </c>
      <c r="AM217" s="19">
        <f t="shared" si="143"/>
        <v>2457600</v>
      </c>
      <c r="AN217" s="19">
        <f t="shared" si="143"/>
        <v>2867200</v>
      </c>
      <c r="AO217" s="19">
        <f t="shared" si="143"/>
        <v>3276799.9999999995</v>
      </c>
      <c r="AP217" s="19">
        <f t="shared" si="143"/>
        <v>3686400</v>
      </c>
      <c r="AQ217" s="19">
        <f t="shared" ref="AQ217:BA218" si="146">SUM(AQ199,AQ201,AQ203,AQ205,AQ207,AQ209,AQ211,AQ213,AQ215)</f>
        <v>4095999.9999999995</v>
      </c>
      <c r="AR217" s="19">
        <f t="shared" ref="AR217:AU217" si="147">SUM(AR199,AR201,AR203,AR205,AR207,AR209,AR211,AR213,AR215)</f>
        <v>4915200</v>
      </c>
      <c r="AS217" s="19">
        <f t="shared" si="147"/>
        <v>5734400</v>
      </c>
      <c r="AT217" s="19">
        <f t="shared" si="147"/>
        <v>6553599.9999999991</v>
      </c>
      <c r="AU217" s="19">
        <f t="shared" si="147"/>
        <v>7372800</v>
      </c>
      <c r="AV217" s="19">
        <f t="shared" si="146"/>
        <v>8191999.9999999991</v>
      </c>
      <c r="AW217" s="19">
        <f t="shared" ref="AW217:AZ217" si="148">SUM(AW199,AW201,AW203,AW205,AW207,AW209,AW211,AW213,AW215)</f>
        <v>9830400</v>
      </c>
      <c r="AX217" s="19">
        <f t="shared" si="148"/>
        <v>11468800</v>
      </c>
      <c r="AY217" s="19">
        <f t="shared" si="148"/>
        <v>13107199.999999998</v>
      </c>
      <c r="AZ217" s="19">
        <f t="shared" si="148"/>
        <v>14745600</v>
      </c>
      <c r="BA217" s="19">
        <f t="shared" si="146"/>
        <v>16383999.999999998</v>
      </c>
      <c r="BB217" s="18">
        <f t="shared" ref="BB217:BG217" si="149">SUM(BB199,BB201,BB203,BB205,BB207,BB209,BB211,BB213,BB215)</f>
        <v>32767999.999999996</v>
      </c>
      <c r="BC217" s="19">
        <f t="shared" si="149"/>
        <v>65535999.999999993</v>
      </c>
      <c r="BD217" s="19">
        <f t="shared" si="149"/>
        <v>131071999.99999999</v>
      </c>
      <c r="BE217" s="19">
        <f t="shared" si="149"/>
        <v>262143999.99999997</v>
      </c>
      <c r="BF217" s="19">
        <f t="shared" si="149"/>
        <v>330565499.99999994</v>
      </c>
      <c r="BG217" s="60">
        <f t="shared" si="149"/>
        <v>330565499.99999994</v>
      </c>
      <c r="BH217" s="45"/>
    </row>
    <row r="218" spans="1:60" x14ac:dyDescent="0.25">
      <c r="A218" s="43" t="s">
        <v>38</v>
      </c>
      <c r="B218" s="44"/>
      <c r="C218" s="11"/>
      <c r="D218" s="11"/>
      <c r="E218" s="38"/>
      <c r="F218" s="11"/>
      <c r="G218" s="11"/>
      <c r="H218" s="11"/>
      <c r="I218" s="11"/>
      <c r="J218" s="11"/>
      <c r="K218" s="11"/>
      <c r="L218" s="11"/>
      <c r="M218" s="11"/>
      <c r="N218" s="11"/>
      <c r="O218" s="11"/>
      <c r="P218" s="31">
        <f>SUM(P200,P202,P204,P206,P208,P210,P212,P214,P216)</f>
        <v>0.69269060204264477</v>
      </c>
      <c r="Q218" s="32">
        <f>SUM(Q200,Q202,Q204,Q206,Q208,Q210,Q212,Q214,Q216)</f>
        <v>1.3853812040852895</v>
      </c>
      <c r="R218" s="32">
        <f t="shared" ref="R218:AP218" si="150">SUM(R200,R202,R204,R206,R208,R210,R212,R214,R216)</f>
        <v>2.7707624081705791</v>
      </c>
      <c r="S218" s="32">
        <f t="shared" si="150"/>
        <v>5.5415248163411581</v>
      </c>
      <c r="T218" s="32">
        <f t="shared" si="150"/>
        <v>11.083049632682316</v>
      </c>
      <c r="U218" s="32">
        <f t="shared" si="150"/>
        <v>22.166099265364632</v>
      </c>
      <c r="V218" s="32">
        <f t="shared" si="150"/>
        <v>44.332198530729265</v>
      </c>
      <c r="W218" s="32">
        <f t="shared" si="150"/>
        <v>88.66439706145853</v>
      </c>
      <c r="X218" s="32">
        <f t="shared" si="150"/>
        <v>177.32879412291706</v>
      </c>
      <c r="Y218" s="32">
        <f t="shared" si="150"/>
        <v>354.65758824583412</v>
      </c>
      <c r="Z218" s="32">
        <f t="shared" si="150"/>
        <v>709.31517649166824</v>
      </c>
      <c r="AA218" s="32">
        <f t="shared" si="150"/>
        <v>1418.6303529833365</v>
      </c>
      <c r="AB218" s="32">
        <f t="shared" si="150"/>
        <v>2837.260705966673</v>
      </c>
      <c r="AC218" s="32">
        <f t="shared" si="150"/>
        <v>5674.5214119333459</v>
      </c>
      <c r="AD218" s="32">
        <f t="shared" si="150"/>
        <v>11349.042823866692</v>
      </c>
      <c r="AE218" s="32">
        <f t="shared" ref="AE218:AG218" si="151">SUM(AE200,AE202,AE204,AE206,AE208,AE210,AE212,AE214,AE216)</f>
        <v>14186.303529833365</v>
      </c>
      <c r="AF218" s="32">
        <f t="shared" si="151"/>
        <v>17023.564235800037</v>
      </c>
      <c r="AG218" s="32">
        <f t="shared" si="151"/>
        <v>19860.824941766703</v>
      </c>
      <c r="AH218" s="32">
        <f t="shared" si="150"/>
        <v>22698.085647733384</v>
      </c>
      <c r="AI218" s="32">
        <f t="shared" ref="AI218:AK218" si="152">SUM(AI200,AI202,AI204,AI206,AI208,AI210,AI212,AI214,AI216)</f>
        <v>28372.60705966673</v>
      </c>
      <c r="AJ218" s="32">
        <f t="shared" si="152"/>
        <v>34047.128471600074</v>
      </c>
      <c r="AK218" s="32">
        <f t="shared" si="152"/>
        <v>39721.649883533406</v>
      </c>
      <c r="AL218" s="32">
        <f t="shared" si="150"/>
        <v>45396.171295466767</v>
      </c>
      <c r="AM218" s="32">
        <f t="shared" si="150"/>
        <v>54475.405554560122</v>
      </c>
      <c r="AN218" s="32">
        <f t="shared" si="150"/>
        <v>63554.639813653455</v>
      </c>
      <c r="AO218" s="32">
        <f t="shared" si="150"/>
        <v>72633.874072746825</v>
      </c>
      <c r="AP218" s="32">
        <f t="shared" si="150"/>
        <v>81713.108331840151</v>
      </c>
      <c r="AQ218" s="32">
        <f t="shared" si="146"/>
        <v>90792.342590933535</v>
      </c>
      <c r="AR218" s="32">
        <f t="shared" ref="AR218:AU218" si="153">SUM(AR200,AR202,AR204,AR206,AR208,AR210,AR212,AR214,AR216)</f>
        <v>108950.81110912024</v>
      </c>
      <c r="AS218" s="32">
        <f t="shared" si="153"/>
        <v>127109.27962730691</v>
      </c>
      <c r="AT218" s="32">
        <f t="shared" si="153"/>
        <v>145267.74814549365</v>
      </c>
      <c r="AU218" s="32">
        <f t="shared" si="153"/>
        <v>163426.2166636803</v>
      </c>
      <c r="AV218" s="32">
        <f t="shared" si="146"/>
        <v>181584.68518186707</v>
      </c>
      <c r="AW218" s="32">
        <f t="shared" ref="AW218:AZ218" si="154">SUM(AW200,AW202,AW204,AW206,AW208,AW210,AW212,AW214,AW216)</f>
        <v>217901.62221824049</v>
      </c>
      <c r="AX218" s="32">
        <f t="shared" si="154"/>
        <v>254218.55925461382</v>
      </c>
      <c r="AY218" s="32">
        <f t="shared" si="154"/>
        <v>290535.4962909873</v>
      </c>
      <c r="AZ218" s="32">
        <f t="shared" si="154"/>
        <v>326852.4333273606</v>
      </c>
      <c r="BA218" s="32">
        <f t="shared" si="146"/>
        <v>363169.37036373414</v>
      </c>
      <c r="BB218" s="31">
        <f t="shared" ref="BB218:BG218" si="155">SUM(BB200,BB202,BB204,BB206,BB208,BB210,BB212,BB214,BB216)</f>
        <v>726338.74072746828</v>
      </c>
      <c r="BC218" s="32">
        <f t="shared" si="155"/>
        <v>1452677.4814549366</v>
      </c>
      <c r="BD218" s="32">
        <f t="shared" si="155"/>
        <v>2905354.9629098731</v>
      </c>
      <c r="BE218" s="32">
        <f t="shared" si="155"/>
        <v>5810709.9258197462</v>
      </c>
      <c r="BF218" s="32">
        <f t="shared" si="155"/>
        <v>7327347.6867048908</v>
      </c>
      <c r="BG218" s="73">
        <f t="shared" si="155"/>
        <v>7327347.6867048908</v>
      </c>
      <c r="BH218" s="45"/>
    </row>
    <row r="219" spans="1:60" x14ac:dyDescent="0.25">
      <c r="A219" s="42"/>
      <c r="B219" s="14"/>
      <c r="C219" s="10"/>
      <c r="D219" s="10"/>
      <c r="E219" s="15"/>
      <c r="F219" s="10"/>
      <c r="G219" s="10"/>
      <c r="H219" s="10"/>
      <c r="I219" s="10"/>
      <c r="J219" s="10"/>
      <c r="K219" s="10"/>
      <c r="L219" s="10"/>
      <c r="M219" s="10"/>
      <c r="N219" s="10"/>
      <c r="O219" s="10"/>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row>
    <row r="220" spans="1:60" x14ac:dyDescent="0.25">
      <c r="A220" s="54" t="s">
        <v>50</v>
      </c>
      <c r="B220" s="14"/>
      <c r="C220" s="10"/>
      <c r="D220" s="10"/>
      <c r="E220" s="15"/>
      <c r="F220" s="10"/>
      <c r="G220" s="10"/>
      <c r="H220" s="10"/>
      <c r="I220" s="10"/>
      <c r="J220" s="10"/>
      <c r="K220" s="10"/>
      <c r="L220" s="10"/>
      <c r="M220" s="10"/>
      <c r="N220" s="10"/>
      <c r="O220" s="10"/>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row>
    <row r="221" spans="1:60" x14ac:dyDescent="0.25">
      <c r="A221" s="4"/>
      <c r="B221" s="9" t="s">
        <v>5</v>
      </c>
      <c r="C221" s="9" t="s">
        <v>3</v>
      </c>
      <c r="D221" s="9"/>
      <c r="E221" s="59" t="s">
        <v>2</v>
      </c>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5"/>
      <c r="BH221" s="47"/>
    </row>
    <row r="222" spans="1:60" x14ac:dyDescent="0.25">
      <c r="A222" s="48" t="s">
        <v>1</v>
      </c>
      <c r="B222" s="24">
        <v>0.36799999999999999</v>
      </c>
      <c r="C222" s="10">
        <f>$B$153 * B222</f>
        <v>121648104</v>
      </c>
      <c r="D222" s="16"/>
      <c r="E222" s="16"/>
      <c r="F222" s="16"/>
      <c r="G222" s="16"/>
      <c r="H222" s="16"/>
      <c r="I222" s="16"/>
      <c r="J222" s="16"/>
      <c r="K222" s="16"/>
      <c r="L222" s="16"/>
      <c r="M222" s="16"/>
      <c r="N222" s="16"/>
      <c r="O222" s="16"/>
      <c r="P222" s="18">
        <f t="shared" ref="P222:BG222" si="156">P$167*$B$222</f>
        <v>11.5</v>
      </c>
      <c r="Q222" s="19">
        <f t="shared" si="156"/>
        <v>23</v>
      </c>
      <c r="R222" s="19">
        <f t="shared" si="156"/>
        <v>46</v>
      </c>
      <c r="S222" s="19">
        <f t="shared" si="156"/>
        <v>92</v>
      </c>
      <c r="T222" s="19">
        <f t="shared" si="156"/>
        <v>184</v>
      </c>
      <c r="U222" s="19">
        <f t="shared" si="156"/>
        <v>368</v>
      </c>
      <c r="V222" s="19">
        <f t="shared" si="156"/>
        <v>736</v>
      </c>
      <c r="W222" s="19">
        <f t="shared" si="156"/>
        <v>1472</v>
      </c>
      <c r="X222" s="19">
        <f t="shared" si="156"/>
        <v>2944</v>
      </c>
      <c r="Y222" s="19">
        <f t="shared" si="156"/>
        <v>5888</v>
      </c>
      <c r="Z222" s="19">
        <f t="shared" si="156"/>
        <v>11776</v>
      </c>
      <c r="AA222" s="19">
        <f t="shared" si="156"/>
        <v>23552</v>
      </c>
      <c r="AB222" s="19">
        <f t="shared" si="156"/>
        <v>47104</v>
      </c>
      <c r="AC222" s="19">
        <f t="shared" si="156"/>
        <v>94208</v>
      </c>
      <c r="AD222" s="19">
        <f t="shared" si="156"/>
        <v>188416</v>
      </c>
      <c r="AE222" s="19">
        <f t="shared" si="156"/>
        <v>235520</v>
      </c>
      <c r="AF222" s="19">
        <f t="shared" si="156"/>
        <v>282624</v>
      </c>
      <c r="AG222" s="19">
        <f t="shared" si="156"/>
        <v>329728</v>
      </c>
      <c r="AH222" s="19">
        <f t="shared" si="156"/>
        <v>376832</v>
      </c>
      <c r="AI222" s="19">
        <f t="shared" si="156"/>
        <v>471040</v>
      </c>
      <c r="AJ222" s="19">
        <f t="shared" si="156"/>
        <v>565248</v>
      </c>
      <c r="AK222" s="19">
        <f t="shared" si="156"/>
        <v>659456</v>
      </c>
      <c r="AL222" s="19">
        <f t="shared" si="156"/>
        <v>753664</v>
      </c>
      <c r="AM222" s="19">
        <f t="shared" si="156"/>
        <v>904396.79999999993</v>
      </c>
      <c r="AN222" s="19">
        <f t="shared" si="156"/>
        <v>1055129.6000000001</v>
      </c>
      <c r="AO222" s="19">
        <f t="shared" si="156"/>
        <v>1205862.3999999999</v>
      </c>
      <c r="AP222" s="19">
        <f t="shared" si="156"/>
        <v>1356595.2</v>
      </c>
      <c r="AQ222" s="19">
        <f t="shared" si="156"/>
        <v>1507328</v>
      </c>
      <c r="AR222" s="19">
        <f t="shared" si="156"/>
        <v>1808793.5999999999</v>
      </c>
      <c r="AS222" s="19">
        <f t="shared" si="156"/>
        <v>2110259.2000000002</v>
      </c>
      <c r="AT222" s="19">
        <f t="shared" si="156"/>
        <v>2411724.7999999998</v>
      </c>
      <c r="AU222" s="19">
        <f t="shared" si="156"/>
        <v>2713190.3999999999</v>
      </c>
      <c r="AV222" s="19">
        <f t="shared" si="156"/>
        <v>3014656</v>
      </c>
      <c r="AW222" s="19">
        <f t="shared" si="156"/>
        <v>3617587.1999999997</v>
      </c>
      <c r="AX222" s="19">
        <f t="shared" si="156"/>
        <v>4220518.4000000004</v>
      </c>
      <c r="AY222" s="19">
        <f t="shared" si="156"/>
        <v>4823449.5999999996</v>
      </c>
      <c r="AZ222" s="19">
        <f t="shared" si="156"/>
        <v>5426380.7999999998</v>
      </c>
      <c r="BA222" s="19">
        <f t="shared" si="156"/>
        <v>6029312</v>
      </c>
      <c r="BB222" s="18">
        <f t="shared" si="156"/>
        <v>12058624</v>
      </c>
      <c r="BC222" s="19">
        <f t="shared" si="156"/>
        <v>24117248</v>
      </c>
      <c r="BD222" s="19">
        <f t="shared" si="156"/>
        <v>48234496</v>
      </c>
      <c r="BE222" s="19">
        <f t="shared" si="156"/>
        <v>96468992</v>
      </c>
      <c r="BF222" s="19">
        <f t="shared" si="156"/>
        <v>121648104</v>
      </c>
      <c r="BG222" s="60">
        <f t="shared" si="156"/>
        <v>121648104</v>
      </c>
      <c r="BH222" s="45"/>
    </row>
    <row r="223" spans="1:60" x14ac:dyDescent="0.25">
      <c r="A223" s="48"/>
      <c r="B223" s="16"/>
      <c r="C223" s="16"/>
      <c r="D223" s="25"/>
      <c r="E223" s="46">
        <v>0.105</v>
      </c>
      <c r="F223" s="16"/>
      <c r="G223" s="16"/>
      <c r="H223" s="16"/>
      <c r="I223" s="16"/>
      <c r="J223" s="16"/>
      <c r="K223" s="16"/>
      <c r="L223" s="16"/>
      <c r="M223" s="16"/>
      <c r="N223" s="16"/>
      <c r="O223" s="16"/>
      <c r="P223" s="29">
        <f>P222*$E$223</f>
        <v>1.2075</v>
      </c>
      <c r="Q223" s="30">
        <f t="shared" ref="Q223:AP223" si="157">Q222*$E$223</f>
        <v>2.415</v>
      </c>
      <c r="R223" s="30">
        <f t="shared" si="157"/>
        <v>4.83</v>
      </c>
      <c r="S223" s="30">
        <f t="shared" si="157"/>
        <v>9.66</v>
      </c>
      <c r="T223" s="30">
        <f t="shared" si="157"/>
        <v>19.32</v>
      </c>
      <c r="U223" s="30">
        <f t="shared" si="157"/>
        <v>38.64</v>
      </c>
      <c r="V223" s="30">
        <f t="shared" si="157"/>
        <v>77.28</v>
      </c>
      <c r="W223" s="30">
        <f t="shared" si="157"/>
        <v>154.56</v>
      </c>
      <c r="X223" s="30">
        <f t="shared" si="157"/>
        <v>309.12</v>
      </c>
      <c r="Y223" s="30">
        <f t="shared" si="157"/>
        <v>618.24</v>
      </c>
      <c r="Z223" s="30">
        <f t="shared" si="157"/>
        <v>1236.48</v>
      </c>
      <c r="AA223" s="30">
        <f t="shared" si="157"/>
        <v>2472.96</v>
      </c>
      <c r="AB223" s="30">
        <f t="shared" si="157"/>
        <v>4945.92</v>
      </c>
      <c r="AC223" s="30">
        <f t="shared" si="157"/>
        <v>9891.84</v>
      </c>
      <c r="AD223" s="30">
        <f t="shared" si="157"/>
        <v>19783.68</v>
      </c>
      <c r="AE223" s="30">
        <f t="shared" ref="AE223:AG223" si="158">AE222*$E$223</f>
        <v>24729.599999999999</v>
      </c>
      <c r="AF223" s="30">
        <f t="shared" si="158"/>
        <v>29675.52</v>
      </c>
      <c r="AG223" s="30">
        <f t="shared" si="158"/>
        <v>34621.440000000002</v>
      </c>
      <c r="AH223" s="30">
        <f t="shared" si="157"/>
        <v>39567.360000000001</v>
      </c>
      <c r="AI223" s="30">
        <f t="shared" ref="AI223:AK223" si="159">AI222*$E$223</f>
        <v>49459.199999999997</v>
      </c>
      <c r="AJ223" s="30">
        <f t="shared" si="159"/>
        <v>59351.040000000001</v>
      </c>
      <c r="AK223" s="30">
        <f t="shared" si="159"/>
        <v>69242.880000000005</v>
      </c>
      <c r="AL223" s="30">
        <f t="shared" si="157"/>
        <v>79134.720000000001</v>
      </c>
      <c r="AM223" s="30">
        <f t="shared" si="157"/>
        <v>94961.66399999999</v>
      </c>
      <c r="AN223" s="30">
        <f t="shared" si="157"/>
        <v>110788.60800000001</v>
      </c>
      <c r="AO223" s="30">
        <f t="shared" si="157"/>
        <v>126615.55199999998</v>
      </c>
      <c r="AP223" s="30">
        <f t="shared" si="157"/>
        <v>142442.49599999998</v>
      </c>
      <c r="AQ223" s="30">
        <f>AQ222*$E$223</f>
        <v>158269.44</v>
      </c>
      <c r="AR223" s="30">
        <f t="shared" ref="AR223:AU223" si="160">AR222*$E$223</f>
        <v>189923.32799999998</v>
      </c>
      <c r="AS223" s="30">
        <f t="shared" si="160"/>
        <v>221577.21600000001</v>
      </c>
      <c r="AT223" s="30">
        <f t="shared" si="160"/>
        <v>253231.10399999996</v>
      </c>
      <c r="AU223" s="30">
        <f t="shared" si="160"/>
        <v>284884.99199999997</v>
      </c>
      <c r="AV223" s="30">
        <f>AV222*$E$223</f>
        <v>316538.88</v>
      </c>
      <c r="AW223" s="30">
        <f t="shared" ref="AW223:AZ223" si="161">AW222*$E$223</f>
        <v>379846.65599999996</v>
      </c>
      <c r="AX223" s="30">
        <f t="shared" si="161"/>
        <v>443154.43200000003</v>
      </c>
      <c r="AY223" s="30">
        <f t="shared" si="161"/>
        <v>506462.20799999993</v>
      </c>
      <c r="AZ223" s="30">
        <f t="shared" si="161"/>
        <v>569769.98399999994</v>
      </c>
      <c r="BA223" s="30">
        <f>BA222*$E$223</f>
        <v>633077.76000000001</v>
      </c>
      <c r="BB223" s="29">
        <f t="shared" ref="BB223:BG223" si="162">BB222*$E$223</f>
        <v>1266155.52</v>
      </c>
      <c r="BC223" s="30">
        <f t="shared" si="162"/>
        <v>2532311.04</v>
      </c>
      <c r="BD223" s="30">
        <f t="shared" si="162"/>
        <v>5064622.0800000001</v>
      </c>
      <c r="BE223" s="30">
        <f t="shared" si="162"/>
        <v>10129244.16</v>
      </c>
      <c r="BF223" s="30">
        <f t="shared" si="162"/>
        <v>12773050.92</v>
      </c>
      <c r="BG223" s="71">
        <f t="shared" si="162"/>
        <v>12773050.92</v>
      </c>
      <c r="BH223" s="45"/>
    </row>
    <row r="224" spans="1:60" x14ac:dyDescent="0.25">
      <c r="A224" s="48" t="s">
        <v>4</v>
      </c>
      <c r="B224" s="24">
        <v>9.8000000000000004E-2</v>
      </c>
      <c r="C224" s="10">
        <f>$B$153 * B224</f>
        <v>32395419</v>
      </c>
      <c r="D224" s="47"/>
      <c r="E224" s="16"/>
      <c r="F224" s="16"/>
      <c r="G224" s="16"/>
      <c r="H224" s="16"/>
      <c r="I224" s="16"/>
      <c r="J224" s="16"/>
      <c r="K224" s="16"/>
      <c r="L224" s="16"/>
      <c r="M224" s="16"/>
      <c r="N224" s="16"/>
      <c r="O224" s="16"/>
      <c r="P224" s="20">
        <f t="shared" ref="P224:BG224" si="163">P$167*$B$224</f>
        <v>3.0625</v>
      </c>
      <c r="Q224" s="21">
        <f t="shared" si="163"/>
        <v>6.125</v>
      </c>
      <c r="R224" s="21">
        <f t="shared" si="163"/>
        <v>12.25</v>
      </c>
      <c r="S224" s="21">
        <f t="shared" si="163"/>
        <v>24.5</v>
      </c>
      <c r="T224" s="21">
        <f t="shared" si="163"/>
        <v>49</v>
      </c>
      <c r="U224" s="21">
        <f t="shared" si="163"/>
        <v>98</v>
      </c>
      <c r="V224" s="21">
        <f t="shared" si="163"/>
        <v>196</v>
      </c>
      <c r="W224" s="21">
        <f t="shared" si="163"/>
        <v>392</v>
      </c>
      <c r="X224" s="21">
        <f t="shared" si="163"/>
        <v>784</v>
      </c>
      <c r="Y224" s="21">
        <f t="shared" si="163"/>
        <v>1568</v>
      </c>
      <c r="Z224" s="21">
        <f t="shared" si="163"/>
        <v>3136</v>
      </c>
      <c r="AA224" s="21">
        <f t="shared" si="163"/>
        <v>6272</v>
      </c>
      <c r="AB224" s="21">
        <f t="shared" si="163"/>
        <v>12544</v>
      </c>
      <c r="AC224" s="21">
        <f t="shared" si="163"/>
        <v>25088</v>
      </c>
      <c r="AD224" s="21">
        <f t="shared" si="163"/>
        <v>50176</v>
      </c>
      <c r="AE224" s="21">
        <f t="shared" si="163"/>
        <v>62720</v>
      </c>
      <c r="AF224" s="21">
        <f t="shared" si="163"/>
        <v>75264</v>
      </c>
      <c r="AG224" s="21">
        <f t="shared" si="163"/>
        <v>87808</v>
      </c>
      <c r="AH224" s="21">
        <f t="shared" si="163"/>
        <v>100352</v>
      </c>
      <c r="AI224" s="21">
        <f t="shared" si="163"/>
        <v>125440</v>
      </c>
      <c r="AJ224" s="21">
        <f t="shared" si="163"/>
        <v>150528</v>
      </c>
      <c r="AK224" s="21">
        <f t="shared" si="163"/>
        <v>175616</v>
      </c>
      <c r="AL224" s="21">
        <f t="shared" si="163"/>
        <v>200704</v>
      </c>
      <c r="AM224" s="21">
        <f t="shared" si="163"/>
        <v>240844.80000000002</v>
      </c>
      <c r="AN224" s="21">
        <f t="shared" si="163"/>
        <v>280985.60000000003</v>
      </c>
      <c r="AO224" s="21">
        <f t="shared" si="163"/>
        <v>321126.40000000002</v>
      </c>
      <c r="AP224" s="21">
        <f t="shared" si="163"/>
        <v>361267.20000000001</v>
      </c>
      <c r="AQ224" s="21">
        <f t="shared" si="163"/>
        <v>401408</v>
      </c>
      <c r="AR224" s="21">
        <f t="shared" si="163"/>
        <v>481689.60000000003</v>
      </c>
      <c r="AS224" s="21">
        <f t="shared" si="163"/>
        <v>561971.20000000007</v>
      </c>
      <c r="AT224" s="21">
        <f t="shared" si="163"/>
        <v>642252.80000000005</v>
      </c>
      <c r="AU224" s="21">
        <f t="shared" si="163"/>
        <v>722534.40000000002</v>
      </c>
      <c r="AV224" s="21">
        <f t="shared" si="163"/>
        <v>802816</v>
      </c>
      <c r="AW224" s="21">
        <f t="shared" si="163"/>
        <v>963379.20000000007</v>
      </c>
      <c r="AX224" s="21">
        <f t="shared" si="163"/>
        <v>1123942.4000000001</v>
      </c>
      <c r="AY224" s="21">
        <f t="shared" si="163"/>
        <v>1284505.6000000001</v>
      </c>
      <c r="AZ224" s="21">
        <f t="shared" si="163"/>
        <v>1445068.8</v>
      </c>
      <c r="BA224" s="21">
        <f t="shared" si="163"/>
        <v>1605632</v>
      </c>
      <c r="BB224" s="20">
        <f t="shared" si="163"/>
        <v>3211264</v>
      </c>
      <c r="BC224" s="21">
        <f t="shared" si="163"/>
        <v>6422528</v>
      </c>
      <c r="BD224" s="21">
        <f t="shared" si="163"/>
        <v>12845056</v>
      </c>
      <c r="BE224" s="21">
        <f t="shared" si="163"/>
        <v>25690112</v>
      </c>
      <c r="BF224" s="21">
        <f t="shared" si="163"/>
        <v>32395419</v>
      </c>
      <c r="BG224" s="72">
        <f t="shared" si="163"/>
        <v>32395419</v>
      </c>
      <c r="BH224" s="45"/>
    </row>
    <row r="225" spans="1:60" x14ac:dyDescent="0.25">
      <c r="A225" s="48"/>
      <c r="B225" s="16"/>
      <c r="C225" s="16"/>
      <c r="D225" s="25"/>
      <c r="E225" s="46">
        <v>7.2999999999999995E-2</v>
      </c>
      <c r="F225" s="16"/>
      <c r="G225" s="16"/>
      <c r="H225" s="16"/>
      <c r="I225" s="16"/>
      <c r="J225" s="16"/>
      <c r="K225" s="16"/>
      <c r="L225" s="16"/>
      <c r="M225" s="16"/>
      <c r="N225" s="16"/>
      <c r="O225" s="16"/>
      <c r="P225" s="29">
        <f t="shared" ref="P225:AP225" si="164">P224*$E$225</f>
        <v>0.2235625</v>
      </c>
      <c r="Q225" s="30">
        <f t="shared" si="164"/>
        <v>0.44712499999999999</v>
      </c>
      <c r="R225" s="30">
        <f t="shared" si="164"/>
        <v>0.89424999999999999</v>
      </c>
      <c r="S225" s="30">
        <f t="shared" si="164"/>
        <v>1.7885</v>
      </c>
      <c r="T225" s="30">
        <f t="shared" si="164"/>
        <v>3.577</v>
      </c>
      <c r="U225" s="30">
        <f t="shared" si="164"/>
        <v>7.1539999999999999</v>
      </c>
      <c r="V225" s="30">
        <f t="shared" si="164"/>
        <v>14.308</v>
      </c>
      <c r="W225" s="30">
        <f t="shared" si="164"/>
        <v>28.616</v>
      </c>
      <c r="X225" s="30">
        <f t="shared" si="164"/>
        <v>57.231999999999999</v>
      </c>
      <c r="Y225" s="30">
        <f t="shared" si="164"/>
        <v>114.464</v>
      </c>
      <c r="Z225" s="30">
        <f t="shared" si="164"/>
        <v>228.928</v>
      </c>
      <c r="AA225" s="30">
        <f t="shared" si="164"/>
        <v>457.85599999999999</v>
      </c>
      <c r="AB225" s="30">
        <f t="shared" si="164"/>
        <v>915.71199999999999</v>
      </c>
      <c r="AC225" s="30">
        <f t="shared" si="164"/>
        <v>1831.424</v>
      </c>
      <c r="AD225" s="30">
        <f t="shared" si="164"/>
        <v>3662.848</v>
      </c>
      <c r="AE225" s="30">
        <f t="shared" ref="AE225:AG225" si="165">AE224*$E$225</f>
        <v>4578.5599999999995</v>
      </c>
      <c r="AF225" s="30">
        <f t="shared" si="165"/>
        <v>5494.2719999999999</v>
      </c>
      <c r="AG225" s="30">
        <f t="shared" si="165"/>
        <v>6409.9839999999995</v>
      </c>
      <c r="AH225" s="30">
        <f t="shared" si="164"/>
        <v>7325.6959999999999</v>
      </c>
      <c r="AI225" s="30">
        <f t="shared" ref="AI225:AK225" si="166">AI224*$E$225</f>
        <v>9157.119999999999</v>
      </c>
      <c r="AJ225" s="30">
        <f t="shared" si="166"/>
        <v>10988.544</v>
      </c>
      <c r="AK225" s="30">
        <f t="shared" si="166"/>
        <v>12819.967999999999</v>
      </c>
      <c r="AL225" s="30">
        <f t="shared" si="164"/>
        <v>14651.392</v>
      </c>
      <c r="AM225" s="30">
        <f t="shared" si="164"/>
        <v>17581.670399999999</v>
      </c>
      <c r="AN225" s="30">
        <f t="shared" si="164"/>
        <v>20511.948800000002</v>
      </c>
      <c r="AO225" s="30">
        <f t="shared" si="164"/>
        <v>23442.227200000001</v>
      </c>
      <c r="AP225" s="30">
        <f t="shared" si="164"/>
        <v>26372.5056</v>
      </c>
      <c r="AQ225" s="30">
        <f>AQ224*$E$225</f>
        <v>29302.784</v>
      </c>
      <c r="AR225" s="30">
        <f t="shared" ref="AR225:AU225" si="167">AR224*$E$225</f>
        <v>35163.340799999998</v>
      </c>
      <c r="AS225" s="30">
        <f t="shared" si="167"/>
        <v>41023.897600000004</v>
      </c>
      <c r="AT225" s="30">
        <f t="shared" si="167"/>
        <v>46884.454400000002</v>
      </c>
      <c r="AU225" s="30">
        <f t="shared" si="167"/>
        <v>52745.011200000001</v>
      </c>
      <c r="AV225" s="30">
        <f>AV224*$E$225</f>
        <v>58605.567999999999</v>
      </c>
      <c r="AW225" s="30">
        <f t="shared" ref="AW225:AZ225" si="168">AW224*$E$225</f>
        <v>70326.681599999996</v>
      </c>
      <c r="AX225" s="30">
        <f t="shared" si="168"/>
        <v>82047.795200000008</v>
      </c>
      <c r="AY225" s="30">
        <f t="shared" si="168"/>
        <v>93768.908800000005</v>
      </c>
      <c r="AZ225" s="30">
        <f t="shared" si="168"/>
        <v>105490.0224</v>
      </c>
      <c r="BA225" s="30">
        <f>BA224*$E$225</f>
        <v>117211.136</v>
      </c>
      <c r="BB225" s="29">
        <f t="shared" ref="BB225:BG225" si="169">BB224*$E$225</f>
        <v>234422.272</v>
      </c>
      <c r="BC225" s="30">
        <f t="shared" si="169"/>
        <v>468844.54399999999</v>
      </c>
      <c r="BD225" s="30">
        <f t="shared" si="169"/>
        <v>937689.08799999999</v>
      </c>
      <c r="BE225" s="30">
        <f t="shared" si="169"/>
        <v>1875378.176</v>
      </c>
      <c r="BF225" s="30">
        <f t="shared" si="169"/>
        <v>2364865.5869999998</v>
      </c>
      <c r="BG225" s="71">
        <f t="shared" si="169"/>
        <v>2364865.5869999998</v>
      </c>
      <c r="BH225" s="45"/>
    </row>
    <row r="226" spans="1:60" x14ac:dyDescent="0.25">
      <c r="A226" s="48" t="s">
        <v>6</v>
      </c>
      <c r="B226" s="24">
        <v>0.13400000000000001</v>
      </c>
      <c r="C226" s="10">
        <f>$B$153 * B226</f>
        <v>44295777</v>
      </c>
      <c r="D226" s="47"/>
      <c r="E226" s="16"/>
      <c r="F226" s="16"/>
      <c r="G226" s="16"/>
      <c r="H226" s="16"/>
      <c r="I226" s="16"/>
      <c r="J226" s="16"/>
      <c r="K226" s="16"/>
      <c r="L226" s="16"/>
      <c r="M226" s="16"/>
      <c r="N226" s="16"/>
      <c r="O226" s="16"/>
      <c r="P226" s="20">
        <f t="shared" ref="P226:BG226" si="170">P$167*$B$226</f>
        <v>4.1875</v>
      </c>
      <c r="Q226" s="21">
        <f t="shared" si="170"/>
        <v>8.375</v>
      </c>
      <c r="R226" s="21">
        <f t="shared" si="170"/>
        <v>16.75</v>
      </c>
      <c r="S226" s="21">
        <f t="shared" si="170"/>
        <v>33.5</v>
      </c>
      <c r="T226" s="21">
        <f t="shared" si="170"/>
        <v>67</v>
      </c>
      <c r="U226" s="21">
        <f t="shared" si="170"/>
        <v>134</v>
      </c>
      <c r="V226" s="21">
        <f t="shared" si="170"/>
        <v>268</v>
      </c>
      <c r="W226" s="21">
        <f t="shared" si="170"/>
        <v>536</v>
      </c>
      <c r="X226" s="21">
        <f t="shared" si="170"/>
        <v>1072</v>
      </c>
      <c r="Y226" s="21">
        <f t="shared" si="170"/>
        <v>2144</v>
      </c>
      <c r="Z226" s="21">
        <f t="shared" si="170"/>
        <v>4288</v>
      </c>
      <c r="AA226" s="21">
        <f t="shared" si="170"/>
        <v>8576</v>
      </c>
      <c r="AB226" s="21">
        <f t="shared" si="170"/>
        <v>17152</v>
      </c>
      <c r="AC226" s="21">
        <f t="shared" si="170"/>
        <v>34304</v>
      </c>
      <c r="AD226" s="21">
        <f t="shared" si="170"/>
        <v>68608</v>
      </c>
      <c r="AE226" s="21">
        <f t="shared" si="170"/>
        <v>85760</v>
      </c>
      <c r="AF226" s="21">
        <f t="shared" si="170"/>
        <v>102912</v>
      </c>
      <c r="AG226" s="21">
        <f t="shared" si="170"/>
        <v>120064</v>
      </c>
      <c r="AH226" s="21">
        <f t="shared" si="170"/>
        <v>137216</v>
      </c>
      <c r="AI226" s="21">
        <f t="shared" si="170"/>
        <v>171520</v>
      </c>
      <c r="AJ226" s="21">
        <f t="shared" si="170"/>
        <v>205824</v>
      </c>
      <c r="AK226" s="21">
        <f t="shared" si="170"/>
        <v>240128</v>
      </c>
      <c r="AL226" s="21">
        <f t="shared" si="170"/>
        <v>274432</v>
      </c>
      <c r="AM226" s="21">
        <f t="shared" si="170"/>
        <v>329318.40000000002</v>
      </c>
      <c r="AN226" s="21">
        <f t="shared" si="170"/>
        <v>384204.80000000005</v>
      </c>
      <c r="AO226" s="21">
        <f t="shared" si="170"/>
        <v>439091.20000000001</v>
      </c>
      <c r="AP226" s="21">
        <f t="shared" si="170"/>
        <v>493977.60000000003</v>
      </c>
      <c r="AQ226" s="21">
        <f t="shared" si="170"/>
        <v>548864</v>
      </c>
      <c r="AR226" s="21">
        <f t="shared" si="170"/>
        <v>658636.80000000005</v>
      </c>
      <c r="AS226" s="21">
        <f t="shared" si="170"/>
        <v>768409.60000000009</v>
      </c>
      <c r="AT226" s="21">
        <f t="shared" si="170"/>
        <v>878182.40000000002</v>
      </c>
      <c r="AU226" s="21">
        <f t="shared" si="170"/>
        <v>987955.20000000007</v>
      </c>
      <c r="AV226" s="21">
        <f t="shared" si="170"/>
        <v>1097728</v>
      </c>
      <c r="AW226" s="21">
        <f t="shared" si="170"/>
        <v>1317273.6000000001</v>
      </c>
      <c r="AX226" s="21">
        <f t="shared" si="170"/>
        <v>1536819.2000000002</v>
      </c>
      <c r="AY226" s="21">
        <f t="shared" si="170"/>
        <v>1756364.8</v>
      </c>
      <c r="AZ226" s="21">
        <f t="shared" si="170"/>
        <v>1975910.4000000001</v>
      </c>
      <c r="BA226" s="21">
        <f t="shared" si="170"/>
        <v>2195456</v>
      </c>
      <c r="BB226" s="20">
        <f t="shared" si="170"/>
        <v>4390912</v>
      </c>
      <c r="BC226" s="21">
        <f t="shared" si="170"/>
        <v>8781824</v>
      </c>
      <c r="BD226" s="21">
        <f t="shared" si="170"/>
        <v>17563648</v>
      </c>
      <c r="BE226" s="21">
        <f t="shared" si="170"/>
        <v>35127296</v>
      </c>
      <c r="BF226" s="21">
        <f t="shared" si="170"/>
        <v>44295777</v>
      </c>
      <c r="BG226" s="72">
        <f t="shared" si="170"/>
        <v>44295777</v>
      </c>
      <c r="BH226" s="45"/>
    </row>
    <row r="227" spans="1:60" x14ac:dyDescent="0.25">
      <c r="A227" s="48"/>
      <c r="B227" s="16"/>
      <c r="C227" s="16"/>
      <c r="D227" s="25"/>
      <c r="E227" s="46">
        <v>6.3E-2</v>
      </c>
      <c r="F227" s="16"/>
      <c r="G227" s="16"/>
      <c r="H227" s="16"/>
      <c r="I227" s="16"/>
      <c r="J227" s="16"/>
      <c r="K227" s="16"/>
      <c r="L227" s="16"/>
      <c r="M227" s="16"/>
      <c r="N227" s="16"/>
      <c r="O227" s="16"/>
      <c r="P227" s="29">
        <f t="shared" ref="P227:AP227" si="171">P226*$E$227</f>
        <v>0.26381250000000001</v>
      </c>
      <c r="Q227" s="30">
        <f t="shared" si="171"/>
        <v>0.52762500000000001</v>
      </c>
      <c r="R227" s="30">
        <f t="shared" si="171"/>
        <v>1.05525</v>
      </c>
      <c r="S227" s="30">
        <f t="shared" si="171"/>
        <v>2.1105</v>
      </c>
      <c r="T227" s="30">
        <f t="shared" si="171"/>
        <v>4.2210000000000001</v>
      </c>
      <c r="U227" s="30">
        <f t="shared" si="171"/>
        <v>8.4420000000000002</v>
      </c>
      <c r="V227" s="30">
        <f t="shared" si="171"/>
        <v>16.884</v>
      </c>
      <c r="W227" s="30">
        <f t="shared" si="171"/>
        <v>33.768000000000001</v>
      </c>
      <c r="X227" s="30">
        <f t="shared" si="171"/>
        <v>67.536000000000001</v>
      </c>
      <c r="Y227" s="30">
        <f t="shared" si="171"/>
        <v>135.072</v>
      </c>
      <c r="Z227" s="30">
        <f t="shared" si="171"/>
        <v>270.14400000000001</v>
      </c>
      <c r="AA227" s="30">
        <f t="shared" si="171"/>
        <v>540.28800000000001</v>
      </c>
      <c r="AB227" s="30">
        <f t="shared" si="171"/>
        <v>1080.576</v>
      </c>
      <c r="AC227" s="30">
        <f t="shared" si="171"/>
        <v>2161.152</v>
      </c>
      <c r="AD227" s="30">
        <f t="shared" si="171"/>
        <v>4322.3040000000001</v>
      </c>
      <c r="AE227" s="30">
        <f t="shared" ref="AE227:AG227" si="172">AE226*$E$227</f>
        <v>5402.88</v>
      </c>
      <c r="AF227" s="30">
        <f t="shared" si="172"/>
        <v>6483.4560000000001</v>
      </c>
      <c r="AG227" s="30">
        <f t="shared" si="172"/>
        <v>7564.0320000000002</v>
      </c>
      <c r="AH227" s="30">
        <f t="shared" si="171"/>
        <v>8644.6080000000002</v>
      </c>
      <c r="AI227" s="30">
        <f t="shared" ref="AI227:AK227" si="173">AI226*$E$227</f>
        <v>10805.76</v>
      </c>
      <c r="AJ227" s="30">
        <f t="shared" si="173"/>
        <v>12966.912</v>
      </c>
      <c r="AK227" s="30">
        <f t="shared" si="173"/>
        <v>15128.064</v>
      </c>
      <c r="AL227" s="30">
        <f t="shared" si="171"/>
        <v>17289.216</v>
      </c>
      <c r="AM227" s="30">
        <f t="shared" si="171"/>
        <v>20747.059200000003</v>
      </c>
      <c r="AN227" s="30">
        <f t="shared" si="171"/>
        <v>24204.902400000003</v>
      </c>
      <c r="AO227" s="30">
        <f t="shared" si="171"/>
        <v>27662.745600000002</v>
      </c>
      <c r="AP227" s="30">
        <f t="shared" si="171"/>
        <v>31120.588800000001</v>
      </c>
      <c r="AQ227" s="30">
        <f>AQ226*$E$227</f>
        <v>34578.432000000001</v>
      </c>
      <c r="AR227" s="30">
        <f t="shared" ref="AR227:AU227" si="174">AR226*$E$227</f>
        <v>41494.118400000007</v>
      </c>
      <c r="AS227" s="30">
        <f t="shared" si="174"/>
        <v>48409.804800000005</v>
      </c>
      <c r="AT227" s="30">
        <f t="shared" si="174"/>
        <v>55325.491200000004</v>
      </c>
      <c r="AU227" s="30">
        <f t="shared" si="174"/>
        <v>62241.177600000003</v>
      </c>
      <c r="AV227" s="30">
        <f>AV226*$E$227</f>
        <v>69156.864000000001</v>
      </c>
      <c r="AW227" s="30">
        <f t="shared" ref="AW227:AZ227" si="175">AW226*$E$227</f>
        <v>82988.236800000013</v>
      </c>
      <c r="AX227" s="30">
        <f t="shared" si="175"/>
        <v>96819.609600000011</v>
      </c>
      <c r="AY227" s="30">
        <f t="shared" si="175"/>
        <v>110650.98240000001</v>
      </c>
      <c r="AZ227" s="30">
        <f t="shared" si="175"/>
        <v>124482.35520000001</v>
      </c>
      <c r="BA227" s="30">
        <f>BA226*$E$227</f>
        <v>138313.728</v>
      </c>
      <c r="BB227" s="29">
        <f t="shared" ref="BB227:BG227" si="176">BB226*$E$227</f>
        <v>276627.45600000001</v>
      </c>
      <c r="BC227" s="30">
        <f t="shared" si="176"/>
        <v>553254.91200000001</v>
      </c>
      <c r="BD227" s="30">
        <f t="shared" si="176"/>
        <v>1106509.824</v>
      </c>
      <c r="BE227" s="30">
        <f t="shared" si="176"/>
        <v>2213019.648</v>
      </c>
      <c r="BF227" s="30">
        <f t="shared" si="176"/>
        <v>2790633.9509999999</v>
      </c>
      <c r="BG227" s="71">
        <f t="shared" si="176"/>
        <v>2790633.9509999999</v>
      </c>
      <c r="BH227" s="45"/>
    </row>
    <row r="228" spans="1:60" x14ac:dyDescent="0.25">
      <c r="A228" s="48" t="s">
        <v>7</v>
      </c>
      <c r="B228" s="24">
        <v>0.46</v>
      </c>
      <c r="C228" s="10">
        <f>$B$153 * B228</f>
        <v>152060130</v>
      </c>
      <c r="D228" s="47"/>
      <c r="E228" s="16"/>
      <c r="F228" s="16"/>
      <c r="G228" s="16"/>
      <c r="H228" s="16"/>
      <c r="I228" s="16"/>
      <c r="J228" s="16"/>
      <c r="K228" s="16"/>
      <c r="L228" s="16"/>
      <c r="M228" s="16"/>
      <c r="N228" s="16"/>
      <c r="O228" s="16"/>
      <c r="P228" s="20">
        <f t="shared" ref="P228:BG228" si="177">P$167*$B$228</f>
        <v>14.375</v>
      </c>
      <c r="Q228" s="21">
        <f t="shared" si="177"/>
        <v>28.75</v>
      </c>
      <c r="R228" s="21">
        <f t="shared" si="177"/>
        <v>57.5</v>
      </c>
      <c r="S228" s="21">
        <f t="shared" si="177"/>
        <v>115</v>
      </c>
      <c r="T228" s="21">
        <f t="shared" si="177"/>
        <v>230</v>
      </c>
      <c r="U228" s="21">
        <f t="shared" si="177"/>
        <v>460</v>
      </c>
      <c r="V228" s="21">
        <f t="shared" si="177"/>
        <v>920</v>
      </c>
      <c r="W228" s="21">
        <f t="shared" si="177"/>
        <v>1840</v>
      </c>
      <c r="X228" s="21">
        <f t="shared" si="177"/>
        <v>3680</v>
      </c>
      <c r="Y228" s="21">
        <f t="shared" si="177"/>
        <v>7360</v>
      </c>
      <c r="Z228" s="21">
        <f t="shared" si="177"/>
        <v>14720</v>
      </c>
      <c r="AA228" s="21">
        <f t="shared" si="177"/>
        <v>29440</v>
      </c>
      <c r="AB228" s="21">
        <f t="shared" si="177"/>
        <v>58880</v>
      </c>
      <c r="AC228" s="21">
        <f t="shared" si="177"/>
        <v>117760</v>
      </c>
      <c r="AD228" s="21">
        <f t="shared" si="177"/>
        <v>235520</v>
      </c>
      <c r="AE228" s="21">
        <f t="shared" si="177"/>
        <v>294400</v>
      </c>
      <c r="AF228" s="21">
        <f t="shared" si="177"/>
        <v>353280</v>
      </c>
      <c r="AG228" s="21">
        <f t="shared" si="177"/>
        <v>412160</v>
      </c>
      <c r="AH228" s="21">
        <f t="shared" si="177"/>
        <v>471040</v>
      </c>
      <c r="AI228" s="21">
        <f t="shared" si="177"/>
        <v>588800</v>
      </c>
      <c r="AJ228" s="21">
        <f t="shared" si="177"/>
        <v>706560</v>
      </c>
      <c r="AK228" s="21">
        <f t="shared" si="177"/>
        <v>824320</v>
      </c>
      <c r="AL228" s="21">
        <f t="shared" si="177"/>
        <v>942080</v>
      </c>
      <c r="AM228" s="21">
        <f t="shared" si="177"/>
        <v>1130496</v>
      </c>
      <c r="AN228" s="21">
        <f t="shared" si="177"/>
        <v>1318912</v>
      </c>
      <c r="AO228" s="21">
        <f t="shared" si="177"/>
        <v>1507328</v>
      </c>
      <c r="AP228" s="21">
        <f t="shared" si="177"/>
        <v>1695744</v>
      </c>
      <c r="AQ228" s="21">
        <f t="shared" si="177"/>
        <v>1884160</v>
      </c>
      <c r="AR228" s="21">
        <f t="shared" si="177"/>
        <v>2260992</v>
      </c>
      <c r="AS228" s="21">
        <f t="shared" si="177"/>
        <v>2637824</v>
      </c>
      <c r="AT228" s="21">
        <f t="shared" si="177"/>
        <v>3014656</v>
      </c>
      <c r="AU228" s="21">
        <f t="shared" si="177"/>
        <v>3391488</v>
      </c>
      <c r="AV228" s="21">
        <f t="shared" si="177"/>
        <v>3768320</v>
      </c>
      <c r="AW228" s="21">
        <f t="shared" si="177"/>
        <v>4521984</v>
      </c>
      <c r="AX228" s="21">
        <f t="shared" si="177"/>
        <v>5275648</v>
      </c>
      <c r="AY228" s="21">
        <f t="shared" si="177"/>
        <v>6029312</v>
      </c>
      <c r="AZ228" s="21">
        <f t="shared" si="177"/>
        <v>6782976</v>
      </c>
      <c r="BA228" s="21">
        <f t="shared" si="177"/>
        <v>7536640</v>
      </c>
      <c r="BB228" s="20">
        <f t="shared" si="177"/>
        <v>15073280</v>
      </c>
      <c r="BC228" s="21">
        <f t="shared" si="177"/>
        <v>30146560</v>
      </c>
      <c r="BD228" s="21">
        <f t="shared" si="177"/>
        <v>60293120</v>
      </c>
      <c r="BE228" s="21">
        <f t="shared" si="177"/>
        <v>120586240</v>
      </c>
      <c r="BF228" s="21">
        <f t="shared" si="177"/>
        <v>152060130</v>
      </c>
      <c r="BG228" s="72">
        <f t="shared" si="177"/>
        <v>152060130</v>
      </c>
      <c r="BH228" s="45"/>
    </row>
    <row r="229" spans="1:60" x14ac:dyDescent="0.25">
      <c r="A229" s="48"/>
      <c r="B229" s="16"/>
      <c r="C229" s="16"/>
      <c r="D229" s="25"/>
      <c r="E229" s="46">
        <v>0.06</v>
      </c>
      <c r="F229" s="16"/>
      <c r="G229" s="16"/>
      <c r="H229" s="16"/>
      <c r="I229" s="16"/>
      <c r="J229" s="16"/>
      <c r="K229" s="16"/>
      <c r="L229" s="16"/>
      <c r="M229" s="16"/>
      <c r="N229" s="16"/>
      <c r="O229" s="16"/>
      <c r="P229" s="29">
        <f t="shared" ref="P229:AP229" si="178">P228*$E$229</f>
        <v>0.86249999999999993</v>
      </c>
      <c r="Q229" s="30">
        <f t="shared" si="178"/>
        <v>1.7249999999999999</v>
      </c>
      <c r="R229" s="30">
        <f t="shared" si="178"/>
        <v>3.4499999999999997</v>
      </c>
      <c r="S229" s="30">
        <f t="shared" si="178"/>
        <v>6.8999999999999995</v>
      </c>
      <c r="T229" s="30">
        <f t="shared" si="178"/>
        <v>13.799999999999999</v>
      </c>
      <c r="U229" s="30">
        <f t="shared" si="178"/>
        <v>27.599999999999998</v>
      </c>
      <c r="V229" s="30">
        <f t="shared" si="178"/>
        <v>55.199999999999996</v>
      </c>
      <c r="W229" s="30">
        <f t="shared" si="178"/>
        <v>110.39999999999999</v>
      </c>
      <c r="X229" s="30">
        <f t="shared" si="178"/>
        <v>220.79999999999998</v>
      </c>
      <c r="Y229" s="30">
        <f t="shared" si="178"/>
        <v>441.59999999999997</v>
      </c>
      <c r="Z229" s="30">
        <f t="shared" si="178"/>
        <v>883.19999999999993</v>
      </c>
      <c r="AA229" s="30">
        <f t="shared" si="178"/>
        <v>1766.3999999999999</v>
      </c>
      <c r="AB229" s="30">
        <f t="shared" si="178"/>
        <v>3532.7999999999997</v>
      </c>
      <c r="AC229" s="30">
        <f t="shared" si="178"/>
        <v>7065.5999999999995</v>
      </c>
      <c r="AD229" s="30">
        <f t="shared" si="178"/>
        <v>14131.199999999999</v>
      </c>
      <c r="AE229" s="30">
        <f t="shared" ref="AE229:AG229" si="179">AE228*$E$229</f>
        <v>17664</v>
      </c>
      <c r="AF229" s="30">
        <f t="shared" si="179"/>
        <v>21196.799999999999</v>
      </c>
      <c r="AG229" s="30">
        <f t="shared" si="179"/>
        <v>24729.599999999999</v>
      </c>
      <c r="AH229" s="30">
        <f t="shared" si="178"/>
        <v>28262.399999999998</v>
      </c>
      <c r="AI229" s="30">
        <f t="shared" ref="AI229:AK229" si="180">AI228*$E$229</f>
        <v>35328</v>
      </c>
      <c r="AJ229" s="30">
        <f t="shared" si="180"/>
        <v>42393.599999999999</v>
      </c>
      <c r="AK229" s="30">
        <f t="shared" si="180"/>
        <v>49459.199999999997</v>
      </c>
      <c r="AL229" s="30">
        <f t="shared" si="178"/>
        <v>56524.799999999996</v>
      </c>
      <c r="AM229" s="30">
        <f t="shared" si="178"/>
        <v>67829.759999999995</v>
      </c>
      <c r="AN229" s="30">
        <f t="shared" si="178"/>
        <v>79134.720000000001</v>
      </c>
      <c r="AO229" s="30">
        <f t="shared" si="178"/>
        <v>90439.679999999993</v>
      </c>
      <c r="AP229" s="30">
        <f t="shared" si="178"/>
        <v>101744.64</v>
      </c>
      <c r="AQ229" s="30">
        <f>AQ228*$E$229</f>
        <v>113049.59999999999</v>
      </c>
      <c r="AR229" s="30">
        <f t="shared" ref="AR229:AU229" si="181">AR228*$E$229</f>
        <v>135659.51999999999</v>
      </c>
      <c r="AS229" s="30">
        <f t="shared" si="181"/>
        <v>158269.44</v>
      </c>
      <c r="AT229" s="30">
        <f t="shared" si="181"/>
        <v>180879.35999999999</v>
      </c>
      <c r="AU229" s="30">
        <f t="shared" si="181"/>
        <v>203489.28</v>
      </c>
      <c r="AV229" s="30">
        <f>AV228*$E$229</f>
        <v>226099.19999999998</v>
      </c>
      <c r="AW229" s="30">
        <f t="shared" ref="AW229:AZ229" si="182">AW228*$E$229</f>
        <v>271319.03999999998</v>
      </c>
      <c r="AX229" s="30">
        <f t="shared" si="182"/>
        <v>316538.88</v>
      </c>
      <c r="AY229" s="30">
        <f t="shared" si="182"/>
        <v>361758.71999999997</v>
      </c>
      <c r="AZ229" s="30">
        <f t="shared" si="182"/>
        <v>406978.56</v>
      </c>
      <c r="BA229" s="30">
        <f>BA228*$E$229</f>
        <v>452198.39999999997</v>
      </c>
      <c r="BB229" s="29">
        <f t="shared" ref="BB229:BG229" si="183">BB228*$E$229</f>
        <v>904396.79999999993</v>
      </c>
      <c r="BC229" s="30">
        <f t="shared" si="183"/>
        <v>1808793.5999999999</v>
      </c>
      <c r="BD229" s="30">
        <f t="shared" si="183"/>
        <v>3617587.1999999997</v>
      </c>
      <c r="BE229" s="30">
        <f t="shared" si="183"/>
        <v>7235174.3999999994</v>
      </c>
      <c r="BF229" s="30">
        <f t="shared" si="183"/>
        <v>9123607.7999999989</v>
      </c>
      <c r="BG229" s="71">
        <f t="shared" si="183"/>
        <v>9123607.7999999989</v>
      </c>
      <c r="BH229" s="45"/>
    </row>
    <row r="230" spans="1:60" x14ac:dyDescent="0.25">
      <c r="A230" s="48" t="s">
        <v>8</v>
      </c>
      <c r="B230" s="24">
        <v>4.3899999999999998E-3</v>
      </c>
      <c r="C230" s="10">
        <f>$B$153 * B230</f>
        <v>1451182.5449999999</v>
      </c>
      <c r="D230" s="47"/>
      <c r="E230" s="16"/>
      <c r="F230" s="16"/>
      <c r="G230" s="16"/>
      <c r="H230" s="16"/>
      <c r="I230" s="16"/>
      <c r="J230" s="16"/>
      <c r="K230" s="16"/>
      <c r="L230" s="16"/>
      <c r="M230" s="16"/>
      <c r="N230" s="16"/>
      <c r="O230" s="16"/>
      <c r="P230" s="20">
        <f t="shared" ref="P230:BG230" si="184">P$167*$B$230</f>
        <v>0.13718749999999999</v>
      </c>
      <c r="Q230" s="21">
        <f t="shared" si="184"/>
        <v>0.27437499999999998</v>
      </c>
      <c r="R230" s="21">
        <f t="shared" si="184"/>
        <v>0.54874999999999996</v>
      </c>
      <c r="S230" s="21">
        <f t="shared" si="184"/>
        <v>1.0974999999999999</v>
      </c>
      <c r="T230" s="21">
        <f t="shared" si="184"/>
        <v>2.1949999999999998</v>
      </c>
      <c r="U230" s="21">
        <f t="shared" si="184"/>
        <v>4.3899999999999997</v>
      </c>
      <c r="V230" s="21">
        <f t="shared" si="184"/>
        <v>8.7799999999999994</v>
      </c>
      <c r="W230" s="21">
        <f t="shared" si="184"/>
        <v>17.559999999999999</v>
      </c>
      <c r="X230" s="21">
        <f t="shared" si="184"/>
        <v>35.119999999999997</v>
      </c>
      <c r="Y230" s="21">
        <f t="shared" si="184"/>
        <v>70.239999999999995</v>
      </c>
      <c r="Z230" s="21">
        <f t="shared" si="184"/>
        <v>140.47999999999999</v>
      </c>
      <c r="AA230" s="21">
        <f t="shared" si="184"/>
        <v>280.95999999999998</v>
      </c>
      <c r="AB230" s="21">
        <f t="shared" si="184"/>
        <v>561.91999999999996</v>
      </c>
      <c r="AC230" s="21">
        <f t="shared" si="184"/>
        <v>1123.8399999999999</v>
      </c>
      <c r="AD230" s="21">
        <f t="shared" si="184"/>
        <v>2247.6799999999998</v>
      </c>
      <c r="AE230" s="21">
        <f t="shared" si="184"/>
        <v>2809.6</v>
      </c>
      <c r="AF230" s="21">
        <f t="shared" si="184"/>
        <v>3371.52</v>
      </c>
      <c r="AG230" s="21">
        <f t="shared" si="184"/>
        <v>3933.4399999999996</v>
      </c>
      <c r="AH230" s="21">
        <f t="shared" si="184"/>
        <v>4495.3599999999997</v>
      </c>
      <c r="AI230" s="21">
        <f t="shared" si="184"/>
        <v>5619.2</v>
      </c>
      <c r="AJ230" s="21">
        <f t="shared" si="184"/>
        <v>6743.04</v>
      </c>
      <c r="AK230" s="21">
        <f t="shared" si="184"/>
        <v>7866.8799999999992</v>
      </c>
      <c r="AL230" s="21">
        <f t="shared" si="184"/>
        <v>8990.7199999999993</v>
      </c>
      <c r="AM230" s="21">
        <f t="shared" si="184"/>
        <v>10788.864</v>
      </c>
      <c r="AN230" s="21">
        <f t="shared" si="184"/>
        <v>12587.008</v>
      </c>
      <c r="AO230" s="21">
        <f t="shared" si="184"/>
        <v>14385.152</v>
      </c>
      <c r="AP230" s="21">
        <f t="shared" si="184"/>
        <v>16183.295999999998</v>
      </c>
      <c r="AQ230" s="21">
        <f t="shared" si="184"/>
        <v>17981.439999999999</v>
      </c>
      <c r="AR230" s="21">
        <f t="shared" si="184"/>
        <v>21577.727999999999</v>
      </c>
      <c r="AS230" s="21">
        <f t="shared" si="184"/>
        <v>25174.016</v>
      </c>
      <c r="AT230" s="21">
        <f t="shared" si="184"/>
        <v>28770.304</v>
      </c>
      <c r="AU230" s="21">
        <f t="shared" si="184"/>
        <v>32366.591999999997</v>
      </c>
      <c r="AV230" s="21">
        <f t="shared" si="184"/>
        <v>35962.879999999997</v>
      </c>
      <c r="AW230" s="21">
        <f t="shared" si="184"/>
        <v>43155.455999999998</v>
      </c>
      <c r="AX230" s="21">
        <f t="shared" si="184"/>
        <v>50348.031999999999</v>
      </c>
      <c r="AY230" s="21">
        <f t="shared" si="184"/>
        <v>57540.608</v>
      </c>
      <c r="AZ230" s="21">
        <f t="shared" si="184"/>
        <v>64733.183999999994</v>
      </c>
      <c r="BA230" s="21">
        <f t="shared" si="184"/>
        <v>71925.759999999995</v>
      </c>
      <c r="BB230" s="20">
        <f t="shared" si="184"/>
        <v>143851.51999999999</v>
      </c>
      <c r="BC230" s="21">
        <f t="shared" si="184"/>
        <v>287703.03999999998</v>
      </c>
      <c r="BD230" s="21">
        <f t="shared" si="184"/>
        <v>575406.07999999996</v>
      </c>
      <c r="BE230" s="21">
        <f t="shared" si="184"/>
        <v>1150812.1599999999</v>
      </c>
      <c r="BF230" s="21">
        <f t="shared" si="184"/>
        <v>1451182.5449999999</v>
      </c>
      <c r="BG230" s="72">
        <f t="shared" si="184"/>
        <v>1451182.5449999999</v>
      </c>
      <c r="BH230" s="45"/>
    </row>
    <row r="231" spans="1:60" x14ac:dyDescent="0.25">
      <c r="A231" s="48"/>
      <c r="B231" s="16"/>
      <c r="C231" s="16"/>
      <c r="D231" s="25"/>
      <c r="E231" s="46">
        <v>5.6000000000000001E-2</v>
      </c>
      <c r="F231" s="16"/>
      <c r="G231" s="16"/>
      <c r="H231" s="16"/>
      <c r="I231" s="16"/>
      <c r="J231" s="16"/>
      <c r="K231" s="16"/>
      <c r="L231" s="16"/>
      <c r="M231" s="16"/>
      <c r="N231" s="16"/>
      <c r="O231" s="16"/>
      <c r="P231" s="29">
        <f t="shared" ref="P231:AP231" si="185">P230*$E$231</f>
        <v>7.6824999999999992E-3</v>
      </c>
      <c r="Q231" s="30">
        <f t="shared" si="185"/>
        <v>1.5364999999999998E-2</v>
      </c>
      <c r="R231" s="30">
        <f t="shared" si="185"/>
        <v>3.0729999999999997E-2</v>
      </c>
      <c r="S231" s="30">
        <f t="shared" si="185"/>
        <v>6.1459999999999994E-2</v>
      </c>
      <c r="T231" s="30">
        <f t="shared" si="185"/>
        <v>0.12291999999999999</v>
      </c>
      <c r="U231" s="30">
        <f t="shared" si="185"/>
        <v>0.24583999999999998</v>
      </c>
      <c r="V231" s="30">
        <f t="shared" si="185"/>
        <v>0.49167999999999995</v>
      </c>
      <c r="W231" s="30">
        <f t="shared" si="185"/>
        <v>0.9833599999999999</v>
      </c>
      <c r="X231" s="30">
        <f t="shared" si="185"/>
        <v>1.9667199999999998</v>
      </c>
      <c r="Y231" s="30">
        <f t="shared" si="185"/>
        <v>3.9334399999999996</v>
      </c>
      <c r="Z231" s="30">
        <f t="shared" si="185"/>
        <v>7.8668799999999992</v>
      </c>
      <c r="AA231" s="30">
        <f t="shared" si="185"/>
        <v>15.733759999999998</v>
      </c>
      <c r="AB231" s="30">
        <f t="shared" si="185"/>
        <v>31.467519999999997</v>
      </c>
      <c r="AC231" s="30">
        <f t="shared" si="185"/>
        <v>62.935039999999994</v>
      </c>
      <c r="AD231" s="30">
        <f t="shared" si="185"/>
        <v>125.87007999999999</v>
      </c>
      <c r="AE231" s="30">
        <f t="shared" ref="AE231:AG231" si="186">AE230*$E$231</f>
        <v>157.33760000000001</v>
      </c>
      <c r="AF231" s="30">
        <f t="shared" si="186"/>
        <v>188.80512000000002</v>
      </c>
      <c r="AG231" s="30">
        <f t="shared" si="186"/>
        <v>220.27264</v>
      </c>
      <c r="AH231" s="30">
        <f t="shared" si="185"/>
        <v>251.74015999999997</v>
      </c>
      <c r="AI231" s="30">
        <f t="shared" ref="AI231:AK231" si="187">AI230*$E$231</f>
        <v>314.67520000000002</v>
      </c>
      <c r="AJ231" s="30">
        <f t="shared" si="187"/>
        <v>377.61024000000003</v>
      </c>
      <c r="AK231" s="30">
        <f t="shared" si="187"/>
        <v>440.54527999999999</v>
      </c>
      <c r="AL231" s="30">
        <f t="shared" si="185"/>
        <v>503.48031999999995</v>
      </c>
      <c r="AM231" s="30">
        <f t="shared" si="185"/>
        <v>604.17638399999998</v>
      </c>
      <c r="AN231" s="30">
        <f t="shared" si="185"/>
        <v>704.87244799999996</v>
      </c>
      <c r="AO231" s="30">
        <f t="shared" si="185"/>
        <v>805.56851200000006</v>
      </c>
      <c r="AP231" s="30">
        <f t="shared" si="185"/>
        <v>906.26457599999992</v>
      </c>
      <c r="AQ231" s="30">
        <f>AQ230*$E$231</f>
        <v>1006.9606399999999</v>
      </c>
      <c r="AR231" s="30">
        <f t="shared" ref="AR231:AU231" si="188">AR230*$E$231</f>
        <v>1208.352768</v>
      </c>
      <c r="AS231" s="30">
        <f t="shared" si="188"/>
        <v>1409.7448959999999</v>
      </c>
      <c r="AT231" s="30">
        <f t="shared" si="188"/>
        <v>1611.1370240000001</v>
      </c>
      <c r="AU231" s="30">
        <f t="shared" si="188"/>
        <v>1812.5291519999998</v>
      </c>
      <c r="AV231" s="30">
        <f>AV230*$E$231</f>
        <v>2013.9212799999998</v>
      </c>
      <c r="AW231" s="30">
        <f t="shared" ref="AW231:AZ231" si="189">AW230*$E$231</f>
        <v>2416.7055359999999</v>
      </c>
      <c r="AX231" s="30">
        <f t="shared" si="189"/>
        <v>2819.4897919999999</v>
      </c>
      <c r="AY231" s="30">
        <f t="shared" si="189"/>
        <v>3222.2740480000002</v>
      </c>
      <c r="AZ231" s="30">
        <f t="shared" si="189"/>
        <v>3625.0583039999997</v>
      </c>
      <c r="BA231" s="30">
        <f>BA230*$E$231</f>
        <v>4027.8425599999996</v>
      </c>
      <c r="BB231" s="29">
        <f t="shared" ref="BB231:BG231" si="190">BB230*$E$231</f>
        <v>8055.6851199999992</v>
      </c>
      <c r="BC231" s="30">
        <f t="shared" si="190"/>
        <v>16111.370239999998</v>
      </c>
      <c r="BD231" s="30">
        <f t="shared" si="190"/>
        <v>32222.740479999997</v>
      </c>
      <c r="BE231" s="30">
        <f t="shared" si="190"/>
        <v>64445.480959999994</v>
      </c>
      <c r="BF231" s="30">
        <f t="shared" si="190"/>
        <v>81266.222519999996</v>
      </c>
      <c r="BG231" s="71">
        <f t="shared" si="190"/>
        <v>81266.222519999996</v>
      </c>
      <c r="BH231" s="45"/>
    </row>
    <row r="232" spans="1:60" x14ac:dyDescent="0.25">
      <c r="A232" s="48" t="s">
        <v>9</v>
      </c>
      <c r="B232" s="24">
        <v>0.155</v>
      </c>
      <c r="C232" s="10">
        <f>$B$153 * B232</f>
        <v>51237652.5</v>
      </c>
      <c r="D232" s="47"/>
      <c r="E232" s="16"/>
      <c r="F232" s="16"/>
      <c r="G232" s="16"/>
      <c r="H232" s="16"/>
      <c r="I232" s="16"/>
      <c r="J232" s="16"/>
      <c r="K232" s="16"/>
      <c r="L232" s="16"/>
      <c r="M232" s="16"/>
      <c r="N232" s="16"/>
      <c r="O232" s="16"/>
      <c r="P232" s="20">
        <f t="shared" ref="P232:BG232" si="191">P$167*$B$232</f>
        <v>4.84375</v>
      </c>
      <c r="Q232" s="21">
        <f t="shared" si="191"/>
        <v>9.6875</v>
      </c>
      <c r="R232" s="21">
        <f t="shared" si="191"/>
        <v>19.375</v>
      </c>
      <c r="S232" s="21">
        <f t="shared" si="191"/>
        <v>38.75</v>
      </c>
      <c r="T232" s="21">
        <f t="shared" si="191"/>
        <v>77.5</v>
      </c>
      <c r="U232" s="21">
        <f t="shared" si="191"/>
        <v>155</v>
      </c>
      <c r="V232" s="21">
        <f t="shared" si="191"/>
        <v>310</v>
      </c>
      <c r="W232" s="21">
        <f t="shared" si="191"/>
        <v>620</v>
      </c>
      <c r="X232" s="21">
        <f t="shared" si="191"/>
        <v>1240</v>
      </c>
      <c r="Y232" s="21">
        <f t="shared" si="191"/>
        <v>2480</v>
      </c>
      <c r="Z232" s="21">
        <f t="shared" si="191"/>
        <v>4960</v>
      </c>
      <c r="AA232" s="21">
        <f t="shared" si="191"/>
        <v>9920</v>
      </c>
      <c r="AB232" s="21">
        <f t="shared" si="191"/>
        <v>19840</v>
      </c>
      <c r="AC232" s="21">
        <f t="shared" si="191"/>
        <v>39680</v>
      </c>
      <c r="AD232" s="21">
        <f t="shared" si="191"/>
        <v>79360</v>
      </c>
      <c r="AE232" s="21">
        <f t="shared" si="191"/>
        <v>99200</v>
      </c>
      <c r="AF232" s="21">
        <f t="shared" si="191"/>
        <v>119040</v>
      </c>
      <c r="AG232" s="21">
        <f t="shared" si="191"/>
        <v>138880</v>
      </c>
      <c r="AH232" s="21">
        <f t="shared" si="191"/>
        <v>158720</v>
      </c>
      <c r="AI232" s="21">
        <f t="shared" si="191"/>
        <v>198400</v>
      </c>
      <c r="AJ232" s="21">
        <f t="shared" si="191"/>
        <v>238080</v>
      </c>
      <c r="AK232" s="21">
        <f t="shared" si="191"/>
        <v>277760</v>
      </c>
      <c r="AL232" s="21">
        <f t="shared" si="191"/>
        <v>317440</v>
      </c>
      <c r="AM232" s="21">
        <f t="shared" si="191"/>
        <v>380928</v>
      </c>
      <c r="AN232" s="21">
        <f t="shared" si="191"/>
        <v>444416</v>
      </c>
      <c r="AO232" s="21">
        <f t="shared" si="191"/>
        <v>507904</v>
      </c>
      <c r="AP232" s="21">
        <f t="shared" si="191"/>
        <v>571392</v>
      </c>
      <c r="AQ232" s="21">
        <f t="shared" si="191"/>
        <v>634880</v>
      </c>
      <c r="AR232" s="21">
        <f t="shared" si="191"/>
        <v>761856</v>
      </c>
      <c r="AS232" s="21">
        <f t="shared" si="191"/>
        <v>888832</v>
      </c>
      <c r="AT232" s="21">
        <f t="shared" si="191"/>
        <v>1015808</v>
      </c>
      <c r="AU232" s="21">
        <f t="shared" si="191"/>
        <v>1142784</v>
      </c>
      <c r="AV232" s="21">
        <f t="shared" si="191"/>
        <v>1269760</v>
      </c>
      <c r="AW232" s="21">
        <f t="shared" si="191"/>
        <v>1523712</v>
      </c>
      <c r="AX232" s="21">
        <f t="shared" si="191"/>
        <v>1777664</v>
      </c>
      <c r="AY232" s="21">
        <f t="shared" si="191"/>
        <v>2031616</v>
      </c>
      <c r="AZ232" s="21">
        <f t="shared" si="191"/>
        <v>2285568</v>
      </c>
      <c r="BA232" s="21">
        <f t="shared" si="191"/>
        <v>2539520</v>
      </c>
      <c r="BB232" s="20">
        <f t="shared" si="191"/>
        <v>5079040</v>
      </c>
      <c r="BC232" s="21">
        <f t="shared" si="191"/>
        <v>10158080</v>
      </c>
      <c r="BD232" s="21">
        <f t="shared" si="191"/>
        <v>20316160</v>
      </c>
      <c r="BE232" s="21">
        <f t="shared" si="191"/>
        <v>40632320</v>
      </c>
      <c r="BF232" s="21">
        <f t="shared" si="191"/>
        <v>51237652.5</v>
      </c>
      <c r="BG232" s="72">
        <f t="shared" si="191"/>
        <v>51237652.5</v>
      </c>
      <c r="BH232" s="45"/>
    </row>
    <row r="233" spans="1:60" x14ac:dyDescent="0.25">
      <c r="A233" s="37"/>
      <c r="B233" s="39"/>
      <c r="C233" s="39"/>
      <c r="D233" s="55"/>
      <c r="E233" s="56" t="s">
        <v>10</v>
      </c>
      <c r="F233" s="39"/>
      <c r="G233" s="39"/>
      <c r="H233" s="39"/>
      <c r="I233" s="39"/>
      <c r="J233" s="39"/>
      <c r="K233" s="39"/>
      <c r="L233" s="39"/>
      <c r="M233" s="39"/>
      <c r="N233" s="39"/>
      <c r="O233" s="39"/>
      <c r="P233" s="31" t="s">
        <v>10</v>
      </c>
      <c r="Q233" s="32" t="s">
        <v>10</v>
      </c>
      <c r="R233" s="32" t="s">
        <v>10</v>
      </c>
      <c r="S233" s="32" t="s">
        <v>10</v>
      </c>
      <c r="T233" s="32" t="s">
        <v>10</v>
      </c>
      <c r="U233" s="32" t="s">
        <v>10</v>
      </c>
      <c r="V233" s="32" t="s">
        <v>10</v>
      </c>
      <c r="W233" s="32" t="s">
        <v>10</v>
      </c>
      <c r="X233" s="32" t="s">
        <v>10</v>
      </c>
      <c r="Y233" s="32" t="s">
        <v>10</v>
      </c>
      <c r="Z233" s="32" t="s">
        <v>10</v>
      </c>
      <c r="AA233" s="32" t="s">
        <v>10</v>
      </c>
      <c r="AB233" s="32" t="s">
        <v>10</v>
      </c>
      <c r="AC233" s="32" t="s">
        <v>10</v>
      </c>
      <c r="AD233" s="32" t="s">
        <v>10</v>
      </c>
      <c r="AE233" s="32" t="s">
        <v>10</v>
      </c>
      <c r="AF233" s="32" t="s">
        <v>10</v>
      </c>
      <c r="AG233" s="32" t="s">
        <v>10</v>
      </c>
      <c r="AH233" s="32" t="s">
        <v>10</v>
      </c>
      <c r="AI233" s="32" t="s">
        <v>10</v>
      </c>
      <c r="AJ233" s="32" t="s">
        <v>10</v>
      </c>
      <c r="AK233" s="32" t="s">
        <v>10</v>
      </c>
      <c r="AL233" s="32" t="s">
        <v>10</v>
      </c>
      <c r="AM233" s="32" t="s">
        <v>10</v>
      </c>
      <c r="AN233" s="32" t="s">
        <v>10</v>
      </c>
      <c r="AO233" s="32" t="s">
        <v>10</v>
      </c>
      <c r="AP233" s="32" t="s">
        <v>10</v>
      </c>
      <c r="AQ233" s="32" t="s">
        <v>10</v>
      </c>
      <c r="AR233" s="32" t="s">
        <v>10</v>
      </c>
      <c r="AS233" s="32" t="s">
        <v>10</v>
      </c>
      <c r="AT233" s="32" t="s">
        <v>10</v>
      </c>
      <c r="AU233" s="32" t="s">
        <v>10</v>
      </c>
      <c r="AV233" s="32" t="s">
        <v>10</v>
      </c>
      <c r="AW233" s="32" t="s">
        <v>10</v>
      </c>
      <c r="AX233" s="32" t="s">
        <v>10</v>
      </c>
      <c r="AY233" s="32" t="s">
        <v>10</v>
      </c>
      <c r="AZ233" s="32" t="s">
        <v>10</v>
      </c>
      <c r="BA233" s="32" t="s">
        <v>10</v>
      </c>
      <c r="BB233" s="29" t="s">
        <v>10</v>
      </c>
      <c r="BC233" s="30" t="s">
        <v>10</v>
      </c>
      <c r="BD233" s="30" t="s">
        <v>10</v>
      </c>
      <c r="BE233" s="30" t="s">
        <v>10</v>
      </c>
      <c r="BF233" s="30" t="s">
        <v>10</v>
      </c>
      <c r="BG233" s="71" t="s">
        <v>10</v>
      </c>
      <c r="BH233" s="45"/>
    </row>
    <row r="234" spans="1:60" x14ac:dyDescent="0.25">
      <c r="A234" s="41"/>
      <c r="B234" s="16"/>
      <c r="C234" s="16"/>
      <c r="D234" s="47"/>
      <c r="E234" s="16"/>
      <c r="F234" s="16"/>
      <c r="G234" s="16"/>
      <c r="H234" s="16"/>
      <c r="I234" s="16"/>
      <c r="J234" s="16"/>
      <c r="K234" s="16"/>
      <c r="L234" s="16"/>
      <c r="M234" s="16"/>
      <c r="N234" s="16"/>
      <c r="O234" s="16"/>
      <c r="P234" s="20">
        <f>SUM(P222,P224,P226,P228,P230,P232)</f>
        <v>38.105937500000003</v>
      </c>
      <c r="Q234" s="21">
        <f t="shared" ref="Q234:AP234" si="192">SUM(Q222,Q224,Q226,Q228,Q230,Q232)</f>
        <v>76.211875000000006</v>
      </c>
      <c r="R234" s="21">
        <f t="shared" si="192"/>
        <v>152.42375000000001</v>
      </c>
      <c r="S234" s="21">
        <f t="shared" si="192"/>
        <v>304.84750000000003</v>
      </c>
      <c r="T234" s="21">
        <f t="shared" si="192"/>
        <v>609.69500000000005</v>
      </c>
      <c r="U234" s="21">
        <f t="shared" si="192"/>
        <v>1219.3900000000001</v>
      </c>
      <c r="V234" s="21">
        <f>SUM(V222,V224,V226,V228,V230,V232)</f>
        <v>2438.7800000000002</v>
      </c>
      <c r="W234" s="21">
        <f t="shared" si="192"/>
        <v>4877.5600000000004</v>
      </c>
      <c r="X234" s="21">
        <f t="shared" si="192"/>
        <v>9755.1200000000008</v>
      </c>
      <c r="Y234" s="21">
        <f t="shared" si="192"/>
        <v>19510.240000000002</v>
      </c>
      <c r="Z234" s="21">
        <f t="shared" si="192"/>
        <v>39020.480000000003</v>
      </c>
      <c r="AA234" s="21">
        <f t="shared" si="192"/>
        <v>78040.960000000006</v>
      </c>
      <c r="AB234" s="21">
        <f t="shared" si="192"/>
        <v>156081.92000000001</v>
      </c>
      <c r="AC234" s="21">
        <f t="shared" si="192"/>
        <v>312163.84000000003</v>
      </c>
      <c r="AD234" s="21">
        <f t="shared" si="192"/>
        <v>624327.68000000005</v>
      </c>
      <c r="AE234" s="21">
        <f t="shared" ref="AE234:AG234" si="193">SUM(AE222,AE224,AE226,AE228,AE230,AE232)</f>
        <v>780409.6</v>
      </c>
      <c r="AF234" s="21">
        <f t="shared" si="193"/>
        <v>936491.52000000002</v>
      </c>
      <c r="AG234" s="21">
        <f t="shared" si="193"/>
        <v>1092573.44</v>
      </c>
      <c r="AH234" s="21">
        <f t="shared" si="192"/>
        <v>1248655.3600000001</v>
      </c>
      <c r="AI234" s="21">
        <f t="shared" ref="AI234:AK234" si="194">SUM(AI222,AI224,AI226,AI228,AI230,AI232)</f>
        <v>1560819.2</v>
      </c>
      <c r="AJ234" s="21">
        <f t="shared" si="194"/>
        <v>1872983.04</v>
      </c>
      <c r="AK234" s="21">
        <f t="shared" si="194"/>
        <v>2185146.88</v>
      </c>
      <c r="AL234" s="21">
        <f t="shared" si="192"/>
        <v>2497310.7200000002</v>
      </c>
      <c r="AM234" s="21">
        <f t="shared" si="192"/>
        <v>2996772.8640000001</v>
      </c>
      <c r="AN234" s="21">
        <f t="shared" si="192"/>
        <v>3496235.0079999999</v>
      </c>
      <c r="AO234" s="21">
        <f t="shared" si="192"/>
        <v>3995697.1519999998</v>
      </c>
      <c r="AP234" s="21">
        <f t="shared" si="192"/>
        <v>4495159.2960000001</v>
      </c>
      <c r="AQ234" s="21">
        <f t="shared" ref="AQ234:BA235" si="195">SUM(AQ222,AQ224,AQ226,AQ228,AQ230,AQ232)</f>
        <v>4994621.4400000004</v>
      </c>
      <c r="AR234" s="21">
        <f t="shared" ref="AR234:AU234" si="196">SUM(AR222,AR224,AR226,AR228,AR230,AR232)</f>
        <v>5993545.7280000001</v>
      </c>
      <c r="AS234" s="21">
        <f t="shared" si="196"/>
        <v>6992470.0159999998</v>
      </c>
      <c r="AT234" s="21">
        <f t="shared" si="196"/>
        <v>7991394.3039999995</v>
      </c>
      <c r="AU234" s="21">
        <f t="shared" si="196"/>
        <v>8990318.5920000002</v>
      </c>
      <c r="AV234" s="21">
        <f t="shared" si="195"/>
        <v>9989242.8800000008</v>
      </c>
      <c r="AW234" s="21">
        <f t="shared" ref="AW234:AZ234" si="197">SUM(AW222,AW224,AW226,AW228,AW230,AW232)</f>
        <v>11987091.456</v>
      </c>
      <c r="AX234" s="21">
        <f t="shared" si="197"/>
        <v>13984940.032</v>
      </c>
      <c r="AY234" s="21">
        <f t="shared" si="197"/>
        <v>15982788.607999999</v>
      </c>
      <c r="AZ234" s="21">
        <f t="shared" si="197"/>
        <v>17980637.184</v>
      </c>
      <c r="BA234" s="21">
        <f t="shared" si="195"/>
        <v>19978485.760000002</v>
      </c>
      <c r="BB234" s="18">
        <f t="shared" ref="BB234:BG234" si="198">SUM(BB222,BB224,BB226,BB228,BB230,BB232)</f>
        <v>39956971.520000003</v>
      </c>
      <c r="BC234" s="19">
        <f t="shared" si="198"/>
        <v>79913943.040000007</v>
      </c>
      <c r="BD234" s="19">
        <f t="shared" si="198"/>
        <v>159827886.08000001</v>
      </c>
      <c r="BE234" s="19">
        <f t="shared" si="198"/>
        <v>319655772.16000003</v>
      </c>
      <c r="BF234" s="19">
        <f t="shared" si="198"/>
        <v>403088265.04500002</v>
      </c>
      <c r="BG234" s="60">
        <f t="shared" si="198"/>
        <v>403088265.04500002</v>
      </c>
      <c r="BH234" s="45"/>
    </row>
    <row r="235" spans="1:60" x14ac:dyDescent="0.25">
      <c r="A235" s="37" t="s">
        <v>40</v>
      </c>
      <c r="B235" s="39"/>
      <c r="C235" s="39"/>
      <c r="D235" s="39"/>
      <c r="E235" s="39"/>
      <c r="F235" s="39"/>
      <c r="G235" s="39"/>
      <c r="H235" s="39"/>
      <c r="I235" s="39"/>
      <c r="J235" s="39"/>
      <c r="K235" s="39"/>
      <c r="L235" s="39"/>
      <c r="M235" s="39"/>
      <c r="N235" s="39"/>
      <c r="O235" s="39"/>
      <c r="P235" s="31">
        <f>SUM(P223,P225,P227,P229,P231,P233)</f>
        <v>2.5650575</v>
      </c>
      <c r="Q235" s="32">
        <f t="shared" ref="Q235:AP235" si="199">SUM(Q223,Q225,Q227,Q229,Q231,Q233)</f>
        <v>5.130115</v>
      </c>
      <c r="R235" s="32">
        <f t="shared" si="199"/>
        <v>10.26023</v>
      </c>
      <c r="S235" s="32">
        <f t="shared" si="199"/>
        <v>20.52046</v>
      </c>
      <c r="T235" s="32">
        <f t="shared" si="199"/>
        <v>41.04092</v>
      </c>
      <c r="U235" s="32">
        <f t="shared" si="199"/>
        <v>82.08184</v>
      </c>
      <c r="V235" s="32">
        <f t="shared" si="199"/>
        <v>164.16368</v>
      </c>
      <c r="W235" s="32">
        <f t="shared" si="199"/>
        <v>328.32736</v>
      </c>
      <c r="X235" s="32">
        <f t="shared" si="199"/>
        <v>656.65472</v>
      </c>
      <c r="Y235" s="32">
        <f t="shared" si="199"/>
        <v>1313.30944</v>
      </c>
      <c r="Z235" s="32">
        <f t="shared" si="199"/>
        <v>2626.61888</v>
      </c>
      <c r="AA235" s="32">
        <f t="shared" si="199"/>
        <v>5253.23776</v>
      </c>
      <c r="AB235" s="32">
        <f t="shared" si="199"/>
        <v>10506.47552</v>
      </c>
      <c r="AC235" s="32">
        <f t="shared" si="199"/>
        <v>21012.95104</v>
      </c>
      <c r="AD235" s="32">
        <f t="shared" si="199"/>
        <v>42025.90208</v>
      </c>
      <c r="AE235" s="32">
        <f t="shared" ref="AE235:AG235" si="200">SUM(AE223,AE225,AE227,AE229,AE231,AE233)</f>
        <v>52532.377599999993</v>
      </c>
      <c r="AF235" s="32">
        <f t="shared" si="200"/>
        <v>63038.853119999992</v>
      </c>
      <c r="AG235" s="32">
        <f t="shared" si="200"/>
        <v>73545.328639999992</v>
      </c>
      <c r="AH235" s="32">
        <f t="shared" si="199"/>
        <v>84051.80416</v>
      </c>
      <c r="AI235" s="32">
        <f t="shared" ref="AI235:AK235" si="201">SUM(AI223,AI225,AI227,AI229,AI231,AI233)</f>
        <v>105064.75519999999</v>
      </c>
      <c r="AJ235" s="32">
        <f t="shared" si="201"/>
        <v>126077.70623999998</v>
      </c>
      <c r="AK235" s="32">
        <f t="shared" si="201"/>
        <v>147090.65727999998</v>
      </c>
      <c r="AL235" s="32">
        <f t="shared" si="199"/>
        <v>168103.60832</v>
      </c>
      <c r="AM235" s="32">
        <f t="shared" si="199"/>
        <v>201724.32998400001</v>
      </c>
      <c r="AN235" s="32">
        <f t="shared" si="199"/>
        <v>235345.05164800002</v>
      </c>
      <c r="AO235" s="32">
        <f t="shared" si="199"/>
        <v>268965.77331199998</v>
      </c>
      <c r="AP235" s="32">
        <f t="shared" si="199"/>
        <v>302586.49497599999</v>
      </c>
      <c r="AQ235" s="32">
        <f t="shared" si="195"/>
        <v>336207.21664</v>
      </c>
      <c r="AR235" s="32">
        <f t="shared" ref="AR235:AU235" si="202">SUM(AR223,AR225,AR227,AR229,AR231,AR233)</f>
        <v>403448.65996800002</v>
      </c>
      <c r="AS235" s="32">
        <f t="shared" si="202"/>
        <v>470690.10329600004</v>
      </c>
      <c r="AT235" s="32">
        <f t="shared" si="202"/>
        <v>537931.54662399995</v>
      </c>
      <c r="AU235" s="32">
        <f t="shared" si="202"/>
        <v>605172.98995199997</v>
      </c>
      <c r="AV235" s="32">
        <f t="shared" si="195"/>
        <v>672414.43328</v>
      </c>
      <c r="AW235" s="32">
        <f t="shared" ref="AW235:AZ235" si="203">SUM(AW223,AW225,AW227,AW229,AW231,AW233)</f>
        <v>806897.31993600004</v>
      </c>
      <c r="AX235" s="32">
        <f t="shared" si="203"/>
        <v>941380.20659200009</v>
      </c>
      <c r="AY235" s="32">
        <f t="shared" si="203"/>
        <v>1075863.0932479999</v>
      </c>
      <c r="AZ235" s="32">
        <f t="shared" si="203"/>
        <v>1210345.9799039999</v>
      </c>
      <c r="BA235" s="32">
        <f t="shared" si="195"/>
        <v>1344828.86656</v>
      </c>
      <c r="BB235" s="31">
        <f t="shared" ref="BB235:BG235" si="204">SUM(BB223,BB225,BB227,BB229,BB231,BB233)</f>
        <v>2689657.73312</v>
      </c>
      <c r="BC235" s="32">
        <f t="shared" si="204"/>
        <v>5379315.46624</v>
      </c>
      <c r="BD235" s="32">
        <f t="shared" si="204"/>
        <v>10758630.93248</v>
      </c>
      <c r="BE235" s="32">
        <f t="shared" si="204"/>
        <v>21517261.86496</v>
      </c>
      <c r="BF235" s="32">
        <f t="shared" si="204"/>
        <v>27133424.480520003</v>
      </c>
      <c r="BG235" s="73">
        <f t="shared" si="204"/>
        <v>27133424.480520003</v>
      </c>
      <c r="BH235" s="45"/>
    </row>
  </sheetData>
  <conditionalFormatting sqref="BH178 P178:BF178">
    <cfRule type="cellIs" dxfId="21" priority="31" operator="greaterThan">
      <formula>$C$157</formula>
    </cfRule>
  </conditionalFormatting>
  <conditionalFormatting sqref="P180:BF180">
    <cfRule type="cellIs" dxfId="20" priority="30" operator="greaterThan">
      <formula>$C$158</formula>
    </cfRule>
  </conditionalFormatting>
  <conditionalFormatting sqref="P199:BG199">
    <cfRule type="cellIs" dxfId="19" priority="29" operator="greaterThan">
      <formula>$C$199</formula>
    </cfRule>
  </conditionalFormatting>
  <conditionalFormatting sqref="P201:BG201">
    <cfRule type="cellIs" dxfId="18" priority="28" operator="greaterThan">
      <formula>$C$201</formula>
    </cfRule>
  </conditionalFormatting>
  <conditionalFormatting sqref="P203:BG203">
    <cfRule type="cellIs" dxfId="17" priority="27" operator="greaterThan">
      <formula>$C$203</formula>
    </cfRule>
  </conditionalFormatting>
  <conditionalFormatting sqref="P205:BG205">
    <cfRule type="cellIs" dxfId="16" priority="19" operator="greaterThan">
      <formula>$C$205</formula>
    </cfRule>
  </conditionalFormatting>
  <conditionalFormatting sqref="P207:BG207">
    <cfRule type="cellIs" dxfId="15" priority="18" operator="greaterThan">
      <formula>$C$207</formula>
    </cfRule>
  </conditionalFormatting>
  <conditionalFormatting sqref="P209:BG209">
    <cfRule type="cellIs" dxfId="14" priority="17" operator="greaterThan">
      <formula>$C$209</formula>
    </cfRule>
  </conditionalFormatting>
  <conditionalFormatting sqref="P211:BG211">
    <cfRule type="cellIs" dxfId="13" priority="16" operator="greaterThan">
      <formula>$C$211</formula>
    </cfRule>
  </conditionalFormatting>
  <conditionalFormatting sqref="P213:BG213">
    <cfRule type="cellIs" dxfId="12" priority="15" operator="greaterThan">
      <formula>$C$213</formula>
    </cfRule>
  </conditionalFormatting>
  <conditionalFormatting sqref="P215:BG215">
    <cfRule type="cellIs" dxfId="11" priority="14" operator="greaterThan">
      <formula>$C$215</formula>
    </cfRule>
  </conditionalFormatting>
  <conditionalFormatting sqref="P169:BG169">
    <cfRule type="cellIs" dxfId="10" priority="13" operator="equal">
      <formula>0</formula>
    </cfRule>
  </conditionalFormatting>
  <conditionalFormatting sqref="P176:BF176 P178:BF178 Q180:BF180">
    <cfRule type="cellIs" dxfId="9" priority="12" operator="equal">
      <formula>0</formula>
    </cfRule>
  </conditionalFormatting>
  <conditionalFormatting sqref="D199">
    <cfRule type="cellIs" dxfId="8" priority="9" operator="greaterThan">
      <formula>$B$199</formula>
    </cfRule>
  </conditionalFormatting>
  <conditionalFormatting sqref="D201">
    <cfRule type="cellIs" dxfId="7" priority="8" operator="greaterThan">
      <formula>$B$201</formula>
    </cfRule>
  </conditionalFormatting>
  <conditionalFormatting sqref="D203">
    <cfRule type="cellIs" dxfId="6" priority="7" operator="greaterThan">
      <formula>$B$203</formula>
    </cfRule>
  </conditionalFormatting>
  <conditionalFormatting sqref="D205">
    <cfRule type="cellIs" dxfId="5" priority="6" operator="greaterThan">
      <formula>$B$205</formula>
    </cfRule>
  </conditionalFormatting>
  <conditionalFormatting sqref="D207">
    <cfRule type="cellIs" dxfId="4" priority="5" operator="greaterThan">
      <formula>$B$207</formula>
    </cfRule>
  </conditionalFormatting>
  <conditionalFormatting sqref="D209">
    <cfRule type="cellIs" dxfId="3" priority="4" operator="greaterThan">
      <formula>$B$209</formula>
    </cfRule>
  </conditionalFormatting>
  <conditionalFormatting sqref="D211">
    <cfRule type="cellIs" dxfId="2" priority="3" operator="greaterThan">
      <formula>$B$211</formula>
    </cfRule>
  </conditionalFormatting>
  <conditionalFormatting sqref="D213">
    <cfRule type="cellIs" dxfId="1" priority="2" operator="greaterThan">
      <formula>$B$213</formula>
    </cfRule>
  </conditionalFormatting>
  <conditionalFormatting sqref="D215">
    <cfRule type="cellIs" dxfId="0" priority="1" operator="greaterThan">
      <formula>$B$215</formula>
    </cfRule>
  </conditionalFormatting>
  <hyperlinks>
    <hyperlink ref="E198" r:id="rId1" location="case-fatality-rate-of-covid-19-by-age" xr:uid="{0058192C-B05A-45D2-8597-C1F9B3D9241E}"/>
    <hyperlink ref="E221" r:id="rId2" location="case-fatality-rate-of-covid-19-by-preexisting-health-conditions" xr:uid="{110A2613-24A6-4768-B90C-571B307D13E2}"/>
    <hyperlink ref="B155"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P41" sqref="P41"/>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Projections!B153</f>
        <v>330565500</v>
      </c>
      <c r="J3" s="2"/>
    </row>
    <row r="4" spans="2:10" x14ac:dyDescent="0.25">
      <c r="B4" s="180" t="s">
        <v>135</v>
      </c>
      <c r="C4" s="163">
        <f>Projections!P167</f>
        <v>31.25</v>
      </c>
      <c r="J4" s="2"/>
    </row>
    <row r="5" spans="2:10" x14ac:dyDescent="0.25">
      <c r="B5" s="180" t="s">
        <v>136</v>
      </c>
      <c r="C5" s="161">
        <f>Projections!P166</f>
        <v>43882</v>
      </c>
      <c r="J5" s="2"/>
    </row>
    <row r="6" spans="2:10" x14ac:dyDescent="0.25">
      <c r="B6" s="180" t="s">
        <v>119</v>
      </c>
      <c r="C6" s="163">
        <v>1292879</v>
      </c>
    </row>
    <row r="7" spans="2:10" x14ac:dyDescent="0.25">
      <c r="B7" s="180" t="s">
        <v>121</v>
      </c>
      <c r="C7" s="161">
        <f ca="1">NOW()</f>
        <v>43959.787340277777</v>
      </c>
    </row>
    <row r="8" spans="2:10" x14ac:dyDescent="0.25">
      <c r="B8" s="180" t="s">
        <v>137</v>
      </c>
      <c r="C8" s="162">
        <f ca="1">C7-C5</f>
        <v>77.787340277776821</v>
      </c>
    </row>
    <row r="9" spans="2:10" x14ac:dyDescent="0.25">
      <c r="B9" s="180" t="s">
        <v>120</v>
      </c>
      <c r="C9" s="164">
        <f ca="1">C8/(LOG(C6/C4)/LOG(2))</f>
        <v>5.072082405541571</v>
      </c>
      <c r="D9" t="s">
        <v>98</v>
      </c>
      <c r="F9" t="s">
        <v>138</v>
      </c>
    </row>
    <row r="10" spans="2:10" x14ac:dyDescent="0.25">
      <c r="B10" s="180" t="s">
        <v>125</v>
      </c>
      <c r="C10" s="163">
        <f>Projections!C157</f>
        <v>793357.2</v>
      </c>
    </row>
    <row r="11" spans="2:10" x14ac:dyDescent="0.25">
      <c r="B11" s="181" t="s">
        <v>126</v>
      </c>
      <c r="C11" s="168">
        <f>Projections!C158</f>
        <v>114706.22850000001</v>
      </c>
    </row>
    <row r="12" spans="2:10" s="69" customFormat="1" x14ac:dyDescent="0.25">
      <c r="B12" s="62" t="s">
        <v>166</v>
      </c>
      <c r="C12" s="169">
        <f>C6/Projections!B155</f>
        <v>10773991.666666668</v>
      </c>
    </row>
    <row r="13" spans="2:10" s="69" customFormat="1" x14ac:dyDescent="0.25">
      <c r="B13" s="48" t="s">
        <v>167</v>
      </c>
      <c r="C13" s="170">
        <f ca="1">(C4/Projections!B155)*(2^(((C7-21)-C5)/C9))</f>
        <v>610968.39976605179</v>
      </c>
    </row>
    <row r="14" spans="2:10" s="69" customFormat="1" x14ac:dyDescent="0.25">
      <c r="B14" s="49" t="s">
        <v>168</v>
      </c>
      <c r="C14" s="151">
        <f ca="1">C12-C13</f>
        <v>10163023.266900616</v>
      </c>
      <c r="E14" s="166"/>
      <c r="F14" s="167" t="s">
        <v>142</v>
      </c>
      <c r="G14" s="165"/>
    </row>
    <row r="15" spans="2:10" x14ac:dyDescent="0.25">
      <c r="B15" s="4" t="s">
        <v>139</v>
      </c>
      <c r="C15" s="64">
        <f>C6*Projections!B159</f>
        <v>1047231.9900000001</v>
      </c>
      <c r="I15" s="160"/>
    </row>
    <row r="16" spans="2:10" x14ac:dyDescent="0.25">
      <c r="B16" s="41" t="s">
        <v>149</v>
      </c>
      <c r="C16" s="83">
        <f ca="1">(C4*Projections!B159)*(2^(((C7-21)-C5)/C9))</f>
        <v>59386.128457260224</v>
      </c>
      <c r="I16" s="160"/>
    </row>
    <row r="17" spans="2:9" x14ac:dyDescent="0.25">
      <c r="B17" s="41" t="s">
        <v>140</v>
      </c>
      <c r="C17" s="83">
        <f ca="1">C15-C16</f>
        <v>987845.86154273991</v>
      </c>
      <c r="F17" t="s">
        <v>143</v>
      </c>
      <c r="I17" s="160"/>
    </row>
    <row r="18" spans="2:9" x14ac:dyDescent="0.25">
      <c r="B18" s="4" t="s">
        <v>145</v>
      </c>
      <c r="C18" s="64">
        <f>C6*Projections!B160</f>
        <v>181003.06000000003</v>
      </c>
    </row>
    <row r="19" spans="2:9" x14ac:dyDescent="0.25">
      <c r="B19" s="41" t="s">
        <v>150</v>
      </c>
      <c r="C19" s="83">
        <f ca="1">(C4*Projections!B160)*(2^(((C7-49)-C5)/C9))</f>
        <v>223.62353804493338</v>
      </c>
    </row>
    <row r="20" spans="2:9" x14ac:dyDescent="0.25">
      <c r="B20" s="41" t="s">
        <v>144</v>
      </c>
      <c r="C20" s="83">
        <f ca="1">C18-C19</f>
        <v>180779.43646195511</v>
      </c>
      <c r="F20" t="s">
        <v>148</v>
      </c>
    </row>
    <row r="21" spans="2:9" x14ac:dyDescent="0.25">
      <c r="B21" s="4" t="s">
        <v>146</v>
      </c>
      <c r="C21" s="64">
        <f>C6*Projections!B161</f>
        <v>64643.950000000004</v>
      </c>
      <c r="I21" s="160"/>
    </row>
    <row r="22" spans="2:9" x14ac:dyDescent="0.25">
      <c r="B22" s="41" t="s">
        <v>151</v>
      </c>
      <c r="C22" s="83">
        <f ca="1">(C4*Projections!B161)*(2^(((C7-49)-C5)/C9))</f>
        <v>79.865549301761916</v>
      </c>
      <c r="I22" s="160"/>
    </row>
    <row r="23" spans="2:9" x14ac:dyDescent="0.25">
      <c r="B23" s="41" t="s">
        <v>147</v>
      </c>
      <c r="C23" s="83">
        <f ca="1">C21-C22</f>
        <v>64564.084450698239</v>
      </c>
      <c r="I23" s="160"/>
    </row>
    <row r="24" spans="2:9" x14ac:dyDescent="0.25">
      <c r="B24" s="4" t="s">
        <v>152</v>
      </c>
      <c r="C24" s="64">
        <f>C6*Projections!B162</f>
        <v>77572.739999999991</v>
      </c>
    </row>
    <row r="25" spans="2:9" x14ac:dyDescent="0.25">
      <c r="B25" s="37" t="s">
        <v>153</v>
      </c>
      <c r="C25" s="61">
        <f ca="1">(C4*Projections!B162)*(2^(((C7-42)-C5)/C9))</f>
        <v>249.45565755415933</v>
      </c>
      <c r="F25" t="s">
        <v>154</v>
      </c>
    </row>
    <row r="26" spans="2:9" x14ac:dyDescent="0.25">
      <c r="B26" s="41" t="s">
        <v>130</v>
      </c>
      <c r="C26" s="173">
        <f ca="1">C9*(LOG(C10/C21)/LOG(2))</f>
        <v>18.347666235103816</v>
      </c>
      <c r="D26" t="s">
        <v>98</v>
      </c>
      <c r="F26" s="69" t="s">
        <v>155</v>
      </c>
    </row>
    <row r="27" spans="2:9" x14ac:dyDescent="0.25">
      <c r="B27" s="37" t="s">
        <v>127</v>
      </c>
      <c r="C27" s="172">
        <f ca="1">C7+C26</f>
        <v>43978.135006512879</v>
      </c>
      <c r="F27" t="s">
        <v>156</v>
      </c>
    </row>
    <row r="28" spans="2:9" x14ac:dyDescent="0.25">
      <c r="B28" s="4" t="s">
        <v>131</v>
      </c>
      <c r="C28" s="171">
        <f ca="1">C9*(LOG(C11/C21)/LOG(2))</f>
        <v>4.1964201995130708</v>
      </c>
      <c r="D28" t="s">
        <v>98</v>
      </c>
    </row>
    <row r="29" spans="2:9" x14ac:dyDescent="0.25">
      <c r="B29" s="37" t="s">
        <v>128</v>
      </c>
      <c r="C29" s="172">
        <f ca="1">C7+C28</f>
        <v>43963.983760477291</v>
      </c>
      <c r="F29" t="s">
        <v>156</v>
      </c>
    </row>
    <row r="30" spans="2:9" x14ac:dyDescent="0.25">
      <c r="B30" s="4" t="s">
        <v>132</v>
      </c>
      <c r="C30" s="171">
        <f ca="1">C9*(LOG((C3*0.6)/C12)/LOG(2))</f>
        <v>21.314644242913189</v>
      </c>
      <c r="D30" t="s">
        <v>98</v>
      </c>
    </row>
    <row r="31" spans="2:9" x14ac:dyDescent="0.25">
      <c r="B31" s="37" t="s">
        <v>129</v>
      </c>
      <c r="C31" s="172">
        <f ca="1">C7+C30</f>
        <v>43981.10198452069</v>
      </c>
    </row>
    <row r="34" spans="2:6" x14ac:dyDescent="0.25">
      <c r="B34" s="4" t="s">
        <v>133</v>
      </c>
      <c r="C34" s="161">
        <f ca="1">C7+30</f>
        <v>43989.787340277777</v>
      </c>
      <c r="F34" t="s">
        <v>169</v>
      </c>
    </row>
    <row r="35" spans="2:6" x14ac:dyDescent="0.25">
      <c r="B35" s="41" t="s">
        <v>134</v>
      </c>
      <c r="C35" s="83">
        <f ca="1">C6*(2^((C34-C7)/C9))</f>
        <v>77995428.48123008</v>
      </c>
      <c r="F35" t="s">
        <v>141</v>
      </c>
    </row>
    <row r="36" spans="2:6" x14ac:dyDescent="0.25">
      <c r="B36" s="41" t="s">
        <v>189</v>
      </c>
      <c r="C36" s="83">
        <f ca="1">C35/Projections!B155</f>
        <v>649961904.01025069</v>
      </c>
    </row>
    <row r="37" spans="2:6" x14ac:dyDescent="0.25">
      <c r="B37" s="41" t="s">
        <v>74</v>
      </c>
      <c r="C37" s="83">
        <f ca="1">C35*Projections!B159</f>
        <v>63176297.069796368</v>
      </c>
    </row>
    <row r="38" spans="2:6" x14ac:dyDescent="0.25">
      <c r="B38" s="41" t="s">
        <v>122</v>
      </c>
      <c r="C38" s="83">
        <f ca="1">C35*Projections!B160</f>
        <v>10919359.987372212</v>
      </c>
    </row>
    <row r="39" spans="2:6" x14ac:dyDescent="0.25">
      <c r="B39" s="41" t="s">
        <v>123</v>
      </c>
      <c r="C39" s="83">
        <f ca="1">C35*Projections!B161</f>
        <v>3899771.4240615042</v>
      </c>
    </row>
    <row r="40" spans="2:6" x14ac:dyDescent="0.25">
      <c r="B40" s="37" t="s">
        <v>124</v>
      </c>
      <c r="C40" s="61">
        <f ca="1">C35*Projections!B162</f>
        <v>4679725.7088738047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7" t="s">
        <v>184</v>
      </c>
      <c r="B2" s="229"/>
      <c r="C2" s="76"/>
    </row>
    <row r="3" spans="1:4" x14ac:dyDescent="0.25">
      <c r="A3" s="297"/>
      <c r="B3" s="229" t="s">
        <v>185</v>
      </c>
      <c r="C3" s="76"/>
    </row>
    <row r="4" spans="1:4" x14ac:dyDescent="0.25">
      <c r="A4" s="296" t="s">
        <v>47</v>
      </c>
      <c r="B4" s="232">
        <v>308745538</v>
      </c>
      <c r="C4" s="76"/>
    </row>
    <row r="5" spans="1:4" x14ac:dyDescent="0.25">
      <c r="A5" s="296"/>
      <c r="B5" s="230">
        <v>1</v>
      </c>
      <c r="C5" s="76"/>
    </row>
    <row r="6" spans="1:4" x14ac:dyDescent="0.25">
      <c r="A6" s="296" t="s">
        <v>21</v>
      </c>
      <c r="B6" s="232">
        <v>20201362</v>
      </c>
      <c r="C6" s="76"/>
    </row>
    <row r="7" spans="1:4" x14ac:dyDescent="0.25">
      <c r="A7" s="296"/>
      <c r="B7" s="231">
        <f>B6/$B$4</f>
        <v>6.5430458139932701E-2</v>
      </c>
      <c r="C7" s="77"/>
    </row>
    <row r="8" spans="1:4" x14ac:dyDescent="0.25">
      <c r="A8" s="296" t="s">
        <v>22</v>
      </c>
      <c r="B8" s="232">
        <v>20348657</v>
      </c>
      <c r="C8" s="76"/>
    </row>
    <row r="9" spans="1:4" x14ac:dyDescent="0.25">
      <c r="A9" s="296"/>
      <c r="B9" s="231">
        <f>B8/$B$4</f>
        <v>6.590753386045696E-2</v>
      </c>
      <c r="C9" s="232">
        <f>B6+B8</f>
        <v>40550019</v>
      </c>
      <c r="D9" s="1">
        <f>C9/$B$4</f>
        <v>0.13133799200038965</v>
      </c>
    </row>
    <row r="10" spans="1:4" x14ac:dyDescent="0.25">
      <c r="A10" s="296" t="s">
        <v>23</v>
      </c>
      <c r="B10" s="232">
        <v>20677194</v>
      </c>
      <c r="C10" s="76"/>
    </row>
    <row r="11" spans="1:4" x14ac:dyDescent="0.25">
      <c r="A11" s="296"/>
      <c r="B11" s="231">
        <f>B10/$B$4</f>
        <v>6.6971636688074182E-2</v>
      </c>
      <c r="C11" s="76"/>
    </row>
    <row r="12" spans="1:4" x14ac:dyDescent="0.25">
      <c r="A12" s="296" t="s">
        <v>24</v>
      </c>
      <c r="B12" s="232">
        <v>22040343</v>
      </c>
      <c r="C12" s="76"/>
    </row>
    <row r="13" spans="1:4" x14ac:dyDescent="0.25">
      <c r="A13" s="296"/>
      <c r="B13" s="231">
        <f>B12/$B$4</f>
        <v>7.13867579844992E-2</v>
      </c>
      <c r="C13" s="232">
        <f>B10+B12</f>
        <v>42717537</v>
      </c>
      <c r="D13" s="1">
        <f>C13/$B$4</f>
        <v>0.13835839467257338</v>
      </c>
    </row>
    <row r="14" spans="1:4" x14ac:dyDescent="0.25">
      <c r="A14" s="296" t="s">
        <v>25</v>
      </c>
      <c r="B14" s="232">
        <v>21585999</v>
      </c>
      <c r="C14" s="76"/>
    </row>
    <row r="15" spans="1:4" x14ac:dyDescent="0.25">
      <c r="A15" s="296"/>
      <c r="B15" s="231">
        <f>B14/$B$4</f>
        <v>6.9915177203305853E-2</v>
      </c>
      <c r="C15" s="76"/>
    </row>
    <row r="16" spans="1:4" x14ac:dyDescent="0.25">
      <c r="A16" s="296" t="s">
        <v>26</v>
      </c>
      <c r="B16" s="232">
        <v>21101849</v>
      </c>
      <c r="C16" s="76"/>
    </row>
    <row r="17" spans="1:4" x14ac:dyDescent="0.25">
      <c r="A17" s="296"/>
      <c r="B17" s="231">
        <f>B16/$B$4</f>
        <v>6.8347057375125531E-2</v>
      </c>
      <c r="C17" s="232">
        <f>B14+B16</f>
        <v>42687848</v>
      </c>
      <c r="D17" s="1">
        <f>C17/$B$4</f>
        <v>0.13826223457843137</v>
      </c>
    </row>
    <row r="18" spans="1:4" x14ac:dyDescent="0.25">
      <c r="A18" s="296" t="s">
        <v>27</v>
      </c>
      <c r="B18" s="232">
        <v>19962099</v>
      </c>
      <c r="C18" s="76"/>
    </row>
    <row r="19" spans="1:4" x14ac:dyDescent="0.25">
      <c r="A19" s="296"/>
      <c r="B19" s="231">
        <f>B18/$B$4</f>
        <v>6.465550604977488E-2</v>
      </c>
      <c r="C19" s="77"/>
    </row>
    <row r="20" spans="1:4" x14ac:dyDescent="0.25">
      <c r="A20" s="296" t="s">
        <v>28</v>
      </c>
      <c r="B20" s="232">
        <v>20179642</v>
      </c>
      <c r="C20" s="76"/>
    </row>
    <row r="21" spans="1:4" x14ac:dyDescent="0.25">
      <c r="A21" s="296"/>
      <c r="B21" s="231">
        <f>B20/$B$4</f>
        <v>6.5360108945121009E-2</v>
      </c>
      <c r="C21" s="232">
        <f>B18+B20</f>
        <v>40141741</v>
      </c>
      <c r="D21" s="1">
        <f>C21/$B$4</f>
        <v>0.13001561499489589</v>
      </c>
    </row>
    <row r="22" spans="1:4" x14ac:dyDescent="0.25">
      <c r="A22" s="296" t="s">
        <v>29</v>
      </c>
      <c r="B22" s="232">
        <v>20890964</v>
      </c>
      <c r="C22" s="76"/>
    </row>
    <row r="23" spans="1:4" x14ac:dyDescent="0.25">
      <c r="A23" s="296"/>
      <c r="B23" s="231">
        <f>B22/$B$4</f>
        <v>6.7664019163898012E-2</v>
      </c>
      <c r="C23" s="76"/>
    </row>
    <row r="24" spans="1:4" x14ac:dyDescent="0.25">
      <c r="A24" s="296" t="s">
        <v>30</v>
      </c>
      <c r="B24" s="232">
        <v>22708591</v>
      </c>
      <c r="C24" s="76"/>
    </row>
    <row r="25" spans="1:4" x14ac:dyDescent="0.25">
      <c r="A25" s="296"/>
      <c r="B25" s="231">
        <f>B24/$B$4</f>
        <v>7.3551155255885833E-2</v>
      </c>
      <c r="C25" s="232">
        <f>B22+B24</f>
        <v>43599555</v>
      </c>
      <c r="D25" s="1">
        <f>C25/$B$4</f>
        <v>0.14121517441978385</v>
      </c>
    </row>
    <row r="26" spans="1:4" x14ac:dyDescent="0.25">
      <c r="A26" s="296" t="s">
        <v>31</v>
      </c>
      <c r="B26" s="232">
        <v>22298125</v>
      </c>
      <c r="C26" s="76"/>
    </row>
    <row r="27" spans="1:4" x14ac:dyDescent="0.25">
      <c r="A27" s="296"/>
      <c r="B27" s="231">
        <f>B26/$B$4</f>
        <v>7.2221691508299629E-2</v>
      </c>
      <c r="C27" s="76"/>
    </row>
    <row r="28" spans="1:4" x14ac:dyDescent="0.25">
      <c r="A28" s="296" t="s">
        <v>32</v>
      </c>
      <c r="B28" s="232">
        <v>19664805</v>
      </c>
      <c r="C28" s="76"/>
    </row>
    <row r="29" spans="1:4" x14ac:dyDescent="0.25">
      <c r="A29" s="296"/>
      <c r="B29" s="231">
        <f>B28/$B$4</f>
        <v>6.3692596587420158E-2</v>
      </c>
      <c r="C29" s="232">
        <f>B26+B28</f>
        <v>41962930</v>
      </c>
      <c r="D29" s="1">
        <f>C29/$B$4</f>
        <v>0.13591428809571979</v>
      </c>
    </row>
    <row r="30" spans="1:4" x14ac:dyDescent="0.25">
      <c r="A30" s="296" t="s">
        <v>33</v>
      </c>
      <c r="B30" s="232">
        <v>16817924</v>
      </c>
      <c r="C30" s="76"/>
    </row>
    <row r="31" spans="1:4" x14ac:dyDescent="0.25">
      <c r="A31" s="296"/>
      <c r="B31" s="231">
        <f>B30/$B$4</f>
        <v>5.4471796123576693E-2</v>
      </c>
      <c r="C31" s="77"/>
    </row>
    <row r="32" spans="1:4" x14ac:dyDescent="0.25">
      <c r="A32" s="296" t="s">
        <v>34</v>
      </c>
      <c r="B32" s="232">
        <v>12435263</v>
      </c>
      <c r="C32" s="76"/>
    </row>
    <row r="33" spans="1:4" x14ac:dyDescent="0.25">
      <c r="A33" s="296"/>
      <c r="B33" s="231">
        <f>B32/$B$4</f>
        <v>4.027673753782314E-2</v>
      </c>
      <c r="C33" s="232">
        <f>B30+B32</f>
        <v>29253187</v>
      </c>
      <c r="D33" s="1">
        <f>C33/$B$4</f>
        <v>9.4748533661399834E-2</v>
      </c>
    </row>
    <row r="34" spans="1:4" x14ac:dyDescent="0.25">
      <c r="A34" s="296" t="s">
        <v>35</v>
      </c>
      <c r="B34" s="232">
        <v>9278166</v>
      </c>
      <c r="C34" s="76"/>
    </row>
    <row r="35" spans="1:4" x14ac:dyDescent="0.25">
      <c r="A35" s="296"/>
      <c r="B35" s="231">
        <f>B34/$B$4</f>
        <v>3.0051174375190486E-2</v>
      </c>
      <c r="C35" s="76"/>
    </row>
    <row r="36" spans="1:4" x14ac:dyDescent="0.25">
      <c r="A36" s="296" t="s">
        <v>36</v>
      </c>
      <c r="B36" s="232">
        <v>7317795</v>
      </c>
      <c r="C36" s="76"/>
    </row>
    <row r="37" spans="1:4" x14ac:dyDescent="0.25">
      <c r="A37" s="296"/>
      <c r="B37" s="231">
        <f>B36/$B$4</f>
        <v>2.370170285667416E-2</v>
      </c>
      <c r="C37" s="232">
        <f>B34+B36</f>
        <v>16595961</v>
      </c>
      <c r="D37" s="1">
        <f>C37/$B$4</f>
        <v>5.3752877231864643E-2</v>
      </c>
    </row>
    <row r="38" spans="1:4" x14ac:dyDescent="0.25">
      <c r="A38" s="296" t="s">
        <v>37</v>
      </c>
      <c r="B38" s="232">
        <v>5743327</v>
      </c>
      <c r="C38" s="76"/>
    </row>
    <row r="39" spans="1:4" x14ac:dyDescent="0.25">
      <c r="A39" s="296"/>
      <c r="B39" s="231">
        <f>B38/$B$4</f>
        <v>1.8602137660690663E-2</v>
      </c>
      <c r="C39" s="76"/>
    </row>
    <row r="40" spans="1:4" x14ac:dyDescent="0.25">
      <c r="A40" s="296" t="s">
        <v>183</v>
      </c>
      <c r="B40" s="232">
        <v>5493433</v>
      </c>
      <c r="C40" s="76"/>
    </row>
    <row r="41" spans="1:4" x14ac:dyDescent="0.25">
      <c r="A41" s="296"/>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186</v>
      </c>
    </row>
    <row r="2" spans="1:3" x14ac:dyDescent="0.25">
      <c r="A2" t="s">
        <v>187</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2020-05-08T08:53:46Z</dcterms:modified>
</cp:coreProperties>
</file>