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E5D90DD4-EB50-438C-B8E3-D8008D7FAEFB}"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ABS Population by Age Range" sheetId="2" r:id="rId4"/>
    <sheet name="AU 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22" i="1" l="1"/>
  <c r="L45" i="1"/>
  <c r="M45" i="1"/>
  <c r="N45" i="1"/>
  <c r="K45" i="1"/>
  <c r="I45" i="1"/>
  <c r="J45" i="1"/>
  <c r="H45" i="1"/>
  <c r="G45" i="1"/>
  <c r="E34" i="4" l="1"/>
  <c r="C45" i="4"/>
  <c r="H17" i="1" l="1"/>
  <c r="I17" i="1" l="1"/>
  <c r="G43" i="1"/>
  <c r="G28" i="1" s="1"/>
  <c r="N7" i="1"/>
  <c r="N6" i="1"/>
  <c r="M5" i="1"/>
  <c r="K4" i="1"/>
  <c r="J3" i="1"/>
  <c r="F2" i="1"/>
  <c r="P11" i="1"/>
  <c r="O10" i="1"/>
  <c r="N9" i="1"/>
  <c r="N8" i="1"/>
  <c r="G41" i="1"/>
  <c r="G40" i="1"/>
  <c r="J17" i="1" l="1"/>
  <c r="G29" i="1"/>
  <c r="G30" i="1"/>
  <c r="G31" i="1" s="1"/>
  <c r="P42" i="1"/>
  <c r="Q42" i="1" s="1"/>
  <c r="R42" i="1" s="1"/>
  <c r="S42" i="1" s="1"/>
  <c r="T42" i="1" s="1"/>
  <c r="U42" i="1" s="1"/>
  <c r="V42" i="1" s="1"/>
  <c r="W42" i="1" s="1"/>
  <c r="X42" i="1" s="1"/>
  <c r="Y42" i="1" s="1"/>
  <c r="Z42" i="1" s="1"/>
  <c r="K17" i="1" l="1"/>
  <c r="G26" i="1"/>
  <c r="G27" i="1" s="1"/>
  <c r="G22" i="1"/>
  <c r="G24" i="1" s="1"/>
  <c r="G25" i="1" s="1"/>
  <c r="C12" i="5"/>
  <c r="C7" i="5"/>
  <c r="C8" i="5" s="1"/>
  <c r="C9" i="5" s="1"/>
  <c r="C21" i="5"/>
  <c r="C18" i="5"/>
  <c r="C15" i="5"/>
  <c r="C24" i="5"/>
  <c r="C3" i="5"/>
  <c r="L17" i="1" l="1"/>
  <c r="C30" i="5"/>
  <c r="G20" i="1"/>
  <c r="G21" i="1" s="1"/>
  <c r="C34" i="5"/>
  <c r="M17" i="1" l="1"/>
  <c r="C13" i="5"/>
  <c r="C14" i="5" s="1"/>
  <c r="G23" i="1"/>
  <c r="AB19" i="1"/>
  <c r="AB22" i="1"/>
  <c r="AB18" i="1"/>
  <c r="AA18" i="1"/>
  <c r="AA19" i="1" s="1"/>
  <c r="G36" i="1"/>
  <c r="G34" i="1"/>
  <c r="G37" i="1"/>
  <c r="G35" i="1"/>
  <c r="N17" i="1" l="1"/>
  <c r="AB23" i="1"/>
  <c r="AB24" i="1"/>
  <c r="AB32" i="1"/>
  <c r="AB26" i="1"/>
  <c r="AB30" i="1"/>
  <c r="AB28" i="1"/>
  <c r="AA42" i="1"/>
  <c r="AB42" i="1" s="1"/>
  <c r="AA26" i="1"/>
  <c r="AA22" i="1"/>
  <c r="AA24" i="1" s="1"/>
  <c r="Z23" i="1"/>
  <c r="Z24" i="1"/>
  <c r="C22" i="5"/>
  <c r="C23" i="5" s="1"/>
  <c r="C35" i="5"/>
  <c r="C40" i="5" s="1"/>
  <c r="C25" i="5"/>
  <c r="C19" i="5"/>
  <c r="C20" i="5" s="1"/>
  <c r="C16" i="5"/>
  <c r="C17" i="5" s="1"/>
  <c r="C31" i="5"/>
  <c r="AP25" i="4"/>
  <c r="E31" i="4"/>
  <c r="B17" i="4" s="1"/>
  <c r="B18" i="4" l="1"/>
  <c r="H21" i="4" s="1"/>
  <c r="V24" i="4" s="1"/>
  <c r="K20" i="4"/>
  <c r="O17" i="1"/>
  <c r="C38" i="5"/>
  <c r="C36" i="5"/>
  <c r="C39" i="5"/>
  <c r="C37" i="5"/>
  <c r="E17" i="4"/>
  <c r="N20" i="4" s="1"/>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P17" i="1" l="1"/>
  <c r="E18" i="4"/>
  <c r="E19" i="4" s="1"/>
  <c r="H17" i="4"/>
  <c r="B19" i="4"/>
  <c r="G73" i="1"/>
  <c r="G74" i="1" s="1"/>
  <c r="Q17" i="1" l="1"/>
  <c r="H18" i="4"/>
  <c r="H19" i="4" s="1"/>
  <c r="Q20" i="4"/>
  <c r="K17" i="4"/>
  <c r="T20" i="4" s="1"/>
  <c r="K21" i="4"/>
  <c r="Y24" i="4" s="1"/>
  <c r="B14" i="3"/>
  <c r="R17" i="1" l="1"/>
  <c r="K18" i="4"/>
  <c r="K19" i="4" s="1"/>
  <c r="N22" i="4"/>
  <c r="N17" i="4"/>
  <c r="W20" i="4" s="1"/>
  <c r="N21" i="4"/>
  <c r="AB24" i="4" s="1"/>
  <c r="S17" i="1" l="1"/>
  <c r="Q17" i="4"/>
  <c r="T17" i="4" s="1"/>
  <c r="N18" i="4"/>
  <c r="Q21" i="4"/>
  <c r="AE24" i="4" s="1"/>
  <c r="Q22" i="4"/>
  <c r="N19" i="4"/>
  <c r="B66" i="1"/>
  <c r="B64" i="1"/>
  <c r="B62" i="1"/>
  <c r="B60" i="1"/>
  <c r="B58" i="1"/>
  <c r="B56" i="1"/>
  <c r="B54" i="1"/>
  <c r="B52" i="1"/>
  <c r="B50" i="1"/>
  <c r="T17" i="1" l="1"/>
  <c r="T18" i="4"/>
  <c r="T19" i="4" s="1"/>
  <c r="AC20" i="4"/>
  <c r="Q18" i="4"/>
  <c r="Q19" i="4" s="1"/>
  <c r="Z20" i="4"/>
  <c r="T21" i="4"/>
  <c r="AH24" i="4" s="1"/>
  <c r="T22" i="4"/>
  <c r="T23" i="4"/>
  <c r="W21" i="4"/>
  <c r="AK24" i="4" s="1"/>
  <c r="W23" i="4"/>
  <c r="W22" i="4"/>
  <c r="W17" i="4"/>
  <c r="U17" i="1" l="1"/>
  <c r="W18" i="4"/>
  <c r="W19" i="4" s="1"/>
  <c r="AF20" i="4"/>
  <c r="Z21" i="4"/>
  <c r="AN24" i="4" s="1"/>
  <c r="Z23" i="4"/>
  <c r="Z22" i="4"/>
  <c r="Z17" i="4"/>
  <c r="C83" i="1"/>
  <c r="C81" i="1"/>
  <c r="C79" i="1"/>
  <c r="C77" i="1"/>
  <c r="C75" i="1"/>
  <c r="C73" i="1"/>
  <c r="G32" i="1"/>
  <c r="C5" i="3"/>
  <c r="D52" i="1" s="1"/>
  <c r="V17" i="1" l="1"/>
  <c r="Z18" i="4"/>
  <c r="Z19" i="4" s="1"/>
  <c r="AI20" i="4"/>
  <c r="AC21" i="4"/>
  <c r="AC22" i="4"/>
  <c r="AC23" i="4"/>
  <c r="AC17" i="4"/>
  <c r="AA77" i="1"/>
  <c r="AA78" i="1" s="1"/>
  <c r="AA32" i="1"/>
  <c r="AA73" i="1"/>
  <c r="AA79" i="1"/>
  <c r="AA80" i="1" s="1"/>
  <c r="AA75" i="1"/>
  <c r="AA76" i="1" s="1"/>
  <c r="AA74" i="1"/>
  <c r="AA83" i="1"/>
  <c r="AA81" i="1"/>
  <c r="AA82" i="1" s="1"/>
  <c r="AA52" i="1"/>
  <c r="AA53" i="1"/>
  <c r="C7" i="3"/>
  <c r="D56" i="1" s="1"/>
  <c r="C4" i="3"/>
  <c r="D50" i="1" s="1"/>
  <c r="C12" i="3"/>
  <c r="D66" i="1" s="1"/>
  <c r="G67" i="1" s="1"/>
  <c r="C11" i="3"/>
  <c r="D64" i="1" s="1"/>
  <c r="C10" i="3"/>
  <c r="D62" i="1" s="1"/>
  <c r="C9" i="3"/>
  <c r="D60" i="1" s="1"/>
  <c r="C8" i="3"/>
  <c r="D58" i="1" s="1"/>
  <c r="C6" i="3"/>
  <c r="D54" i="1" s="1"/>
  <c r="AA54" i="1" s="1"/>
  <c r="C8" i="1"/>
  <c r="C10" i="5" s="1"/>
  <c r="C26" i="5" s="1"/>
  <c r="C27" i="5" s="1"/>
  <c r="C9" i="1"/>
  <c r="C11" i="5" s="1"/>
  <c r="C28" i="5" s="1"/>
  <c r="C29" i="5" s="1"/>
  <c r="G53" i="1"/>
  <c r="G83" i="1"/>
  <c r="G81" i="1"/>
  <c r="G79" i="1"/>
  <c r="G80" i="1" s="1"/>
  <c r="G77" i="1"/>
  <c r="G78" i="1" s="1"/>
  <c r="G75" i="1"/>
  <c r="G76" i="1" s="1"/>
  <c r="C52" i="1"/>
  <c r="C54" i="1"/>
  <c r="C56" i="1"/>
  <c r="C58" i="1"/>
  <c r="C60" i="1"/>
  <c r="C62" i="1"/>
  <c r="C64" i="1"/>
  <c r="C66" i="1"/>
  <c r="C50" i="1"/>
  <c r="C13" i="2"/>
  <c r="D13" i="2" s="1"/>
  <c r="C25" i="2"/>
  <c r="D25" i="2" s="1"/>
  <c r="C37" i="2"/>
  <c r="D37" i="2" s="1"/>
  <c r="D49" i="2"/>
  <c r="C49" i="2"/>
  <c r="C61" i="2"/>
  <c r="D61" i="2" s="1"/>
  <c r="D73" i="2"/>
  <c r="C73" i="2"/>
  <c r="C85" i="2"/>
  <c r="D85" i="2" s="1"/>
  <c r="C107" i="2"/>
  <c r="D107" i="2" s="1"/>
  <c r="C97" i="2"/>
  <c r="D97" i="2" s="1"/>
  <c r="G19" i="1"/>
  <c r="H18" i="1"/>
  <c r="W17" i="1" l="1"/>
  <c r="AC18" i="4"/>
  <c r="AL20" i="4"/>
  <c r="H28" i="1"/>
  <c r="H30" i="1"/>
  <c r="H31" i="1" s="1"/>
  <c r="H43" i="1"/>
  <c r="H41" i="1"/>
  <c r="H26" i="1"/>
  <c r="H27" i="1" s="1"/>
  <c r="H34" i="1"/>
  <c r="H37" i="1"/>
  <c r="H40" i="1"/>
  <c r="H35" i="1"/>
  <c r="H36" i="1"/>
  <c r="AA85" i="1"/>
  <c r="H22" i="1"/>
  <c r="AF22" i="4"/>
  <c r="AF23" i="4"/>
  <c r="AF21" i="4"/>
  <c r="AF17" i="4"/>
  <c r="AC19" i="4"/>
  <c r="G51" i="1"/>
  <c r="G50" i="1"/>
  <c r="AA86" i="1"/>
  <c r="G59" i="1"/>
  <c r="G58" i="1"/>
  <c r="AA62" i="1"/>
  <c r="AA63" i="1"/>
  <c r="AA64" i="1"/>
  <c r="AA65" i="1"/>
  <c r="AA58" i="1"/>
  <c r="AA59" i="1"/>
  <c r="AA56" i="1"/>
  <c r="AA57" i="1"/>
  <c r="AA61" i="1"/>
  <c r="AA60" i="1"/>
  <c r="G62" i="1"/>
  <c r="G61" i="1"/>
  <c r="G64" i="1"/>
  <c r="AA50" i="1"/>
  <c r="AA51" i="1"/>
  <c r="AA55" i="1"/>
  <c r="AA67" i="1"/>
  <c r="AA66" i="1"/>
  <c r="G54" i="1"/>
  <c r="I18" i="1"/>
  <c r="I26" i="1" s="1"/>
  <c r="I27" i="1" s="1"/>
  <c r="H77" i="1"/>
  <c r="H78" i="1" s="1"/>
  <c r="G55" i="1"/>
  <c r="H66" i="1"/>
  <c r="H75" i="1"/>
  <c r="H76" i="1" s="1"/>
  <c r="G63" i="1"/>
  <c r="H64" i="1"/>
  <c r="H83" i="1"/>
  <c r="G52" i="1"/>
  <c r="G60" i="1"/>
  <c r="H81" i="1"/>
  <c r="H82" i="1" s="1"/>
  <c r="H79" i="1"/>
  <c r="H80" i="1" s="1"/>
  <c r="H62" i="1"/>
  <c r="H55" i="1"/>
  <c r="H59" i="1"/>
  <c r="H63" i="1"/>
  <c r="H67" i="1"/>
  <c r="G85" i="1"/>
  <c r="H73" i="1"/>
  <c r="H74" i="1" s="1"/>
  <c r="G56" i="1"/>
  <c r="H52" i="1"/>
  <c r="G57" i="1"/>
  <c r="G65" i="1"/>
  <c r="H56" i="1"/>
  <c r="H53" i="1"/>
  <c r="H60" i="1"/>
  <c r="G66" i="1"/>
  <c r="H50" i="1"/>
  <c r="H57" i="1"/>
  <c r="H61" i="1"/>
  <c r="H65" i="1"/>
  <c r="H54" i="1"/>
  <c r="H51" i="1"/>
  <c r="H58" i="1"/>
  <c r="G82" i="1"/>
  <c r="G86" i="1" s="1"/>
  <c r="H19" i="1"/>
  <c r="H32" i="1"/>
  <c r="X17" i="1" l="1"/>
  <c r="AF18" i="4"/>
  <c r="AO20" i="4"/>
  <c r="H29" i="1"/>
  <c r="H20" i="1" s="1"/>
  <c r="H21" i="1" s="1"/>
  <c r="I75" i="1"/>
  <c r="I76" i="1" s="1"/>
  <c r="I56" i="1"/>
  <c r="I30" i="1"/>
  <c r="I31" i="1" s="1"/>
  <c r="I81" i="1"/>
  <c r="I82" i="1" s="1"/>
  <c r="I52" i="1"/>
  <c r="I51" i="1"/>
  <c r="I73" i="1"/>
  <c r="I74" i="1" s="1"/>
  <c r="I53" i="1"/>
  <c r="I19" i="1"/>
  <c r="H23" i="1"/>
  <c r="H24" i="1"/>
  <c r="H25" i="1" s="1"/>
  <c r="I41" i="1"/>
  <c r="I43" i="1"/>
  <c r="J18" i="1"/>
  <c r="J26" i="1" s="1"/>
  <c r="J27" i="1" s="1"/>
  <c r="I22" i="1"/>
  <c r="I32" i="1"/>
  <c r="I66" i="1"/>
  <c r="I65" i="1"/>
  <c r="I77" i="1"/>
  <c r="I78" i="1" s="1"/>
  <c r="I61" i="1"/>
  <c r="I60" i="1"/>
  <c r="I36" i="1"/>
  <c r="I34" i="1"/>
  <c r="I37" i="1"/>
  <c r="I40" i="1"/>
  <c r="I35" i="1"/>
  <c r="AI23" i="4"/>
  <c r="AI21" i="4"/>
  <c r="AI22" i="4"/>
  <c r="AI17" i="4"/>
  <c r="AI18" i="4" s="1"/>
  <c r="AF19" i="4"/>
  <c r="AA68" i="1"/>
  <c r="AA69" i="1"/>
  <c r="G69" i="1"/>
  <c r="H69" i="1"/>
  <c r="I63" i="1"/>
  <c r="I62" i="1"/>
  <c r="I58" i="1"/>
  <c r="I55" i="1"/>
  <c r="I57" i="1"/>
  <c r="I50" i="1"/>
  <c r="I59" i="1"/>
  <c r="I64" i="1"/>
  <c r="I83" i="1"/>
  <c r="I54" i="1"/>
  <c r="I79" i="1"/>
  <c r="I80" i="1" s="1"/>
  <c r="I67" i="1"/>
  <c r="J83" i="1"/>
  <c r="J60" i="1"/>
  <c r="J65" i="1"/>
  <c r="J54" i="1"/>
  <c r="J75" i="1"/>
  <c r="J76" i="1" s="1"/>
  <c r="J62" i="1"/>
  <c r="J63" i="1"/>
  <c r="J67" i="1"/>
  <c r="J53" i="1"/>
  <c r="J55" i="1"/>
  <c r="J57" i="1"/>
  <c r="J50" i="1"/>
  <c r="H85" i="1"/>
  <c r="G68" i="1"/>
  <c r="H68" i="1"/>
  <c r="H86" i="1"/>
  <c r="Y17" i="1" l="1"/>
  <c r="J30" i="1"/>
  <c r="J31" i="1" s="1"/>
  <c r="J61" i="1"/>
  <c r="J59" i="1"/>
  <c r="J52" i="1"/>
  <c r="J73" i="1"/>
  <c r="J74" i="1" s="1"/>
  <c r="J56" i="1"/>
  <c r="K18" i="1"/>
  <c r="K62" i="1" s="1"/>
  <c r="J66" i="1"/>
  <c r="J64" i="1"/>
  <c r="J32" i="1"/>
  <c r="J77" i="1"/>
  <c r="J78" i="1" s="1"/>
  <c r="I86" i="1"/>
  <c r="J51" i="1"/>
  <c r="J79" i="1"/>
  <c r="J80" i="1" s="1"/>
  <c r="J81" i="1"/>
  <c r="J82" i="1" s="1"/>
  <c r="J19" i="1"/>
  <c r="J58" i="1"/>
  <c r="J41" i="1"/>
  <c r="J43" i="1"/>
  <c r="I23" i="1"/>
  <c r="I24" i="1"/>
  <c r="I25" i="1" s="1"/>
  <c r="J35" i="1"/>
  <c r="J36" i="1"/>
  <c r="J37" i="1"/>
  <c r="J40" i="1"/>
  <c r="J34" i="1"/>
  <c r="I85" i="1"/>
  <c r="J22" i="1"/>
  <c r="AL22" i="4"/>
  <c r="AL21" i="4"/>
  <c r="AL23" i="4"/>
  <c r="AL17" i="4"/>
  <c r="AL18" i="4" s="1"/>
  <c r="AI19" i="4"/>
  <c r="I68" i="1"/>
  <c r="I69" i="1"/>
  <c r="Z17" i="1" l="1"/>
  <c r="K66" i="1"/>
  <c r="K63" i="1"/>
  <c r="K75" i="1"/>
  <c r="K76" i="1" s="1"/>
  <c r="K60" i="1"/>
  <c r="K61" i="1"/>
  <c r="K52" i="1"/>
  <c r="K58" i="1"/>
  <c r="K73" i="1"/>
  <c r="K74" i="1" s="1"/>
  <c r="J69" i="1"/>
  <c r="K59" i="1"/>
  <c r="K51" i="1"/>
  <c r="K81" i="1"/>
  <c r="K82" i="1" s="1"/>
  <c r="K65" i="1"/>
  <c r="K57" i="1"/>
  <c r="K64" i="1"/>
  <c r="K79" i="1"/>
  <c r="K80" i="1" s="1"/>
  <c r="J86" i="1"/>
  <c r="K26" i="1"/>
  <c r="K19" i="1"/>
  <c r="K53" i="1"/>
  <c r="K54" i="1"/>
  <c r="K77" i="1"/>
  <c r="K78" i="1" s="1"/>
  <c r="K22" i="1"/>
  <c r="K24" i="1" s="1"/>
  <c r="K32" i="1"/>
  <c r="K56" i="1"/>
  <c r="L18" i="1"/>
  <c r="L63" i="1" s="1"/>
  <c r="K67" i="1"/>
  <c r="J68" i="1"/>
  <c r="K55" i="1"/>
  <c r="K83" i="1"/>
  <c r="J85" i="1"/>
  <c r="K50" i="1"/>
  <c r="K41" i="1"/>
  <c r="K43" i="1"/>
  <c r="J23" i="1"/>
  <c r="J24" i="1"/>
  <c r="J25" i="1" s="1"/>
  <c r="K35" i="1"/>
  <c r="K40" i="1"/>
  <c r="K36" i="1"/>
  <c r="K37" i="1"/>
  <c r="K34" i="1"/>
  <c r="AO21" i="4"/>
  <c r="AO22" i="4"/>
  <c r="AO23" i="4"/>
  <c r="AO17" i="4"/>
  <c r="AL19" i="4"/>
  <c r="L60" i="1"/>
  <c r="L50" i="1"/>
  <c r="L53" i="1"/>
  <c r="AA17" i="1" l="1"/>
  <c r="AO18" i="4"/>
  <c r="AO19" i="4" s="1"/>
  <c r="K68" i="1"/>
  <c r="K86" i="1"/>
  <c r="L66" i="1"/>
  <c r="L32" i="1"/>
  <c r="M18" i="1"/>
  <c r="M64" i="1" s="1"/>
  <c r="L55" i="1"/>
  <c r="L81" i="1"/>
  <c r="L82" i="1" s="1"/>
  <c r="L61" i="1"/>
  <c r="L62" i="1"/>
  <c r="K85" i="1"/>
  <c r="L58" i="1"/>
  <c r="K69" i="1"/>
  <c r="L19" i="1"/>
  <c r="L56" i="1"/>
  <c r="L79" i="1"/>
  <c r="L80" i="1" s="1"/>
  <c r="L26" i="1"/>
  <c r="L75" i="1"/>
  <c r="L76" i="1" s="1"/>
  <c r="L57" i="1"/>
  <c r="L22" i="1"/>
  <c r="L23" i="1" s="1"/>
  <c r="L65" i="1"/>
  <c r="L64" i="1"/>
  <c r="L59" i="1"/>
  <c r="L77" i="1"/>
  <c r="L78" i="1" s="1"/>
  <c r="L52" i="1"/>
  <c r="L73" i="1"/>
  <c r="L74" i="1" s="1"/>
  <c r="L83" i="1"/>
  <c r="L54" i="1"/>
  <c r="K23" i="1"/>
  <c r="L51" i="1"/>
  <c r="L67" i="1"/>
  <c r="M22" i="1"/>
  <c r="M26" i="1"/>
  <c r="L41" i="1"/>
  <c r="L43" i="1"/>
  <c r="L35" i="1"/>
  <c r="L36" i="1"/>
  <c r="L34" i="1"/>
  <c r="L37" i="1"/>
  <c r="L40" i="1"/>
  <c r="M60" i="1"/>
  <c r="M52" i="1"/>
  <c r="M50" i="1"/>
  <c r="M51" i="1"/>
  <c r="M59" i="1"/>
  <c r="M58" i="1"/>
  <c r="M73" i="1"/>
  <c r="M83" i="1"/>
  <c r="M56" i="1"/>
  <c r="M57" i="1"/>
  <c r="M77" i="1"/>
  <c r="M78" i="1" s="1"/>
  <c r="M53" i="1"/>
  <c r="M79" i="1"/>
  <c r="M80" i="1" s="1"/>
  <c r="M61" i="1"/>
  <c r="M75" i="1"/>
  <c r="M76" i="1" s="1"/>
  <c r="M19" i="1"/>
  <c r="M63" i="1"/>
  <c r="M62" i="1"/>
  <c r="M55" i="1"/>
  <c r="M65" i="1"/>
  <c r="M32" i="1"/>
  <c r="N18" i="1" l="1"/>
  <c r="M67" i="1"/>
  <c r="M66" i="1"/>
  <c r="M81" i="1"/>
  <c r="M82" i="1" s="1"/>
  <c r="M54" i="1"/>
  <c r="L86" i="1"/>
  <c r="L69" i="1"/>
  <c r="L85" i="1"/>
  <c r="L68" i="1"/>
  <c r="L24" i="1"/>
  <c r="N22" i="1"/>
  <c r="N26" i="1"/>
  <c r="M41" i="1"/>
  <c r="M43" i="1"/>
  <c r="M23" i="1"/>
  <c r="M24" i="1"/>
  <c r="M85" i="1"/>
  <c r="M35" i="1"/>
  <c r="M36" i="1"/>
  <c r="M37" i="1"/>
  <c r="M34" i="1"/>
  <c r="M40" i="1"/>
  <c r="M74" i="1"/>
  <c r="M86" i="1" s="1"/>
  <c r="M69" i="1"/>
  <c r="O18" i="1"/>
  <c r="O26" i="1" s="1"/>
  <c r="N58" i="1"/>
  <c r="N64" i="1"/>
  <c r="N51" i="1"/>
  <c r="N67" i="1"/>
  <c r="N57" i="1"/>
  <c r="N62" i="1"/>
  <c r="N60" i="1"/>
  <c r="N56" i="1"/>
  <c r="N52" i="1"/>
  <c r="N54" i="1"/>
  <c r="N77" i="1"/>
  <c r="N78" i="1" s="1"/>
  <c r="N55" i="1"/>
  <c r="N66" i="1"/>
  <c r="N61" i="1"/>
  <c r="N83" i="1"/>
  <c r="N32" i="1"/>
  <c r="N50" i="1"/>
  <c r="N59" i="1"/>
  <c r="N53" i="1"/>
  <c r="N81" i="1"/>
  <c r="N82" i="1" s="1"/>
  <c r="N65" i="1"/>
  <c r="N19" i="1"/>
  <c r="N79" i="1"/>
  <c r="N80" i="1" s="1"/>
  <c r="N75" i="1"/>
  <c r="N76" i="1" s="1"/>
  <c r="N73" i="1"/>
  <c r="N63" i="1"/>
  <c r="M68" i="1" l="1"/>
  <c r="O43" i="1"/>
  <c r="N33" i="1"/>
  <c r="N43" i="1"/>
  <c r="O33" i="1" s="1"/>
  <c r="N41" i="1"/>
  <c r="N40" i="1"/>
  <c r="N23" i="1"/>
  <c r="N24" i="1"/>
  <c r="N35" i="1"/>
  <c r="N37" i="1"/>
  <c r="N36" i="1"/>
  <c r="N34" i="1"/>
  <c r="O22" i="1"/>
  <c r="P18" i="1"/>
  <c r="N68" i="1"/>
  <c r="N69" i="1"/>
  <c r="N74" i="1"/>
  <c r="N86" i="1" s="1"/>
  <c r="N85" i="1"/>
  <c r="O75" i="1"/>
  <c r="O76" i="1" s="1"/>
  <c r="O65" i="1"/>
  <c r="O50" i="1"/>
  <c r="O81" i="1"/>
  <c r="O82" i="1" s="1"/>
  <c r="O79" i="1"/>
  <c r="O80" i="1" s="1"/>
  <c r="O19" i="1"/>
  <c r="O56" i="1"/>
  <c r="O57" i="1"/>
  <c r="O51" i="1"/>
  <c r="O83" i="1"/>
  <c r="O55" i="1"/>
  <c r="O60" i="1"/>
  <c r="O61" i="1"/>
  <c r="O59" i="1"/>
  <c r="O58" i="1"/>
  <c r="O77" i="1"/>
  <c r="O78" i="1" s="1"/>
  <c r="O53" i="1"/>
  <c r="O66" i="1"/>
  <c r="O63" i="1"/>
  <c r="O67" i="1"/>
  <c r="O62" i="1"/>
  <c r="O54" i="1"/>
  <c r="O73" i="1"/>
  <c r="O64" i="1"/>
  <c r="O52" i="1"/>
  <c r="O32" i="1"/>
  <c r="O40" i="1" l="1"/>
  <c r="O41" i="1"/>
  <c r="P32" i="1"/>
  <c r="P26" i="1"/>
  <c r="O23" i="1"/>
  <c r="O24" i="1"/>
  <c r="Q18" i="1"/>
  <c r="Q26" i="1" s="1"/>
  <c r="P19" i="1"/>
  <c r="P22" i="1"/>
  <c r="O35" i="1"/>
  <c r="O37" i="1"/>
  <c r="O34" i="1"/>
  <c r="O36" i="1"/>
  <c r="O68" i="1"/>
  <c r="O74" i="1"/>
  <c r="O86" i="1" s="1"/>
  <c r="O85" i="1"/>
  <c r="P58" i="1"/>
  <c r="P51" i="1"/>
  <c r="P62" i="1"/>
  <c r="P66" i="1"/>
  <c r="P57" i="1"/>
  <c r="P61" i="1"/>
  <c r="P55" i="1"/>
  <c r="P83" i="1"/>
  <c r="P54" i="1"/>
  <c r="P81" i="1"/>
  <c r="P82" i="1" s="1"/>
  <c r="P79" i="1"/>
  <c r="P80" i="1" s="1"/>
  <c r="P59" i="1"/>
  <c r="P60" i="1"/>
  <c r="P56" i="1"/>
  <c r="P52" i="1"/>
  <c r="P75" i="1"/>
  <c r="P76" i="1" s="1"/>
  <c r="P73" i="1"/>
  <c r="P77" i="1"/>
  <c r="P78" i="1" s="1"/>
  <c r="P63" i="1"/>
  <c r="P50" i="1"/>
  <c r="P65" i="1"/>
  <c r="P53" i="1"/>
  <c r="P64" i="1"/>
  <c r="P67" i="1"/>
  <c r="O69" i="1"/>
  <c r="P23" i="1" l="1"/>
  <c r="P24" i="1"/>
  <c r="P43" i="1"/>
  <c r="P41" i="1"/>
  <c r="P40" i="1"/>
  <c r="P36" i="1"/>
  <c r="P37" i="1"/>
  <c r="P34" i="1"/>
  <c r="P35" i="1"/>
  <c r="Q22" i="1"/>
  <c r="R18" i="1"/>
  <c r="Q32" i="1"/>
  <c r="Q19" i="1"/>
  <c r="P68" i="1"/>
  <c r="P74" i="1"/>
  <c r="P86" i="1" s="1"/>
  <c r="P85" i="1"/>
  <c r="P69" i="1"/>
  <c r="Q57" i="1"/>
  <c r="Q53" i="1"/>
  <c r="Q67" i="1"/>
  <c r="Q61" i="1"/>
  <c r="Q77" i="1"/>
  <c r="Q78" i="1" s="1"/>
  <c r="Q62" i="1"/>
  <c r="Q75" i="1"/>
  <c r="Q76" i="1" s="1"/>
  <c r="Q55" i="1"/>
  <c r="Q58" i="1"/>
  <c r="Q83" i="1"/>
  <c r="Q81" i="1"/>
  <c r="Q82" i="1" s="1"/>
  <c r="Q56" i="1"/>
  <c r="Q50" i="1"/>
  <c r="Q65" i="1"/>
  <c r="Q79" i="1"/>
  <c r="Q80" i="1" s="1"/>
  <c r="Q59" i="1"/>
  <c r="Q52" i="1"/>
  <c r="Q64" i="1"/>
  <c r="Q73" i="1"/>
  <c r="Q66" i="1"/>
  <c r="Q60" i="1"/>
  <c r="Q54" i="1"/>
  <c r="Q51" i="1"/>
  <c r="Q63" i="1"/>
  <c r="Q43" i="1" l="1"/>
  <c r="Q41" i="1"/>
  <c r="Q40" i="1"/>
  <c r="Q23" i="1"/>
  <c r="Q24" i="1"/>
  <c r="R26" i="1"/>
  <c r="R32" i="1"/>
  <c r="R22" i="1"/>
  <c r="S18" i="1"/>
  <c r="S26" i="1" s="1"/>
  <c r="R19" i="1"/>
  <c r="Q37" i="1"/>
  <c r="Q34" i="1"/>
  <c r="Q36" i="1"/>
  <c r="Q35" i="1"/>
  <c r="Q68" i="1"/>
  <c r="Q69" i="1"/>
  <c r="Q74" i="1"/>
  <c r="Q86" i="1" s="1"/>
  <c r="Q85" i="1"/>
  <c r="R67" i="1"/>
  <c r="R83" i="1"/>
  <c r="R59" i="1"/>
  <c r="R61" i="1"/>
  <c r="R65" i="1"/>
  <c r="R73" i="1"/>
  <c r="R58" i="1"/>
  <c r="R56" i="1"/>
  <c r="R50" i="1"/>
  <c r="R54" i="1"/>
  <c r="R53" i="1"/>
  <c r="R81" i="1"/>
  <c r="R82" i="1" s="1"/>
  <c r="R55" i="1"/>
  <c r="R62" i="1"/>
  <c r="R77" i="1"/>
  <c r="R78" i="1" s="1"/>
  <c r="R79" i="1"/>
  <c r="R80" i="1" s="1"/>
  <c r="R63" i="1"/>
  <c r="R75" i="1"/>
  <c r="R76" i="1" s="1"/>
  <c r="R60" i="1"/>
  <c r="R51" i="1"/>
  <c r="R52" i="1"/>
  <c r="R66" i="1"/>
  <c r="R57" i="1"/>
  <c r="R64" i="1"/>
  <c r="K25" i="1" l="1"/>
  <c r="L25" i="1"/>
  <c r="M25" i="1"/>
  <c r="N25" i="1"/>
  <c r="O25" i="1"/>
  <c r="O28" i="1"/>
  <c r="P28" i="1"/>
  <c r="P25" i="1"/>
  <c r="Q25" i="1"/>
  <c r="K27" i="1"/>
  <c r="M27" i="1"/>
  <c r="L27" i="1"/>
  <c r="O27" i="1"/>
  <c r="N27" i="1"/>
  <c r="Q27" i="1"/>
  <c r="P27" i="1"/>
  <c r="Q33" i="1"/>
  <c r="Q30" i="1"/>
  <c r="Q31" i="1" s="1"/>
  <c r="O30" i="1"/>
  <c r="O31" i="1" s="1"/>
  <c r="J28" i="1"/>
  <c r="K30" i="1"/>
  <c r="K31" i="1" s="1"/>
  <c r="L30" i="1"/>
  <c r="L31" i="1" s="1"/>
  <c r="I28" i="1"/>
  <c r="N30" i="1"/>
  <c r="N31" i="1" s="1"/>
  <c r="K28" i="1"/>
  <c r="M30" i="1"/>
  <c r="M31" i="1" s="1"/>
  <c r="L28" i="1"/>
  <c r="M28" i="1"/>
  <c r="N28" i="1"/>
  <c r="P33" i="1"/>
  <c r="P30" i="1"/>
  <c r="P31" i="1" s="1"/>
  <c r="Q28" i="1"/>
  <c r="R41" i="1"/>
  <c r="R43" i="1"/>
  <c r="R23" i="1"/>
  <c r="R24" i="1"/>
  <c r="R34" i="1"/>
  <c r="R36" i="1"/>
  <c r="R40" i="1"/>
  <c r="R35" i="1"/>
  <c r="R37" i="1"/>
  <c r="S19" i="1"/>
  <c r="S22" i="1"/>
  <c r="S24" i="1" s="1"/>
  <c r="S32" i="1"/>
  <c r="R74" i="1"/>
  <c r="R86" i="1" s="1"/>
  <c r="R85" i="1"/>
  <c r="T18" i="1"/>
  <c r="S53" i="1"/>
  <c r="S65" i="1"/>
  <c r="S62" i="1"/>
  <c r="S55" i="1"/>
  <c r="S51" i="1"/>
  <c r="S77" i="1"/>
  <c r="S78" i="1" s="1"/>
  <c r="S83" i="1"/>
  <c r="S60" i="1"/>
  <c r="S54" i="1"/>
  <c r="S67" i="1"/>
  <c r="S81" i="1"/>
  <c r="S82" i="1" s="1"/>
  <c r="S56" i="1"/>
  <c r="S57" i="1"/>
  <c r="S64" i="1"/>
  <c r="S75" i="1"/>
  <c r="S76" i="1" s="1"/>
  <c r="S58" i="1"/>
  <c r="S79" i="1"/>
  <c r="S80" i="1" s="1"/>
  <c r="S52" i="1"/>
  <c r="S59" i="1"/>
  <c r="S50" i="1"/>
  <c r="S61" i="1"/>
  <c r="S63" i="1"/>
  <c r="S73" i="1"/>
  <c r="S66" i="1"/>
  <c r="R69" i="1"/>
  <c r="R68" i="1"/>
  <c r="O29" i="1" l="1"/>
  <c r="O20" i="1" s="1"/>
  <c r="O21" i="1" s="1"/>
  <c r="P29" i="1"/>
  <c r="P20" i="1" s="1"/>
  <c r="P21" i="1" s="1"/>
  <c r="I29" i="1"/>
  <c r="I20" i="1" s="1"/>
  <c r="I21" i="1" s="1"/>
  <c r="J29" i="1"/>
  <c r="J20" i="1" s="1"/>
  <c r="J21" i="1" s="1"/>
  <c r="N29" i="1"/>
  <c r="N20" i="1" s="1"/>
  <c r="N21" i="1" s="1"/>
  <c r="L29" i="1"/>
  <c r="L20" i="1" s="1"/>
  <c r="L21" i="1" s="1"/>
  <c r="Q29" i="1"/>
  <c r="Q20" i="1" s="1"/>
  <c r="Q21" i="1" s="1"/>
  <c r="M29" i="1"/>
  <c r="M20" i="1" s="1"/>
  <c r="M21" i="1" s="1"/>
  <c r="K29" i="1"/>
  <c r="K20" i="1" s="1"/>
  <c r="K21" i="1" s="1"/>
  <c r="T22" i="1"/>
  <c r="T26" i="1"/>
  <c r="S23" i="1"/>
  <c r="S41" i="1"/>
  <c r="S43" i="1"/>
  <c r="S34" i="1"/>
  <c r="S36" i="1"/>
  <c r="S37" i="1"/>
  <c r="S40" i="1"/>
  <c r="S35" i="1"/>
  <c r="T32" i="1"/>
  <c r="S68" i="1"/>
  <c r="S69" i="1"/>
  <c r="S74" i="1"/>
  <c r="S86" i="1" s="1"/>
  <c r="S85" i="1"/>
  <c r="U18" i="1"/>
  <c r="T55" i="1"/>
  <c r="T60" i="1"/>
  <c r="T54" i="1"/>
  <c r="T53" i="1"/>
  <c r="T59" i="1"/>
  <c r="T83" i="1"/>
  <c r="T50" i="1"/>
  <c r="T64" i="1"/>
  <c r="T79" i="1"/>
  <c r="T80" i="1" s="1"/>
  <c r="T58" i="1"/>
  <c r="T65" i="1"/>
  <c r="T66" i="1"/>
  <c r="T62" i="1"/>
  <c r="T77" i="1"/>
  <c r="T78" i="1" s="1"/>
  <c r="T19" i="1"/>
  <c r="T75" i="1"/>
  <c r="T76" i="1" s="1"/>
  <c r="T57" i="1"/>
  <c r="T63" i="1"/>
  <c r="T56" i="1"/>
  <c r="T51" i="1"/>
  <c r="T81" i="1"/>
  <c r="T82" i="1" s="1"/>
  <c r="T73" i="1"/>
  <c r="T61" i="1"/>
  <c r="T67" i="1"/>
  <c r="T52" i="1"/>
  <c r="T41" i="1" l="1"/>
  <c r="T43" i="1"/>
  <c r="U22" i="1"/>
  <c r="U26" i="1"/>
  <c r="T23" i="1"/>
  <c r="T24" i="1"/>
  <c r="T37" i="1"/>
  <c r="T36" i="1"/>
  <c r="T34" i="1"/>
  <c r="T40" i="1"/>
  <c r="T35" i="1"/>
  <c r="U32" i="1"/>
  <c r="T68" i="1"/>
  <c r="T74" i="1"/>
  <c r="T86" i="1" s="1"/>
  <c r="T85" i="1"/>
  <c r="V18" i="1"/>
  <c r="U53" i="1"/>
  <c r="U56" i="1"/>
  <c r="U58" i="1"/>
  <c r="U57" i="1"/>
  <c r="U67" i="1"/>
  <c r="U79" i="1"/>
  <c r="U80" i="1" s="1"/>
  <c r="U54" i="1"/>
  <c r="U60" i="1"/>
  <c r="U64" i="1"/>
  <c r="U75" i="1"/>
  <c r="U76" i="1" s="1"/>
  <c r="U59" i="1"/>
  <c r="U77" i="1"/>
  <c r="U78" i="1" s="1"/>
  <c r="U63" i="1"/>
  <c r="U83" i="1"/>
  <c r="U51" i="1"/>
  <c r="U61" i="1"/>
  <c r="U81" i="1"/>
  <c r="U82" i="1" s="1"/>
  <c r="U73" i="1"/>
  <c r="U52" i="1"/>
  <c r="U55" i="1"/>
  <c r="U50" i="1"/>
  <c r="U66" i="1"/>
  <c r="U65" i="1"/>
  <c r="U19" i="1"/>
  <c r="U62" i="1"/>
  <c r="T69" i="1"/>
  <c r="V22" i="1" l="1"/>
  <c r="V26" i="1"/>
  <c r="U41" i="1"/>
  <c r="U43" i="1"/>
  <c r="U23" i="1"/>
  <c r="U24" i="1"/>
  <c r="U37" i="1"/>
  <c r="U34" i="1"/>
  <c r="U36" i="1"/>
  <c r="U40" i="1"/>
  <c r="U35" i="1"/>
  <c r="V32" i="1"/>
  <c r="U69" i="1"/>
  <c r="U74" i="1"/>
  <c r="U86" i="1" s="1"/>
  <c r="U85" i="1"/>
  <c r="U68" i="1"/>
  <c r="W18" i="1"/>
  <c r="V77" i="1"/>
  <c r="V78" i="1" s="1"/>
  <c r="V55" i="1"/>
  <c r="V51" i="1"/>
  <c r="V60" i="1"/>
  <c r="V81" i="1"/>
  <c r="V82" i="1" s="1"/>
  <c r="V53" i="1"/>
  <c r="V79" i="1"/>
  <c r="V80" i="1" s="1"/>
  <c r="V59" i="1"/>
  <c r="V52" i="1"/>
  <c r="V57" i="1"/>
  <c r="V73" i="1"/>
  <c r="V56" i="1"/>
  <c r="V61" i="1"/>
  <c r="V63" i="1"/>
  <c r="V19" i="1"/>
  <c r="V75" i="1"/>
  <c r="V76" i="1" s="1"/>
  <c r="V66" i="1"/>
  <c r="V54" i="1"/>
  <c r="V67" i="1"/>
  <c r="V50" i="1"/>
  <c r="V65" i="1"/>
  <c r="V64" i="1"/>
  <c r="V58" i="1"/>
  <c r="V83" i="1"/>
  <c r="V62" i="1"/>
  <c r="V43" i="1" l="1"/>
  <c r="V41" i="1"/>
  <c r="W22" i="1"/>
  <c r="W26" i="1"/>
  <c r="V23" i="1"/>
  <c r="V24" i="1"/>
  <c r="V34" i="1"/>
  <c r="V36" i="1"/>
  <c r="V40" i="1"/>
  <c r="V35" i="1"/>
  <c r="V37" i="1"/>
  <c r="W32" i="1"/>
  <c r="X18" i="1"/>
  <c r="D14" i="1" s="1"/>
  <c r="V68" i="1"/>
  <c r="V69" i="1"/>
  <c r="V74" i="1"/>
  <c r="V86" i="1" s="1"/>
  <c r="V85" i="1"/>
  <c r="W56" i="1"/>
  <c r="W62" i="1"/>
  <c r="W59" i="1"/>
  <c r="W51" i="1"/>
  <c r="W53" i="1"/>
  <c r="W50" i="1"/>
  <c r="W83" i="1"/>
  <c r="W60" i="1"/>
  <c r="W81" i="1"/>
  <c r="W82" i="1" s="1"/>
  <c r="W54" i="1"/>
  <c r="W63" i="1"/>
  <c r="W57" i="1"/>
  <c r="W65" i="1"/>
  <c r="W79" i="1"/>
  <c r="W80" i="1" s="1"/>
  <c r="W75" i="1"/>
  <c r="W76" i="1" s="1"/>
  <c r="W73" i="1"/>
  <c r="W52" i="1"/>
  <c r="W66" i="1"/>
  <c r="W67" i="1"/>
  <c r="W64" i="1"/>
  <c r="W77" i="1"/>
  <c r="W78" i="1" s="1"/>
  <c r="W58" i="1"/>
  <c r="W61" i="1"/>
  <c r="W55" i="1"/>
  <c r="W19" i="1"/>
  <c r="X22" i="1" l="1"/>
  <c r="X24" i="1" s="1"/>
  <c r="X26" i="1"/>
  <c r="W43" i="1"/>
  <c r="W41" i="1"/>
  <c r="W23" i="1"/>
  <c r="W24" i="1"/>
  <c r="W40" i="1"/>
  <c r="W35" i="1"/>
  <c r="W34" i="1"/>
  <c r="W36" i="1"/>
  <c r="W37" i="1"/>
  <c r="X32" i="1"/>
  <c r="Y18" i="1"/>
  <c r="X73" i="1"/>
  <c r="X79" i="1"/>
  <c r="X80" i="1" s="1"/>
  <c r="X75" i="1"/>
  <c r="X76" i="1" s="1"/>
  <c r="X19" i="1"/>
  <c r="X81" i="1"/>
  <c r="X82" i="1" s="1"/>
  <c r="X77" i="1"/>
  <c r="X78" i="1" s="1"/>
  <c r="X83" i="1"/>
  <c r="X52" i="1"/>
  <c r="X53" i="1"/>
  <c r="X59" i="1"/>
  <c r="X54" i="1"/>
  <c r="X67" i="1"/>
  <c r="X58" i="1"/>
  <c r="X66" i="1"/>
  <c r="X64" i="1"/>
  <c r="X50" i="1"/>
  <c r="X55" i="1"/>
  <c r="X65" i="1"/>
  <c r="X60" i="1"/>
  <c r="X51" i="1"/>
  <c r="X61" i="1"/>
  <c r="X62" i="1"/>
  <c r="X56" i="1"/>
  <c r="X63" i="1"/>
  <c r="X57" i="1"/>
  <c r="W68" i="1"/>
  <c r="W74" i="1"/>
  <c r="W86" i="1" s="1"/>
  <c r="W85" i="1"/>
  <c r="W69" i="1"/>
  <c r="R27" i="1" l="1"/>
  <c r="S25" i="1"/>
  <c r="T25" i="1"/>
  <c r="U25" i="1"/>
  <c r="S27" i="1"/>
  <c r="W25" i="1"/>
  <c r="R25" i="1"/>
  <c r="V25" i="1"/>
  <c r="T27" i="1"/>
  <c r="U27" i="1"/>
  <c r="V27" i="1"/>
  <c r="W27" i="1"/>
  <c r="R30" i="1"/>
  <c r="R31" i="1" s="1"/>
  <c r="R33" i="1"/>
  <c r="R28" i="1"/>
  <c r="S28" i="1"/>
  <c r="S33" i="1"/>
  <c r="S30" i="1"/>
  <c r="S31" i="1" s="1"/>
  <c r="T30" i="1"/>
  <c r="T31" i="1" s="1"/>
  <c r="T33" i="1"/>
  <c r="T28" i="1"/>
  <c r="U30" i="1"/>
  <c r="U31" i="1" s="1"/>
  <c r="U33" i="1"/>
  <c r="U28" i="1"/>
  <c r="V30" i="1"/>
  <c r="V31" i="1" s="1"/>
  <c r="V28" i="1"/>
  <c r="V33" i="1"/>
  <c r="W28" i="1"/>
  <c r="W30" i="1"/>
  <c r="W31" i="1" s="1"/>
  <c r="W33" i="1"/>
  <c r="Y22" i="1"/>
  <c r="Y26" i="1"/>
  <c r="X41" i="1"/>
  <c r="X43" i="1"/>
  <c r="X23" i="1"/>
  <c r="X35" i="1"/>
  <c r="X36" i="1"/>
  <c r="X34" i="1"/>
  <c r="X37" i="1"/>
  <c r="X40" i="1"/>
  <c r="Y32" i="1"/>
  <c r="X74" i="1"/>
  <c r="X86" i="1" s="1"/>
  <c r="X85" i="1"/>
  <c r="X68" i="1"/>
  <c r="X69" i="1"/>
  <c r="Y73" i="1"/>
  <c r="Y79" i="1"/>
  <c r="Y80" i="1" s="1"/>
  <c r="Y81" i="1"/>
  <c r="Y82" i="1" s="1"/>
  <c r="Y77" i="1"/>
  <c r="Y78" i="1" s="1"/>
  <c r="Y83" i="1"/>
  <c r="Y75" i="1"/>
  <c r="Y76" i="1" s="1"/>
  <c r="Y53" i="1"/>
  <c r="Z18" i="1"/>
  <c r="Z62" i="1" s="1"/>
  <c r="Y19" i="1"/>
  <c r="Y52" i="1"/>
  <c r="Y58" i="1"/>
  <c r="Y54" i="1"/>
  <c r="Y67" i="1"/>
  <c r="Y51" i="1"/>
  <c r="Y59" i="1"/>
  <c r="Y55" i="1"/>
  <c r="Y61" i="1"/>
  <c r="Y66" i="1"/>
  <c r="Y57" i="1"/>
  <c r="Y50" i="1"/>
  <c r="Y60" i="1"/>
  <c r="Y62" i="1"/>
  <c r="Y56" i="1"/>
  <c r="Y65" i="1"/>
  <c r="Y64" i="1"/>
  <c r="Y63" i="1"/>
  <c r="W29" i="1" l="1"/>
  <c r="W20" i="1" s="1"/>
  <c r="W21" i="1" s="1"/>
  <c r="V29" i="1"/>
  <c r="V20" i="1" s="1"/>
  <c r="V21" i="1" s="1"/>
  <c r="S29" i="1"/>
  <c r="S20" i="1" s="1"/>
  <c r="S21" i="1" s="1"/>
  <c r="T29" i="1"/>
  <c r="T20" i="1" s="1"/>
  <c r="T21" i="1" s="1"/>
  <c r="U29" i="1"/>
  <c r="U20" i="1" s="1"/>
  <c r="U21" i="1" s="1"/>
  <c r="R29" i="1"/>
  <c r="R20" i="1" s="1"/>
  <c r="R21" i="1" s="1"/>
  <c r="Y41" i="1"/>
  <c r="Y43" i="1"/>
  <c r="Z32" i="1"/>
  <c r="Z26" i="1"/>
  <c r="Y23" i="1"/>
  <c r="Y24" i="1"/>
  <c r="Y36" i="1"/>
  <c r="Y35" i="1"/>
  <c r="Y34" i="1"/>
  <c r="Y37" i="1"/>
  <c r="Y40" i="1"/>
  <c r="Y69" i="1"/>
  <c r="Y85" i="1"/>
  <c r="Y74" i="1"/>
  <c r="Y86" i="1" s="1"/>
  <c r="Y68" i="1"/>
  <c r="Z77" i="1"/>
  <c r="Z78" i="1" s="1"/>
  <c r="Z73" i="1"/>
  <c r="Z79" i="1"/>
  <c r="Z80" i="1" s="1"/>
  <c r="Z75" i="1"/>
  <c r="Z76" i="1" s="1"/>
  <c r="Z81" i="1"/>
  <c r="Z82" i="1" s="1"/>
  <c r="Z83" i="1"/>
  <c r="Z53" i="1"/>
  <c r="Z52" i="1"/>
  <c r="Z63" i="1"/>
  <c r="Z57" i="1"/>
  <c r="Z60" i="1"/>
  <c r="Z51" i="1"/>
  <c r="Z58" i="1"/>
  <c r="Z56" i="1"/>
  <c r="Z64" i="1"/>
  <c r="Z61" i="1"/>
  <c r="Z66" i="1"/>
  <c r="Z59" i="1"/>
  <c r="Z54" i="1"/>
  <c r="Z19" i="1"/>
  <c r="Z50" i="1"/>
  <c r="Z67" i="1"/>
  <c r="Z55" i="1"/>
  <c r="Z65" i="1"/>
  <c r="Z41" i="1" l="1"/>
  <c r="Z43" i="1"/>
  <c r="Z37" i="1"/>
  <c r="Z34" i="1"/>
  <c r="Z40" i="1"/>
  <c r="Z35" i="1"/>
  <c r="Z36" i="1"/>
  <c r="Z69" i="1"/>
  <c r="Z68" i="1"/>
  <c r="Z74" i="1"/>
  <c r="Z86" i="1" s="1"/>
  <c r="Z85" i="1"/>
  <c r="X27" i="1" l="1"/>
  <c r="X25" i="1"/>
  <c r="Y25" i="1"/>
  <c r="Z25" i="1"/>
  <c r="Y27" i="1"/>
  <c r="Z27" i="1"/>
  <c r="Z30" i="1"/>
  <c r="Z31" i="1" s="1"/>
  <c r="X33" i="1"/>
  <c r="X28" i="1"/>
  <c r="X30" i="1"/>
  <c r="X31" i="1" s="1"/>
  <c r="Y28" i="1"/>
  <c r="Y30" i="1"/>
  <c r="Y31" i="1" s="1"/>
  <c r="Y33" i="1"/>
  <c r="Z33" i="1"/>
  <c r="Z28" i="1"/>
  <c r="AA41" i="1"/>
  <c r="AA33" i="1" s="1"/>
  <c r="AA43" i="1"/>
  <c r="AA28" i="1" s="1"/>
  <c r="AA37" i="1"/>
  <c r="AA34" i="1"/>
  <c r="AA40" i="1"/>
  <c r="AB17" i="1"/>
  <c r="AA36" i="1"/>
  <c r="AA35" i="1"/>
  <c r="AA25" i="1" l="1"/>
  <c r="X29" i="1"/>
  <c r="X20" i="1" s="1"/>
  <c r="X21" i="1" s="1"/>
  <c r="Y29" i="1"/>
  <c r="Y20" i="1" s="1"/>
  <c r="Y21" i="1" s="1"/>
  <c r="Z29" i="1"/>
  <c r="Z20" i="1" s="1"/>
  <c r="Z21" i="1" s="1"/>
  <c r="AA30" i="1"/>
  <c r="AA31" i="1" s="1"/>
  <c r="AA29" i="1" s="1"/>
  <c r="AB41" i="1"/>
  <c r="AB40" i="1"/>
  <c r="AB43" i="1"/>
  <c r="AB33" i="1" l="1"/>
  <c r="AA27" i="1"/>
  <c r="AA20" i="1" s="1"/>
  <c r="AA21" i="1" s="1"/>
</calcChain>
</file>

<file path=xl/sharedStrings.xml><?xml version="1.0" encoding="utf-8"?>
<sst xmlns="http://schemas.openxmlformats.org/spreadsheetml/2006/main" count="363" uniqueCount="298">
  <si>
    <t>Australian Population</t>
  </si>
  <si>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</si>
  <si>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</si>
  <si>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</si>
  <si>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</si>
  <si>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</si>
  <si>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</si>
  <si>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</si>
  <si>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</si>
  <si>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</si>
  <si>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</si>
  <si>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</si>
  <si>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</si>
  <si>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</si>
  <si>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</si>
  <si>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</si>
  <si>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</si>
  <si>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</si>
  <si>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</si>
  <si>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</si>
  <si>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</si>
  <si>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</si>
  <si>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t>
  </si>
  <si>
    <t>1</t>
  </si>
  <si>
    <t>2</t>
  </si>
  <si>
    <t>3</t>
  </si>
  <si>
    <t>4</t>
  </si>
  <si>
    <t>0–4</t>
  </si>
  <si>
    <t>5</t>
  </si>
  <si>
    <t>6</t>
  </si>
  <si>
    <t>7</t>
  </si>
  <si>
    <t>8</t>
  </si>
  <si>
    <t>9</t>
  </si>
  <si>
    <t>5–9</t>
  </si>
  <si>
    <t>10</t>
  </si>
  <si>
    <t>11</t>
  </si>
  <si>
    <t>12</t>
  </si>
  <si>
    <t>13</t>
  </si>
  <si>
    <t>14</t>
  </si>
  <si>
    <t>10–14</t>
  </si>
  <si>
    <t>15</t>
  </si>
  <si>
    <t>16</t>
  </si>
  <si>
    <t>17</t>
  </si>
  <si>
    <t>18</t>
  </si>
  <si>
    <t>19</t>
  </si>
  <si>
    <t>15–19</t>
  </si>
  <si>
    <t>20</t>
  </si>
  <si>
    <t>21</t>
  </si>
  <si>
    <t>22</t>
  </si>
  <si>
    <t>23</t>
  </si>
  <si>
    <t>24</t>
  </si>
  <si>
    <t>20–24</t>
  </si>
  <si>
    <t>25</t>
  </si>
  <si>
    <t>26</t>
  </si>
  <si>
    <t>27</t>
  </si>
  <si>
    <t>28</t>
  </si>
  <si>
    <t>29</t>
  </si>
  <si>
    <t>25–29</t>
  </si>
  <si>
    <t>30</t>
  </si>
  <si>
    <t>31</t>
  </si>
  <si>
    <t>32</t>
  </si>
  <si>
    <t>33</t>
  </si>
  <si>
    <t>34</t>
  </si>
  <si>
    <t>30–34</t>
  </si>
  <si>
    <t>35</t>
  </si>
  <si>
    <t>36</t>
  </si>
  <si>
    <t>37</t>
  </si>
  <si>
    <t>38</t>
  </si>
  <si>
    <t>39</t>
  </si>
  <si>
    <t>35–39</t>
  </si>
  <si>
    <t>40</t>
  </si>
  <si>
    <t>41</t>
  </si>
  <si>
    <t>42</t>
  </si>
  <si>
    <t>43</t>
  </si>
  <si>
    <t>44</t>
  </si>
  <si>
    <t>40–44</t>
  </si>
  <si>
    <t>45</t>
  </si>
  <si>
    <t>46</t>
  </si>
  <si>
    <t>47</t>
  </si>
  <si>
    <t>48</t>
  </si>
  <si>
    <t>49</t>
  </si>
  <si>
    <t>45–49</t>
  </si>
  <si>
    <t>50</t>
  </si>
  <si>
    <t>51</t>
  </si>
  <si>
    <t>52</t>
  </si>
  <si>
    <t>53</t>
  </si>
  <si>
    <t>54</t>
  </si>
  <si>
    <t>50–54</t>
  </si>
  <si>
    <t>55</t>
  </si>
  <si>
    <t>56</t>
  </si>
  <si>
    <t>57</t>
  </si>
  <si>
    <t>58</t>
  </si>
  <si>
    <t>59</t>
  </si>
  <si>
    <t>55–59</t>
  </si>
  <si>
    <t>60</t>
  </si>
  <si>
    <t>61</t>
  </si>
  <si>
    <t>62</t>
  </si>
  <si>
    <t>63</t>
  </si>
  <si>
    <t>64</t>
  </si>
  <si>
    <t>60–64</t>
  </si>
  <si>
    <t>65</t>
  </si>
  <si>
    <t>66</t>
  </si>
  <si>
    <t>67</t>
  </si>
  <si>
    <t>68</t>
  </si>
  <si>
    <t>69</t>
  </si>
  <si>
    <t>65–69</t>
  </si>
  <si>
    <t>70</t>
  </si>
  <si>
    <t>71</t>
  </si>
  <si>
    <t>72</t>
  </si>
  <si>
    <t>73</t>
  </si>
  <si>
    <t>74</t>
  </si>
  <si>
    <t>70–74</t>
  </si>
  <si>
    <t>75</t>
  </si>
  <si>
    <t>76</t>
  </si>
  <si>
    <t>77</t>
  </si>
  <si>
    <t>78</t>
  </si>
  <si>
    <t>79</t>
  </si>
  <si>
    <t>75–79</t>
  </si>
  <si>
    <t>80</t>
  </si>
  <si>
    <t>81</t>
  </si>
  <si>
    <t>82</t>
  </si>
  <si>
    <t>83</t>
  </si>
  <si>
    <t>84</t>
  </si>
  <si>
    <t>80–84</t>
  </si>
  <si>
    <t>85–89</t>
  </si>
  <si>
    <t>90–94</t>
  </si>
  <si>
    <t>95–99</t>
  </si>
  <si>
    <t>100 and over</t>
  </si>
  <si>
    <t>All ages</t>
  </si>
  <si>
    <t>Ages</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</si>
  <si>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</si>
  <si>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</si>
  <si>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</si>
  <si>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</si>
  <si>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</si>
  <si>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</si>
  <si>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</si>
  <si>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</si>
  <si>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</si>
  <si>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</si>
  <si>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</si>
  <si>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</si>
  <si>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</si>
  <si>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</si>
  <si>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Public Hospital Beds in Australia / 1,000</t>
  </si>
  <si>
    <t>ICU Beds in Australia / 100,000</t>
  </si>
  <si>
    <t>Naively models all deaths from CoronaVirus having been in ICU and reducing the ICU numbers over time</t>
  </si>
  <si>
    <t>Pop. Sep 2019</t>
  </si>
  <si>
    <t>Population estimated as at 30 June 2019</t>
  </si>
  <si>
    <t>Infection counts are detected infection counts, total population infection counts will be greater, but without whole population testing or some form of random sampling testing, total population infection numbers remains unknown</t>
  </si>
  <si>
    <t>From</t>
  </si>
  <si>
    <t>as of 21/3/2020, NB borders closed 9pm 20/3</t>
  </si>
  <si>
    <t>AU border closed 9pm 20/3</t>
  </si>
  <si>
    <t>SA, WA, NT borders closed 24/3</t>
  </si>
  <si>
    <t>QLD border closed 25/3</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</si>
  <si>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</si>
  <si>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</si>
  <si>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</si>
  <si>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</si>
  <si>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</si>
  <si>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</si>
  <si>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</si>
  <si>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</si>
  <si>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</si>
  <si>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Tas border closed 19/3</t>
  </si>
  <si>
    <t>First death 1/3</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</si>
  <si>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</si>
  <si>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</si>
  <si>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</si>
  <si>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</si>
  <si>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</si>
  <si>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</si>
  <si>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</si>
  <si>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</si>
  <si>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</si>
  <si>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</si>
  <si>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</si>
  <si>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</si>
  <si>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</si>
  <si>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</si>
  <si>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</si>
  <si>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</si>
  <si>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</si>
  <si>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</si>
  <si>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</si>
  <si>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</si>
  <si>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</si>
  <si>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</si>
  <si>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</si>
  <si>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</si>
  <si>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</si>
  <si>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</si>
  <si>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</si>
  <si>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</si>
  <si>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</si>
  <si>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</si>
  <si>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</si>
  <si>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 xml:space="preserve"> of total (assumed)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</si>
  <si>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</si>
  <si>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</si>
  <si>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</si>
  <si>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</si>
  <si>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</si>
  <si>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</si>
  <si>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</si>
  <si>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</si>
  <si>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</si>
  <si>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</si>
  <si>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</si>
  <si>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</si>
  <si>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</si>
  <si>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</si>
  <si>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</si>
  <si>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</si>
  <si>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</si>
  <si>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</si>
  <si>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</si>
  <si>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Totally speculative at this stage</t>
  </si>
  <si>
    <t>Proportion of confirmed cases to total infections</t>
  </si>
  <si>
    <t>Projected Case Mortality Rate</t>
  </si>
  <si>
    <t>Final confirmed infection rate</t>
  </si>
  <si>
    <t>Stage 1 Shutdown</t>
  </si>
  <si>
    <t>Stage 2 Shutdown</t>
  </si>
  <si>
    <t>Stage 3 Shutdown</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</si>
  <si>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</si>
  <si>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</si>
  <si>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</si>
  <si>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</si>
  <si>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</si>
  <si>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</si>
  <si>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</si>
  <si>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</si>
  <si>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</si>
  <si>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</si>
  <si>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</si>
  <si>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</si>
  <si>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Asymptomatic</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</si>
  <si>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</si>
  <si>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</si>
  <si>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</si>
  <si>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</si>
  <si>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</si>
  <si>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</si>
  <si>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</si>
  <si>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</si>
  <si>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</si>
  <si>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</si>
  <si>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</si>
  <si>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</si>
  <si>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</si>
  <si>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</si>
  <si>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</si>
  <si>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</si>
  <si>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</si>
  <si>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</si>
  <si>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</si>
  <si>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</si>
  <si>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</si>
  <si>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</si>
  <si>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</si>
  <si>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</si>
  <si>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</si>
  <si>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</si>
  <si>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</si>
  <si>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</si>
  <si>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</si>
  <si>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</si>
  <si>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</si>
  <si>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</si>
  <si>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</si>
  <si>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</si>
  <si>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China arrivals blocked</t>
  </si>
  <si>
    <t>Iran arrivals blocked</t>
  </si>
  <si>
    <t>Sth Korea arrivals blocked</t>
  </si>
  <si>
    <t>Outdoor gatherings &lt; 500</t>
  </si>
  <si>
    <t>Self isolation arrivals, indoor gatherings &lt; 100 people</t>
  </si>
  <si>
    <t>AU borders closed to non-citizens</t>
  </si>
  <si>
    <t>Italy arrivals blocked</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</si>
  <si>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</si>
  <si>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</si>
  <si>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</si>
  <si>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</si>
  <si>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</si>
  <si>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</si>
  <si>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</si>
  <si>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</si>
  <si>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 xml:space="preserve">Projections from this point on are meaningless as detected infection rates decrease </t>
  </si>
  <si>
    <t>Numbers meaningless after infection rates exceed 60% of the population</t>
  </si>
  <si>
    <t>Decreasing</t>
  </si>
  <si>
    <t>Projected number of recovered infections</t>
  </si>
  <si>
    <t>Projected number active Mild Cases</t>
  </si>
  <si>
    <t>5% world avg</t>
  </si>
  <si>
    <t>14% world avg</t>
  </si>
  <si>
    <t>81% world avg</t>
  </si>
  <si>
    <t>Worst case numbers</t>
  </si>
  <si>
    <t>Undetected Cases</t>
  </si>
  <si>
    <t>Australian CFR</t>
  </si>
  <si>
    <t>Actual Active Confirmed Infections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</si>
</sst>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s>
  <fonts count="11"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4" tint="0.59999389629810485"/>
        <bgColor indexed="64"/>
      </patternFill>
    </fill>
  </fills>
  <borders count="1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auto="1"/>
      </left>
      <right style="dotted">
        <color auto="1"/>
      </right>
      <top/>
      <bottom/>
      <diagonal/>
    </border>
    <border>
      <left style="dotted">
        <color auto="1"/>
      </left>
      <right style="dotted">
        <color auto="1"/>
      </right>
      <top/>
      <bottom style="dotted">
        <color auto="1"/>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316">
    <xf numFmtId="0" fontId="0" fillId="0" borderId="0" xfId="0"/>
    <xf numFmtId="10" fontId="0" fillId="0" borderId="0" xfId="0" applyNumberFormat="1"/>
    <xf numFmtId="3" fontId="0" fillId="0" borderId="0" xfId="0" applyNumberFormat="1"/>
    <xf numFmtId="164" fontId="0" fillId="0" borderId="0" xfId="0" applyNumberFormat="1"/>
    <xf numFmtId="0" fontId="3" fillId="0" borderId="0" xfId="0" applyFont="1" applyAlignment="1">
      <alignment horizontal="left"/>
    </xf>
    <xf numFmtId="3" fontId="3" fillId="0" borderId="0" xfId="0" applyNumberFormat="1" applyFont="1" applyAlignment="1">
      <alignment horizontal="right"/>
    </xf>
    <xf numFmtId="0" fontId="1" fillId="0" borderId="1" xfId="0" applyFont="1" applyBorder="1" applyAlignment="1">
      <alignment horizontal="left"/>
    </xf>
    <xf numFmtId="3" fontId="1" fillId="0" borderId="2" xfId="0" applyNumberFormat="1" applyFont="1" applyBorder="1" applyAlignment="1">
      <alignment horizontal="right"/>
    </xf>
    <xf numFmtId="0" fontId="1" fillId="0" borderId="3" xfId="0" applyFont="1" applyBorder="1" applyAlignment="1">
      <alignment horizontal="left"/>
    </xf>
    <xf numFmtId="3" fontId="1" fillId="0" borderId="4" xfId="0" applyNumberFormat="1" applyFont="1" applyBorder="1" applyAlignment="1">
      <alignment horizontal="right"/>
    </xf>
    <xf numFmtId="0" fontId="2" fillId="0" borderId="3" xfId="0" applyFont="1" applyBorder="1" applyAlignment="1">
      <alignment horizontal="left"/>
    </xf>
    <xf numFmtId="3" fontId="2" fillId="0" borderId="4" xfId="0" applyNumberFormat="1" applyFont="1" applyBorder="1" applyAlignment="1">
      <alignment horizontal="right"/>
    </xf>
    <xf numFmtId="0" fontId="2" fillId="0" borderId="5" xfId="0" applyFont="1" applyBorder="1" applyAlignment="1">
      <alignment horizontal="left"/>
    </xf>
    <xf numFmtId="3" fontId="2" fillId="0" borderId="6" xfId="0" applyNumberFormat="1" applyFont="1" applyBorder="1" applyAlignment="1">
      <alignment horizontal="right"/>
    </xf>
    <xf numFmtId="0" fontId="1" fillId="0" borderId="5" xfId="0" applyFont="1" applyBorder="1" applyAlignment="1">
      <alignment horizontal="left"/>
    </xf>
    <xf numFmtId="3" fontId="1" fillId="0" borderId="6" xfId="0" applyNumberFormat="1" applyFont="1" applyBorder="1" applyAlignment="1">
      <alignment horizontal="right"/>
    </xf>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0" fontId="0" fillId="0" borderId="12" xfId="0" applyBorder="1"/>
    <xf numFmtId="165" fontId="0" fillId="0" borderId="3" xfId="0" applyNumberFormat="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166" fontId="0" fillId="9" borderId="0"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3" fontId="5" fillId="9" borderId="2" xfId="1" applyNumberFormat="1" applyFill="1" applyBorder="1"/>
    <xf numFmtId="9" fontId="5" fillId="9" borderId="2" xfId="1" applyNumberFormat="1" applyFill="1" applyBorder="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14" fontId="0" fillId="3" borderId="0" xfId="0" applyNumberFormat="1" applyFill="1" applyBorder="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3" borderId="14" xfId="0" applyNumberFormat="1" applyFill="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14" fontId="0" fillId="0" borderId="12" xfId="0" applyNumberFormat="1" applyBorder="1"/>
    <xf numFmtId="0" fontId="0" fillId="0" borderId="12" xfId="0" applyFill="1" applyBorder="1"/>
    <xf numFmtId="0" fontId="0" fillId="3" borderId="0" xfId="0" applyFill="1" applyBorder="1"/>
    <xf numFmtId="170" fontId="0" fillId="4" borderId="13" xfId="0" applyNumberFormat="1" applyFill="1" applyBorder="1"/>
    <xf numFmtId="165" fontId="0" fillId="0" borderId="4" xfId="0" applyNumberFormat="1" applyBorder="1"/>
    <xf numFmtId="169" fontId="0" fillId="0" borderId="3" xfId="0" applyNumberFormat="1" applyBorder="1"/>
    <xf numFmtId="169" fontId="0" fillId="0" borderId="0" xfId="0" applyNumberFormat="1" applyBorder="1"/>
    <xf numFmtId="10" fontId="0" fillId="0" borderId="4" xfId="0" applyNumberFormat="1" applyBorder="1"/>
    <xf numFmtId="171" fontId="0" fillId="0" borderId="3" xfId="0" applyNumberFormat="1" applyBorder="1"/>
    <xf numFmtId="171" fontId="0" fillId="0" borderId="0" xfId="0" applyNumberFormat="1" applyBorder="1"/>
    <xf numFmtId="171" fontId="0" fillId="0" borderId="4" xfId="0" applyNumberFormat="1" applyBorder="1"/>
    <xf numFmtId="171" fontId="9" fillId="4" borderId="0" xfId="0" applyNumberFormat="1" applyFont="1" applyFill="1" applyBorder="1"/>
    <xf numFmtId="171" fontId="0" fillId="4" borderId="5" xfId="0" applyNumberFormat="1" applyFill="1" applyBorder="1"/>
    <xf numFmtId="171" fontId="0" fillId="4" borderId="8" xfId="0" applyNumberFormat="1" applyFill="1" applyBorder="1"/>
    <xf numFmtId="171" fontId="0" fillId="0" borderId="6" xfId="0" applyNumberFormat="1" applyBorder="1"/>
    <xf numFmtId="171" fontId="0" fillId="0" borderId="8" xfId="0" applyNumberFormat="1" applyBorder="1"/>
    <xf numFmtId="171" fontId="0" fillId="0" borderId="5" xfId="0" applyNumberFormat="1" applyBorder="1"/>
    <xf numFmtId="171" fontId="9" fillId="4" borderId="8" xfId="0" applyNumberFormat="1" applyFont="1" applyFill="1" applyBorder="1"/>
    <xf numFmtId="171" fontId="0" fillId="0" borderId="3" xfId="0" applyNumberFormat="1" applyFill="1" applyBorder="1"/>
    <xf numFmtId="171" fontId="0" fillId="0" borderId="0" xfId="0" applyNumberFormat="1" applyFill="1" applyBorder="1"/>
    <xf numFmtId="171" fontId="0" fillId="0" borderId="4" xfId="0" applyNumberFormat="1" applyFill="1" applyBorder="1"/>
    <xf numFmtId="171" fontId="0" fillId="4" borderId="3" xfId="0" applyNumberFormat="1" applyFill="1" applyBorder="1"/>
    <xf numFmtId="171" fontId="0" fillId="4" borderId="0" xfId="0" applyNumberFormat="1" applyFill="1" applyBorder="1"/>
    <xf numFmtId="171" fontId="9" fillId="4" borderId="7" xfId="0" applyNumberFormat="1" applyFont="1" applyFill="1" applyBorder="1"/>
    <xf numFmtId="171" fontId="0" fillId="0" borderId="8" xfId="0" applyNumberFormat="1" applyFill="1" applyBorder="1"/>
    <xf numFmtId="171" fontId="0" fillId="0" borderId="5" xfId="0" applyNumberFormat="1" applyFill="1" applyBorder="1"/>
    <xf numFmtId="171" fontId="0" fillId="2" borderId="3" xfId="0" applyNumberFormat="1" applyFill="1" applyBorder="1"/>
    <xf numFmtId="171" fontId="0" fillId="2" borderId="0" xfId="0" applyNumberFormat="1" applyFill="1" applyBorder="1"/>
    <xf numFmtId="171" fontId="0" fillId="2" borderId="4" xfId="0" applyNumberFormat="1" applyFill="1" applyBorder="1"/>
    <xf numFmtId="171" fontId="0" fillId="2" borderId="6" xfId="0" applyNumberFormat="1" applyFill="1" applyBorder="1"/>
    <xf numFmtId="171" fontId="0" fillId="2" borderId="8" xfId="0" applyNumberFormat="1" applyFill="1" applyBorder="1"/>
    <xf numFmtId="171" fontId="0" fillId="2" borderId="5" xfId="0" applyNumberFormat="1" applyFill="1" applyBorder="1"/>
    <xf numFmtId="171" fontId="0" fillId="0" borderId="1" xfId="0" applyNumberFormat="1" applyBorder="1"/>
    <xf numFmtId="171" fontId="0" fillId="0" borderId="7" xfId="0" applyNumberFormat="1" applyBorder="1"/>
    <xf numFmtId="171" fontId="0" fillId="9" borderId="1" xfId="0" applyNumberFormat="1" applyFill="1" applyBorder="1"/>
    <xf numFmtId="171" fontId="0" fillId="3" borderId="7" xfId="0" applyNumberFormat="1" applyFill="1" applyBorder="1"/>
    <xf numFmtId="171" fontId="0" fillId="3" borderId="1" xfId="0" applyNumberFormat="1" applyFill="1" applyBorder="1"/>
    <xf numFmtId="171" fontId="0" fillId="3" borderId="9" xfId="0" applyNumberFormat="1" applyFill="1" applyBorder="1"/>
    <xf numFmtId="10" fontId="0" fillId="0" borderId="10" xfId="0" applyNumberFormat="1" applyBorder="1"/>
    <xf numFmtId="171" fontId="0" fillId="0" borderId="11" xfId="0" applyNumberFormat="1" applyBorder="1"/>
    <xf numFmtId="14" fontId="0" fillId="10" borderId="1" xfId="0" applyNumberFormat="1" applyFill="1" applyBorder="1"/>
    <xf numFmtId="14" fontId="0" fillId="10" borderId="7" xfId="0" applyNumberFormat="1" applyFill="1" applyBorder="1"/>
    <xf numFmtId="14" fontId="0" fillId="4" borderId="14" xfId="0" applyNumberFormat="1" applyFill="1" applyBorder="1"/>
    <xf numFmtId="0" fontId="10" fillId="0" borderId="0" xfId="0" applyFont="1"/>
    <xf numFmtId="171" fontId="0" fillId="3" borderId="2" xfId="0" applyNumberFormat="1" applyFill="1" applyBorder="1"/>
    <xf numFmtId="14" fontId="0" fillId="15" borderId="1" xfId="0" applyNumberFormat="1" applyFill="1" applyBorder="1"/>
    <xf numFmtId="14" fontId="0" fillId="15" borderId="2" xfId="0" applyNumberFormat="1" applyFill="1" applyBorder="1"/>
    <xf numFmtId="14" fontId="0" fillId="4" borderId="9" xfId="0" applyNumberFormat="1" applyFill="1" applyBorder="1"/>
    <xf numFmtId="14" fontId="0" fillId="0" borderId="1" xfId="0" applyNumberFormat="1" applyFill="1" applyBorder="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71" fontId="0" fillId="0" borderId="6" xfId="0" applyNumberFormat="1" applyFill="1" applyBorder="1"/>
    <xf numFmtId="171" fontId="0" fillId="0" borderId="11" xfId="0" applyNumberFormat="1" applyFill="1" applyBorder="1"/>
    <xf numFmtId="171" fontId="0" fillId="0" borderId="9" xfId="0" applyNumberFormat="1" applyBorder="1"/>
    <xf numFmtId="3" fontId="0" fillId="8" borderId="11" xfId="0" applyNumberFormat="1" applyFill="1" applyBorder="1"/>
    <xf numFmtId="3" fontId="9" fillId="4" borderId="5" xfId="0" applyNumberFormat="1" applyFont="1" applyFill="1" applyBorder="1"/>
    <xf numFmtId="0" fontId="0" fillId="3" borderId="1" xfId="0" applyFill="1" applyBorder="1"/>
    <xf numFmtId="0" fontId="0" fillId="3" borderId="7" xfId="0" applyFill="1" applyBorder="1"/>
    <xf numFmtId="0" fontId="0" fillId="3" borderId="2" xfId="0" applyFill="1" applyBorder="1"/>
    <xf numFmtId="0" fontId="0" fillId="3" borderId="3" xfId="0" applyFill="1" applyBorder="1"/>
    <xf numFmtId="0" fontId="0" fillId="3" borderId="4" xfId="0" applyFill="1" applyBorder="1"/>
    <xf numFmtId="3" fontId="0" fillId="8" borderId="3" xfId="0" applyNumberFormat="1" applyFill="1" applyBorder="1"/>
    <xf numFmtId="3" fontId="0" fillId="8" borderId="0" xfId="0" applyNumberFormat="1" applyFill="1" applyBorder="1"/>
    <xf numFmtId="3" fontId="0" fillId="8" borderId="4" xfId="0" applyNumberFormat="1" applyFill="1" applyBorder="1"/>
    <xf numFmtId="171" fontId="0" fillId="0" borderId="2" xfId="0" applyNumberFormat="1" applyBorder="1"/>
    <xf numFmtId="171" fontId="9" fillId="0" borderId="16" xfId="0" applyNumberFormat="1" applyFont="1" applyFill="1" applyBorder="1"/>
    <xf numFmtId="9" fontId="9" fillId="0" borderId="17" xfId="0" applyNumberFormat="1" applyFont="1" applyFill="1" applyBorder="1"/>
    <xf numFmtId="171" fontId="9" fillId="0" borderId="17" xfId="0" applyNumberFormat="1" applyFont="1" applyFill="1" applyBorder="1"/>
    <xf numFmtId="3" fontId="9" fillId="0" borderId="17" xfId="0" applyNumberFormat="1" applyFont="1" applyFill="1" applyBorder="1"/>
    <xf numFmtId="171" fontId="9" fillId="0" borderId="17" xfId="0" applyNumberFormat="1" applyFont="1" applyBorder="1"/>
    <xf numFmtId="171" fontId="9" fillId="0" borderId="18" xfId="0" applyNumberFormat="1" applyFont="1" applyFill="1" applyBorder="1"/>
    <xf numFmtId="0" fontId="9" fillId="0" borderId="0" xfId="0" applyFont="1" applyFill="1"/>
    <xf numFmtId="14" fontId="9" fillId="0" borderId="16" xfId="0" applyNumberFormat="1" applyFont="1" applyFill="1" applyBorder="1"/>
    <xf numFmtId="3" fontId="9" fillId="8" borderId="14" xfId="0" applyNumberFormat="1" applyFont="1" applyFill="1" applyBorder="1"/>
    <xf numFmtId="3" fontId="9" fillId="2" borderId="14" xfId="0" applyNumberFormat="1" applyFon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170" fontId="0" fillId="0" borderId="11" xfId="0" applyNumberFormat="1" applyBorder="1"/>
    <xf numFmtId="171" fontId="0" fillId="16" borderId="3" xfId="0" applyNumberFormat="1" applyFill="1" applyBorder="1"/>
    <xf numFmtId="171" fontId="0" fillId="16" borderId="0" xfId="0" applyNumberFormat="1" applyFill="1" applyBorder="1"/>
    <xf numFmtId="171" fontId="0" fillId="16" borderId="4" xfId="0" applyNumberFormat="1" applyFill="1" applyBorder="1"/>
    <xf numFmtId="171" fontId="0" fillId="16" borderId="10" xfId="0" applyNumberFormat="1" applyFill="1" applyBorder="1"/>
    <xf numFmtId="3" fontId="9" fillId="4" borderId="13" xfId="0" applyNumberFormat="1" applyFont="1" applyFill="1" applyBorder="1"/>
    <xf numFmtId="170" fontId="9" fillId="4" borderId="13" xfId="0" applyNumberFormat="1" applyFont="1" applyFill="1" applyBorder="1"/>
    <xf numFmtId="3" fontId="9" fillId="4" borderId="9" xfId="0" applyNumberFormat="1" applyFont="1" applyFill="1" applyBorder="1" applyAlignment="1">
      <alignment horizontal="center"/>
    </xf>
    <xf numFmtId="3" fontId="0" fillId="0" borderId="13" xfId="0" applyNumberFormat="1" applyFill="1" applyBorder="1" applyAlignment="1">
      <alignment horizontal="center"/>
    </xf>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3" fontId="0" fillId="17" borderId="13" xfId="0" applyNumberFormat="1" applyFill="1" applyBorder="1"/>
    <xf numFmtId="3" fontId="0" fillId="17" borderId="14" xfId="0" applyNumberFormat="1" applyFill="1" applyBorder="1"/>
    <xf numFmtId="3" fontId="0" fillId="16" borderId="14" xfId="0" applyNumberFormat="1" applyFill="1" applyBorder="1"/>
    <xf numFmtId="171" fontId="0" fillId="3" borderId="3" xfId="0" applyNumberFormat="1" applyFill="1" applyBorder="1"/>
    <xf numFmtId="171" fontId="0" fillId="3" borderId="0" xfId="0" applyNumberFormat="1" applyFill="1" applyBorder="1"/>
    <xf numFmtId="14" fontId="0" fillId="0" borderId="13" xfId="0" applyNumberFormat="1" applyFill="1" applyBorder="1"/>
    <xf numFmtId="14" fontId="0" fillId="0" borderId="14" xfId="0" applyNumberFormat="1" applyFill="1" applyBorder="1"/>
    <xf numFmtId="171" fontId="9" fillId="4" borderId="9" xfId="0" applyNumberFormat="1" applyFont="1" applyFill="1" applyBorder="1"/>
    <xf numFmtId="9" fontId="9" fillId="4" borderId="10" xfId="0" applyNumberFormat="1" applyFont="1" applyFill="1" applyBorder="1"/>
    <xf numFmtId="171" fontId="9" fillId="4" borderId="10" xfId="0" applyNumberFormat="1" applyFont="1" applyFill="1" applyBorder="1"/>
    <xf numFmtId="3" fontId="9" fillId="4" borderId="11" xfId="0" applyNumberFormat="1" applyFont="1" applyFill="1" applyBorder="1"/>
    <xf numFmtId="171" fontId="9" fillId="4" borderId="11" xfId="0" applyNumberFormat="1" applyFont="1" applyFill="1" applyBorder="1"/>
    <xf numFmtId="3" fontId="9" fillId="4" borderId="3" xfId="0" applyNumberFormat="1" applyFont="1" applyFill="1"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9">
    <dxf>
      <fill>
        <patternFill>
          <bgColor rgb="FFC39BFF"/>
        </patternFill>
      </fill>
    </dxf>
    <dxf>
      <fill>
        <patternFill>
          <bgColor rgb="FFC39BFF"/>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FF"/>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43894.680232638886</c:v>
                </c:pt>
                <c:pt idx="1">
                  <c:v>43897.680232638886</c:v>
                </c:pt>
                <c:pt idx="2">
                  <c:v>43900.680232638886</c:v>
                </c:pt>
                <c:pt idx="3">
                  <c:v>43903.680232638886</c:v>
                </c:pt>
                <c:pt idx="4">
                  <c:v>43906.680232638886</c:v>
                </c:pt>
                <c:pt idx="5">
                  <c:v>43909.680232638886</c:v>
                </c:pt>
                <c:pt idx="6">
                  <c:v>43912.680232638886</c:v>
                </c:pt>
                <c:pt idx="7">
                  <c:v>43915.680232638886</c:v>
                </c:pt>
                <c:pt idx="8">
                  <c:v>43918.680232638886</c:v>
                </c:pt>
                <c:pt idx="9">
                  <c:v>43921.680232638886</c:v>
                </c:pt>
                <c:pt idx="10">
                  <c:v>43924.680232638886</c:v>
                </c:pt>
                <c:pt idx="11">
                  <c:v>43927.680232638886</c:v>
                </c:pt>
                <c:pt idx="12">
                  <c:v>43930.680232638886</c:v>
                </c:pt>
                <c:pt idx="13">
                  <c:v>43933.680232638886</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246.91358024691357</c:v>
                </c:pt>
                <c:pt idx="1">
                  <c:v>493.82716049382714</c:v>
                </c:pt>
                <c:pt idx="2">
                  <c:v>987.65432098765427</c:v>
                </c:pt>
                <c:pt idx="3">
                  <c:v>1975.3086419753085</c:v>
                </c:pt>
                <c:pt idx="4">
                  <c:v>3950.6172839506171</c:v>
                </c:pt>
                <c:pt idx="5">
                  <c:v>7901.2345679012342</c:v>
                </c:pt>
                <c:pt idx="6">
                  <c:v>15802.469135802468</c:v>
                </c:pt>
                <c:pt idx="7">
                  <c:v>31604.938271604937</c:v>
                </c:pt>
                <c:pt idx="8">
                  <c:v>63209.876543209873</c:v>
                </c:pt>
                <c:pt idx="9">
                  <c:v>126419.75308641975</c:v>
                </c:pt>
                <c:pt idx="10">
                  <c:v>252839.50617283949</c:v>
                </c:pt>
                <c:pt idx="11">
                  <c:v>505679.01234567899</c:v>
                </c:pt>
                <c:pt idx="12">
                  <c:v>1011358.024691358</c:v>
                </c:pt>
                <c:pt idx="13">
                  <c:v>2022716.049382716</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43894.680232638886</c:v>
                </c:pt>
                <c:pt idx="1">
                  <c:v>43897.680232638886</c:v>
                </c:pt>
                <c:pt idx="2">
                  <c:v>43900.680232638886</c:v>
                </c:pt>
                <c:pt idx="3">
                  <c:v>43903.680232638886</c:v>
                </c:pt>
                <c:pt idx="4">
                  <c:v>43906.680232638886</c:v>
                </c:pt>
                <c:pt idx="5">
                  <c:v>43909.680232638886</c:v>
                </c:pt>
                <c:pt idx="6">
                  <c:v>43912.680232638886</c:v>
                </c:pt>
                <c:pt idx="7">
                  <c:v>43915.680232638886</c:v>
                </c:pt>
                <c:pt idx="8">
                  <c:v>43918.680232638886</c:v>
                </c:pt>
                <c:pt idx="9">
                  <c:v>43921.680232638886</c:v>
                </c:pt>
                <c:pt idx="10">
                  <c:v>43924.680232638886</c:v>
                </c:pt>
                <c:pt idx="11">
                  <c:v>43927.680232638886</c:v>
                </c:pt>
                <c:pt idx="12">
                  <c:v>43930.680232638886</c:v>
                </c:pt>
                <c:pt idx="13">
                  <c:v>43933.680232638886</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46.913580246913568</c:v>
                </c:pt>
                <c:pt idx="1">
                  <c:v>93.827160493827137</c:v>
                </c:pt>
                <c:pt idx="2">
                  <c:v>187.65432098765427</c:v>
                </c:pt>
                <c:pt idx="3">
                  <c:v>375.30864197530855</c:v>
                </c:pt>
                <c:pt idx="4">
                  <c:v>750.61728395061709</c:v>
                </c:pt>
                <c:pt idx="5">
                  <c:v>1501.2345679012342</c:v>
                </c:pt>
                <c:pt idx="6">
                  <c:v>3002.4691358024684</c:v>
                </c:pt>
                <c:pt idx="7">
                  <c:v>6004.9382716049367</c:v>
                </c:pt>
                <c:pt idx="8">
                  <c:v>12009.876543209873</c:v>
                </c:pt>
                <c:pt idx="9">
                  <c:v>24019.753086419747</c:v>
                </c:pt>
                <c:pt idx="10">
                  <c:v>48039.506172839494</c:v>
                </c:pt>
                <c:pt idx="11">
                  <c:v>96079.012345678988</c:v>
                </c:pt>
                <c:pt idx="12">
                  <c:v>192158.02469135798</c:v>
                </c:pt>
                <c:pt idx="13">
                  <c:v>384316.04938271595</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43894.680232638886</c:v>
                </c:pt>
                <c:pt idx="1">
                  <c:v>43897.680232638886</c:v>
                </c:pt>
                <c:pt idx="2">
                  <c:v>43900.680232638886</c:v>
                </c:pt>
                <c:pt idx="3">
                  <c:v>43903.680232638886</c:v>
                </c:pt>
                <c:pt idx="4">
                  <c:v>43906.680232638886</c:v>
                </c:pt>
                <c:pt idx="5">
                  <c:v>43909.680232638886</c:v>
                </c:pt>
                <c:pt idx="6">
                  <c:v>43912.680232638886</c:v>
                </c:pt>
                <c:pt idx="7">
                  <c:v>43915.680232638886</c:v>
                </c:pt>
                <c:pt idx="8">
                  <c:v>43918.680232638886</c:v>
                </c:pt>
                <c:pt idx="9">
                  <c:v>43921.680232638886</c:v>
                </c:pt>
                <c:pt idx="10">
                  <c:v>43924.680232638886</c:v>
                </c:pt>
                <c:pt idx="11">
                  <c:v>43927.680232638886</c:v>
                </c:pt>
                <c:pt idx="12">
                  <c:v>43930.680232638886</c:v>
                </c:pt>
                <c:pt idx="13">
                  <c:v>43933.680232638886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200</c:v>
                </c:pt>
                <c:pt idx="4">
                  <c:v>400</c:v>
                </c:pt>
                <c:pt idx="5">
                  <c:v>800</c:v>
                </c:pt>
                <c:pt idx="6">
                  <c:v>1600</c:v>
                </c:pt>
                <c:pt idx="7">
                  <c:v>3200</c:v>
                </c:pt>
                <c:pt idx="8">
                  <c:v>6400</c:v>
                </c:pt>
                <c:pt idx="9">
                  <c:v>12800</c:v>
                </c:pt>
                <c:pt idx="10">
                  <c:v>25600</c:v>
                </c:pt>
                <c:pt idx="11">
                  <c:v>51200</c:v>
                </c:pt>
                <c:pt idx="12">
                  <c:v>102400</c:v>
                </c:pt>
                <c:pt idx="13">
                  <c:v>204800</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Projections!$G$18:$AA$18</c15:sqref>
                  </c15:fullRef>
                </c:ext>
              </c:extLst>
              <c:f>Projections!$G$18:$O$18</c:f>
              <c:numCache>
                <c:formatCode>#,##0_ ;[Red]\-#,##0\ </c:formatCode>
                <c:ptCount val="9"/>
                <c:pt idx="0">
                  <c:v>31.25</c:v>
                </c:pt>
                <c:pt idx="1">
                  <c:v>62.5</c:v>
                </c:pt>
                <c:pt idx="2">
                  <c:v>125</c:v>
                </c:pt>
                <c:pt idx="3">
                  <c:v>250</c:v>
                </c:pt>
                <c:pt idx="4">
                  <c:v>500</c:v>
                </c:pt>
                <c:pt idx="5">
                  <c:v>1000</c:v>
                </c:pt>
                <c:pt idx="6">
                  <c:v>2000</c:v>
                </c:pt>
                <c:pt idx="7">
                  <c:v>4000</c:v>
                </c:pt>
                <c:pt idx="8">
                  <c:v>8000</c:v>
                </c:pt>
              </c:numCache>
            </c:numRef>
          </c:val>
          <c:smooth val="0"/>
          <c:extLst>
            <c:ext xmlns:c16="http://schemas.microsoft.com/office/drawing/2014/chart" uri="{C3380CC4-5D6E-409C-BE32-E72D297353CC}">
              <c16:uniqueId val="{00000004-8BCC-427B-903C-670C749E04E9}"/>
            </c:ext>
          </c:extLst>
        </c:ser>
        <c:ser>
          <c:idx val="1"/>
          <c:order val="1"/>
          <c:tx>
            <c:strRef>
              <c:f>Projections!$A$42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Projections!$G$42:$AA$42</c15:sqref>
                  </c15:fullRef>
                </c:ext>
              </c:extLst>
              <c:f>Projections!$G$42:$O$42</c:f>
              <c:numCache>
                <c:formatCode>General</c:formatCode>
                <c:ptCount val="9"/>
                <c:pt idx="0">
                  <c:v>33</c:v>
                </c:pt>
                <c:pt idx="1">
                  <c:v>63</c:v>
                </c:pt>
                <c:pt idx="2" formatCode="#,##0">
                  <c:v>116</c:v>
                </c:pt>
                <c:pt idx="3" formatCode="#,##0">
                  <c:v>248</c:v>
                </c:pt>
                <c:pt idx="4" formatCode="#,##0">
                  <c:v>596</c:v>
                </c:pt>
                <c:pt idx="5" formatCode="#,##0">
                  <c:v>1072</c:v>
                </c:pt>
                <c:pt idx="6" formatCode="#,##0">
                  <c:v>2317</c:v>
                </c:pt>
                <c:pt idx="7" formatCode="#,##0">
                  <c:v>4163</c:v>
                </c:pt>
                <c:pt idx="8" formatCode="#,##0">
                  <c:v>8000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Projections!$A$32</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Projections!$G$32:$AA$32</c15:sqref>
                  </c15:fullRef>
                </c:ext>
              </c:extLst>
              <c:f>Projections!$G$32:$O$32</c:f>
              <c:numCache>
                <c:formatCode>#,##0_ ;[Red]\-#,##0\ </c:formatCode>
                <c:ptCount val="9"/>
                <c:pt idx="0">
                  <c:v>0.15625</c:v>
                </c:pt>
                <c:pt idx="1">
                  <c:v>0.3125</c:v>
                </c:pt>
                <c:pt idx="2">
                  <c:v>0.625</c:v>
                </c:pt>
                <c:pt idx="3">
                  <c:v>1.25</c:v>
                </c:pt>
                <c:pt idx="4">
                  <c:v>2.5</c:v>
                </c:pt>
                <c:pt idx="5">
                  <c:v>5</c:v>
                </c:pt>
                <c:pt idx="6">
                  <c:v>10</c:v>
                </c:pt>
                <c:pt idx="7">
                  <c:v>20</c:v>
                </c:pt>
                <c:pt idx="8">
                  <c:v>40</c:v>
                </c:pt>
              </c:numCache>
            </c:numRef>
          </c:val>
          <c:smooth val="0"/>
          <c:extLst>
            <c:ext xmlns:c16="http://schemas.microsoft.com/office/drawing/2014/chart" uri="{C3380CC4-5D6E-409C-BE32-E72D297353CC}">
              <c16:uniqueId val="{00000000-50BE-40C1-B679-81AF0BCE3FCD}"/>
            </c:ext>
          </c:extLst>
        </c:ser>
        <c:ser>
          <c:idx val="1"/>
          <c:order val="1"/>
          <c:tx>
            <c:strRef>
              <c:f>Projections!$A$46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Projections!$G$46:$AA$46</c15:sqref>
                  </c15:fullRef>
                </c:ext>
              </c:extLst>
              <c:f>Projections!$G$46:$O$46</c:f>
              <c:numCache>
                <c:formatCode>General</c:formatCode>
                <c:ptCount val="9"/>
                <c:pt idx="0">
                  <c:v>1</c:v>
                </c:pt>
                <c:pt idx="1">
                  <c:v>2</c:v>
                </c:pt>
                <c:pt idx="2" formatCode="#,##0">
                  <c:v>3</c:v>
                </c:pt>
                <c:pt idx="3" formatCode="#,##0">
                  <c:v>5</c:v>
                </c:pt>
                <c:pt idx="4" formatCode="#,##0">
                  <c:v>6</c:v>
                </c:pt>
                <c:pt idx="5" formatCode="#,##0">
                  <c:v>7</c:v>
                </c:pt>
                <c:pt idx="6" formatCode="#,##0">
                  <c:v>8</c:v>
                </c:pt>
                <c:pt idx="7" formatCode="#,##0">
                  <c:v>16</c:v>
                </c:pt>
                <c:pt idx="8" formatCode="#,##0">
                  <c:v>61</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Projections!$A$28</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Projections!$G$28:$AA$28</c15:sqref>
                  </c15:fullRef>
                </c:ext>
              </c:extLst>
              <c:f>Projections!$G$28:$O$28</c:f>
              <c:numCache>
                <c:formatCode>#,##0_ ;[Red]\-#,##0\ </c:formatCode>
                <c:ptCount val="9"/>
                <c:pt idx="0">
                  <c:v>1.3624403770173663</c:v>
                </c:pt>
                <c:pt idx="1">
                  <c:v>1.9882966234408881</c:v>
                </c:pt>
                <c:pt idx="2">
                  <c:v>2.7477734693782825</c:v>
                </c:pt>
                <c:pt idx="3">
                  <c:v>5.6101344648732603</c:v>
                </c:pt>
                <c:pt idx="4">
                  <c:v>10.283171151388096</c:v>
                </c:pt>
                <c:pt idx="5">
                  <c:v>18.787878787878775</c:v>
                </c:pt>
                <c:pt idx="6">
                  <c:v>31.107290494170176</c:v>
                </c:pt>
                <c:pt idx="7">
                  <c:v>97.540056745390302</c:v>
                </c:pt>
                <c:pt idx="8">
                  <c:v>116570.84490517293</c:v>
                </c:pt>
              </c:numCache>
            </c:numRef>
          </c:val>
          <c:smooth val="0"/>
          <c:extLst>
            <c:ext xmlns:c16="http://schemas.microsoft.com/office/drawing/2014/chart" uri="{C3380CC4-5D6E-409C-BE32-E72D297353CC}">
              <c16:uniqueId val="{00000000-A3C2-4B4C-996C-CDB1A252886F}"/>
            </c:ext>
          </c:extLst>
        </c:ser>
        <c:ser>
          <c:idx val="2"/>
          <c:order val="1"/>
          <c:tx>
            <c:strRef>
              <c:f>Projections!$A$29</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Projections!$G$29:$AA$29</c15:sqref>
                  </c15:fullRef>
                </c:ext>
              </c:extLst>
              <c:f>Projections!$G$29:$O$29</c:f>
              <c:numCache>
                <c:formatCode>#,##0_ ;[Red]\-#,##0\ </c:formatCode>
                <c:ptCount val="9"/>
                <c:pt idx="0">
                  <c:v>1.3624403770173663</c:v>
                </c:pt>
                <c:pt idx="1">
                  <c:v>1.9882966234408881</c:v>
                </c:pt>
                <c:pt idx="2">
                  <c:v>2.7477734693782825</c:v>
                </c:pt>
                <c:pt idx="3">
                  <c:v>5.6101344648732603</c:v>
                </c:pt>
                <c:pt idx="4">
                  <c:v>9.1506322955352211</c:v>
                </c:pt>
                <c:pt idx="5">
                  <c:v>16.684078363551301</c:v>
                </c:pt>
                <c:pt idx="6">
                  <c:v>27.811835948715633</c:v>
                </c:pt>
                <c:pt idx="7">
                  <c:v>89.205090812551802</c:v>
                </c:pt>
                <c:pt idx="8">
                  <c:v>104192.36638629014</c:v>
                </c:pt>
              </c:numCache>
            </c:numRef>
          </c:val>
          <c:smooth val="0"/>
          <c:extLst>
            <c:ext xmlns:c16="http://schemas.microsoft.com/office/drawing/2014/chart" uri="{C3380CC4-5D6E-409C-BE32-E72D297353CC}">
              <c16:uniqueId val="{00000001-A3C2-4B4C-996C-CDB1A252886F}"/>
            </c:ext>
          </c:extLst>
        </c:ser>
        <c:ser>
          <c:idx val="0"/>
          <c:order val="2"/>
          <c:tx>
            <c:strRef>
              <c:f>Projections!$A$30</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Projections!$G$30:$AA$30</c15:sqref>
                  </c15:fullRef>
                </c:ext>
              </c:extLst>
              <c:f>Projections!$G$30:$O$30</c:f>
              <c:numCache>
                <c:formatCode>#,##0_ ;[Red]\-#,##0\ </c:formatCode>
                <c:ptCount val="9"/>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12472.266618632359</c:v>
                </c:pt>
              </c:numCache>
            </c:numRef>
          </c:val>
          <c:smooth val="0"/>
          <c:extLst>
            <c:ext xmlns:c16="http://schemas.microsoft.com/office/drawing/2014/chart" uri="{C3380CC4-5D6E-409C-BE32-E72D297353CC}">
              <c16:uniqueId val="{00000002-A3C2-4B4C-996C-CDB1A252886F}"/>
            </c:ext>
          </c:extLst>
        </c:ser>
        <c:ser>
          <c:idx val="4"/>
          <c:order val="3"/>
          <c:tx>
            <c:strRef>
              <c:f>Projections!$A$31</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Projections!$G$31:$AA$31</c15:sqref>
                  </c15:fullRef>
                </c:ext>
              </c:extLst>
              <c:f>Projections!$G$31:$O$31</c:f>
              <c:numCache>
                <c:formatCode>#,##0_ ;[Red]\-#,##0\ </c:formatCode>
                <c:ptCount val="9"/>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12182.587020909108</c:v>
                </c:pt>
              </c:numCache>
            </c:numRef>
          </c:val>
          <c:smooth val="0"/>
          <c:extLst>
            <c:ext xmlns:c16="http://schemas.microsoft.com/office/drawing/2014/chart" uri="{C3380CC4-5D6E-409C-BE32-E72D297353CC}">
              <c16:uniqueId val="{00000003-A3C2-4B4C-996C-CDB1A252886F}"/>
            </c:ext>
          </c:extLst>
        </c:ser>
        <c:ser>
          <c:idx val="1"/>
          <c:order val="4"/>
          <c:tx>
            <c:strRef>
              <c:f>Projections!$A$32</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Projections!$G$32:$AA$32</c15:sqref>
                  </c15:fullRef>
                </c:ext>
              </c:extLst>
              <c:f>Projections!$G$32:$O$32</c:f>
              <c:numCache>
                <c:formatCode>#,##0_ ;[Red]\-#,##0\ </c:formatCode>
                <c:ptCount val="9"/>
                <c:pt idx="0">
                  <c:v>0.15625</c:v>
                </c:pt>
                <c:pt idx="1">
                  <c:v>0.3125</c:v>
                </c:pt>
                <c:pt idx="2">
                  <c:v>0.625</c:v>
                </c:pt>
                <c:pt idx="3">
                  <c:v>1.25</c:v>
                </c:pt>
                <c:pt idx="4">
                  <c:v>2.5</c:v>
                </c:pt>
                <c:pt idx="5">
                  <c:v>5</c:v>
                </c:pt>
                <c:pt idx="6">
                  <c:v>10</c:v>
                </c:pt>
                <c:pt idx="7">
                  <c:v>20</c:v>
                </c:pt>
                <c:pt idx="8">
                  <c:v>40</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Projections!$G$50:$AA$50</c15:sqref>
                  </c15:fullRef>
                </c:ext>
              </c:extLst>
              <c:f>Projections!$G$50:$O$50</c:f>
              <c:numCache>
                <c:formatCode>#,##0</c:formatCode>
                <c:ptCount val="9"/>
                <c:pt idx="0">
                  <c:v>0.90175197526623152</c:v>
                </c:pt>
                <c:pt idx="1">
                  <c:v>1.803503950532463</c:v>
                </c:pt>
                <c:pt idx="2">
                  <c:v>3.6070079010649261</c:v>
                </c:pt>
                <c:pt idx="3">
                  <c:v>7.2140158021298522</c:v>
                </c:pt>
                <c:pt idx="4">
                  <c:v>14.428031604259704</c:v>
                </c:pt>
                <c:pt idx="5">
                  <c:v>28.856063208519409</c:v>
                </c:pt>
                <c:pt idx="6">
                  <c:v>57.712126417038817</c:v>
                </c:pt>
                <c:pt idx="7">
                  <c:v>115.42425283407763</c:v>
                </c:pt>
                <c:pt idx="8">
                  <c:v>230.84850566815527</c:v>
                </c:pt>
              </c:numCache>
            </c:numRef>
          </c:val>
          <c:smooth val="0"/>
          <c:extLst>
            <c:ext xmlns:c16="http://schemas.microsoft.com/office/drawing/2014/chart" uri="{C3380CC4-5D6E-409C-BE32-E72D297353CC}">
              <c16:uniqueId val="{00000000-7972-43AB-83E8-C2C99B4277B0}"/>
            </c:ext>
          </c:extLst>
        </c:ser>
        <c:ser>
          <c:idx val="2"/>
          <c:order val="1"/>
          <c:tx>
            <c:strRef>
              <c:f>Projections!$A$52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Projections!$G$52:$AA$52</c15:sqref>
                  </c15:fullRef>
                </c:ext>
              </c:extLst>
              <c:f>Projections!$G$52:$O$52</c:f>
              <c:numCache>
                <c:formatCode>#,##0</c:formatCode>
                <c:ptCount val="9"/>
                <c:pt idx="0">
                  <c:v>3.3439969082789416</c:v>
                </c:pt>
                <c:pt idx="1">
                  <c:v>6.6879938165578832</c:v>
                </c:pt>
                <c:pt idx="2">
                  <c:v>13.375987633115766</c:v>
                </c:pt>
                <c:pt idx="3">
                  <c:v>26.751975266231533</c:v>
                </c:pt>
                <c:pt idx="4">
                  <c:v>53.503950532463065</c:v>
                </c:pt>
                <c:pt idx="5">
                  <c:v>107.00790106492613</c:v>
                </c:pt>
                <c:pt idx="6">
                  <c:v>214.01580212985226</c:v>
                </c:pt>
                <c:pt idx="7">
                  <c:v>428.03160425970452</c:v>
                </c:pt>
                <c:pt idx="8">
                  <c:v>856.06320851940905</c:v>
                </c:pt>
              </c:numCache>
            </c:numRef>
          </c:val>
          <c:smooth val="0"/>
          <c:extLst>
            <c:ext xmlns:c16="http://schemas.microsoft.com/office/drawing/2014/chart" uri="{C3380CC4-5D6E-409C-BE32-E72D297353CC}">
              <c16:uniqueId val="{00000001-7972-43AB-83E8-C2C99B4277B0}"/>
            </c:ext>
          </c:extLst>
        </c:ser>
        <c:ser>
          <c:idx val="4"/>
          <c:order val="2"/>
          <c:tx>
            <c:strRef>
              <c:f>Projections!$A$54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Projections!$G$54:$AA$54</c15:sqref>
                  </c15:fullRef>
                </c:ext>
              </c:extLst>
              <c:f>Projections!$G$54:$O$54</c:f>
              <c:numCache>
                <c:formatCode>#,##0</c:formatCode>
                <c:ptCount val="9"/>
                <c:pt idx="0">
                  <c:v>5.2602198557196846</c:v>
                </c:pt>
                <c:pt idx="1">
                  <c:v>10.520439711439369</c:v>
                </c:pt>
                <c:pt idx="2">
                  <c:v>21.040879422878739</c:v>
                </c:pt>
                <c:pt idx="3">
                  <c:v>42.081758845757477</c:v>
                </c:pt>
                <c:pt idx="4">
                  <c:v>84.163517691514954</c:v>
                </c:pt>
                <c:pt idx="5">
                  <c:v>168.32703538302991</c:v>
                </c:pt>
                <c:pt idx="6">
                  <c:v>336.65407076605982</c:v>
                </c:pt>
                <c:pt idx="7">
                  <c:v>673.30814153211963</c:v>
                </c:pt>
                <c:pt idx="8">
                  <c:v>1346.6162830642393</c:v>
                </c:pt>
              </c:numCache>
            </c:numRef>
          </c:val>
          <c:smooth val="0"/>
          <c:extLst>
            <c:ext xmlns:c16="http://schemas.microsoft.com/office/drawing/2014/chart" uri="{C3380CC4-5D6E-409C-BE32-E72D297353CC}">
              <c16:uniqueId val="{00000002-7972-43AB-83E8-C2C99B4277B0}"/>
            </c:ext>
          </c:extLst>
        </c:ser>
        <c:ser>
          <c:idx val="6"/>
          <c:order val="3"/>
          <c:tx>
            <c:strRef>
              <c:f>Projections!$A$56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Projections!$G$56:$AA$56</c15:sqref>
                  </c15:fullRef>
                </c:ext>
              </c:extLst>
              <c:f>Projections!$G$56:$O$56</c:f>
              <c:numCache>
                <c:formatCode>#,##0</c:formatCode>
                <c:ptCount val="9"/>
                <c:pt idx="0">
                  <c:v>4.8522844383373416</c:v>
                </c:pt>
                <c:pt idx="1">
                  <c:v>9.7045688766746832</c:v>
                </c:pt>
                <c:pt idx="2">
                  <c:v>19.409137753349366</c:v>
                </c:pt>
                <c:pt idx="3">
                  <c:v>38.818275506698733</c:v>
                </c:pt>
                <c:pt idx="4">
                  <c:v>77.636551013397465</c:v>
                </c:pt>
                <c:pt idx="5">
                  <c:v>155.27310202679493</c:v>
                </c:pt>
                <c:pt idx="6">
                  <c:v>310.54620405358986</c:v>
                </c:pt>
                <c:pt idx="7">
                  <c:v>621.09240810717972</c:v>
                </c:pt>
                <c:pt idx="8">
                  <c:v>1242.1848162143594</c:v>
                </c:pt>
              </c:numCache>
            </c:numRef>
          </c:val>
          <c:smooth val="0"/>
          <c:extLst>
            <c:ext xmlns:c16="http://schemas.microsoft.com/office/drawing/2014/chart" uri="{C3380CC4-5D6E-409C-BE32-E72D297353CC}">
              <c16:uniqueId val="{00000003-7972-43AB-83E8-C2C99B4277B0}"/>
            </c:ext>
          </c:extLst>
        </c:ser>
        <c:ser>
          <c:idx val="8"/>
          <c:order val="4"/>
          <c:tx>
            <c:strRef>
              <c:f>Projections!$A$58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Projections!$G$58:$AA$58</c15:sqref>
                  </c15:fullRef>
                </c:ext>
              </c:extLst>
              <c:f>Projections!$G$58:$O$58</c:f>
              <c:numCache>
                <c:formatCode>#,##0</c:formatCode>
                <c:ptCount val="9"/>
                <c:pt idx="0">
                  <c:v>4.0256784610099627</c:v>
                </c:pt>
                <c:pt idx="1">
                  <c:v>8.0513569220199255</c:v>
                </c:pt>
                <c:pt idx="2">
                  <c:v>16.102713844039851</c:v>
                </c:pt>
                <c:pt idx="3">
                  <c:v>32.205427688079702</c:v>
                </c:pt>
                <c:pt idx="4">
                  <c:v>64.410855376159404</c:v>
                </c:pt>
                <c:pt idx="5">
                  <c:v>128.82171075231881</c:v>
                </c:pt>
                <c:pt idx="6">
                  <c:v>257.64342150463762</c:v>
                </c:pt>
                <c:pt idx="7">
                  <c:v>515.28684300927523</c:v>
                </c:pt>
                <c:pt idx="8">
                  <c:v>1030.5736860185505</c:v>
                </c:pt>
              </c:numCache>
            </c:numRef>
          </c:val>
          <c:smooth val="0"/>
          <c:extLst>
            <c:ext xmlns:c16="http://schemas.microsoft.com/office/drawing/2014/chart" uri="{C3380CC4-5D6E-409C-BE32-E72D297353CC}">
              <c16:uniqueId val="{00000004-7972-43AB-83E8-C2C99B4277B0}"/>
            </c:ext>
          </c:extLst>
        </c:ser>
        <c:ser>
          <c:idx val="10"/>
          <c:order val="5"/>
          <c:tx>
            <c:strRef>
              <c:f>Projections!$A$60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Projections!$G$60:$AA$60</c15:sqref>
                  </c15:fullRef>
                </c:ext>
              </c:extLst>
              <c:f>Projections!$G$60:$O$60</c:f>
              <c:numCache>
                <c:formatCode>#,##0</c:formatCode>
                <c:ptCount val="9"/>
                <c:pt idx="0">
                  <c:v>4.9381655788388867</c:v>
                </c:pt>
                <c:pt idx="1">
                  <c:v>9.8763311576777735</c:v>
                </c:pt>
                <c:pt idx="2">
                  <c:v>19.752662315355547</c:v>
                </c:pt>
                <c:pt idx="3">
                  <c:v>39.505324630711094</c:v>
                </c:pt>
                <c:pt idx="4">
                  <c:v>79.010649261422188</c:v>
                </c:pt>
                <c:pt idx="5">
                  <c:v>158.02129852284438</c:v>
                </c:pt>
                <c:pt idx="6">
                  <c:v>316.04259704568875</c:v>
                </c:pt>
                <c:pt idx="7">
                  <c:v>632.0851940913775</c:v>
                </c:pt>
                <c:pt idx="8">
                  <c:v>1264.170388182755</c:v>
                </c:pt>
              </c:numCache>
            </c:numRef>
          </c:val>
          <c:smooth val="0"/>
          <c:extLst>
            <c:ext xmlns:c16="http://schemas.microsoft.com/office/drawing/2014/chart" uri="{C3380CC4-5D6E-409C-BE32-E72D297353CC}">
              <c16:uniqueId val="{00000005-7972-43AB-83E8-C2C99B4277B0}"/>
            </c:ext>
          </c:extLst>
        </c:ser>
        <c:ser>
          <c:idx val="12"/>
          <c:order val="6"/>
          <c:tx>
            <c:strRef>
              <c:f>Projections!$A$62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Projections!$G$62:$AA$62</c15:sqref>
                  </c15:fullRef>
                </c:ext>
              </c:extLst>
              <c:f>Projections!$G$62:$O$62</c:f>
              <c:numCache>
                <c:formatCode>#,##0</c:formatCode>
                <c:ptCount val="9"/>
                <c:pt idx="0">
                  <c:v>6.7255668155273103</c:v>
                </c:pt>
                <c:pt idx="1">
                  <c:v>13.451133631054621</c:v>
                </c:pt>
                <c:pt idx="2">
                  <c:v>26.902267262109241</c:v>
                </c:pt>
                <c:pt idx="3">
                  <c:v>53.804534524218482</c:v>
                </c:pt>
                <c:pt idx="4">
                  <c:v>107.60906904843696</c:v>
                </c:pt>
                <c:pt idx="5">
                  <c:v>215.21813809687393</c:v>
                </c:pt>
                <c:pt idx="6">
                  <c:v>430.43627619374786</c:v>
                </c:pt>
                <c:pt idx="7">
                  <c:v>860.87255238749572</c:v>
                </c:pt>
                <c:pt idx="8">
                  <c:v>1721.7451047749914</c:v>
                </c:pt>
              </c:numCache>
            </c:numRef>
          </c:val>
          <c:smooth val="0"/>
          <c:extLst>
            <c:ext xmlns:c16="http://schemas.microsoft.com/office/drawing/2014/chart" uri="{C3380CC4-5D6E-409C-BE32-E72D297353CC}">
              <c16:uniqueId val="{00000006-7972-43AB-83E8-C2C99B4277B0}"/>
            </c:ext>
          </c:extLst>
        </c:ser>
        <c:ser>
          <c:idx val="14"/>
          <c:order val="7"/>
          <c:tx>
            <c:strRef>
              <c:f>Projections!$A$64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Projections!$G$64:$AA$64</c15:sqref>
                  </c15:fullRef>
                </c:ext>
              </c:extLst>
              <c:f>Projections!$G$64:$O$64</c:f>
              <c:numCache>
                <c:formatCode>#,##0</c:formatCode>
                <c:ptCount val="9"/>
                <c:pt idx="0">
                  <c:v>0.89638440398488495</c:v>
                </c:pt>
                <c:pt idx="1">
                  <c:v>1.7927688079697699</c:v>
                </c:pt>
                <c:pt idx="2">
                  <c:v>3.5855376159395398</c:v>
                </c:pt>
                <c:pt idx="3">
                  <c:v>7.1710752318790796</c:v>
                </c:pt>
                <c:pt idx="4">
                  <c:v>14.342150463758159</c:v>
                </c:pt>
                <c:pt idx="5">
                  <c:v>28.684300927516318</c:v>
                </c:pt>
                <c:pt idx="6">
                  <c:v>57.368601855032637</c:v>
                </c:pt>
                <c:pt idx="7">
                  <c:v>114.73720371006527</c:v>
                </c:pt>
                <c:pt idx="8">
                  <c:v>229.47440742013055</c:v>
                </c:pt>
              </c:numCache>
            </c:numRef>
          </c:val>
          <c:smooth val="0"/>
          <c:extLst>
            <c:ext xmlns:c16="http://schemas.microsoft.com/office/drawing/2014/chart" uri="{C3380CC4-5D6E-409C-BE32-E72D297353CC}">
              <c16:uniqueId val="{00000007-7972-43AB-83E8-C2C99B4277B0}"/>
            </c:ext>
          </c:extLst>
        </c:ser>
        <c:ser>
          <c:idx val="16"/>
          <c:order val="8"/>
          <c:tx>
            <c:strRef>
              <c:f>Projections!$A$66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Projections!$G$66:$AA$66</c15:sqref>
                  </c15:fullRef>
                </c:ext>
              </c:extLst>
              <c:f>Projections!$G$66:$O$66</c:f>
              <c:numCache>
                <c:formatCode>#,##0</c:formatCode>
                <c:ptCount val="9"/>
                <c:pt idx="0">
                  <c:v>0.30595156303675713</c:v>
                </c:pt>
                <c:pt idx="1">
                  <c:v>0.61190312607351427</c:v>
                </c:pt>
                <c:pt idx="2">
                  <c:v>1.2238062521470285</c:v>
                </c:pt>
                <c:pt idx="3">
                  <c:v>2.4476125042940571</c:v>
                </c:pt>
                <c:pt idx="4">
                  <c:v>4.8952250085881142</c:v>
                </c:pt>
                <c:pt idx="5">
                  <c:v>9.7904500171762283</c:v>
                </c:pt>
                <c:pt idx="6">
                  <c:v>19.580900034352457</c:v>
                </c:pt>
                <c:pt idx="7">
                  <c:v>39.161800068704913</c:v>
                </c:pt>
                <c:pt idx="8">
                  <c:v>78.323600137409827</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Projections!$G$51:$AA$51</c15:sqref>
                  </c15:fullRef>
                </c:ext>
              </c:extLst>
              <c:f>Projections!$G$51:$O$51</c:f>
              <c:numCache>
                <c:formatCode>#,##0</c:formatCode>
                <c:ptCount val="9"/>
                <c:pt idx="0">
                  <c:v>0.13345929233940226</c:v>
                </c:pt>
                <c:pt idx="1">
                  <c:v>0.26691858467880453</c:v>
                </c:pt>
                <c:pt idx="2">
                  <c:v>0.53383716935760905</c:v>
                </c:pt>
                <c:pt idx="3">
                  <c:v>1.0676743387152181</c:v>
                </c:pt>
                <c:pt idx="4">
                  <c:v>2.1353486774304362</c:v>
                </c:pt>
                <c:pt idx="5">
                  <c:v>4.2706973548608724</c:v>
                </c:pt>
                <c:pt idx="6">
                  <c:v>8.5413947097217449</c:v>
                </c:pt>
                <c:pt idx="7">
                  <c:v>17.08278941944349</c:v>
                </c:pt>
                <c:pt idx="8">
                  <c:v>34.165578838886979</c:v>
                </c:pt>
              </c:numCache>
            </c:numRef>
          </c:val>
          <c:smooth val="0"/>
          <c:extLst>
            <c:ext xmlns:c16="http://schemas.microsoft.com/office/drawing/2014/chart" uri="{C3380CC4-5D6E-409C-BE32-E72D297353CC}">
              <c16:uniqueId val="{00000000-FE50-482D-905D-7C3B099138E4}"/>
            </c:ext>
          </c:extLst>
        </c:ser>
        <c:ser>
          <c:idx val="3"/>
          <c:order val="1"/>
          <c:tx>
            <c:strRef>
              <c:f>Projections!$A$52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Projections!$G$53:$AA$53</c15:sqref>
                  </c15:fullRef>
                </c:ext>
              </c:extLst>
              <c:f>Projections!$G$53:$O$53</c:f>
              <c:numCache>
                <c:formatCode>#,##0</c:formatCode>
                <c:ptCount val="9"/>
                <c:pt idx="0">
                  <c:v>0.26751975266231531</c:v>
                </c:pt>
                <c:pt idx="1">
                  <c:v>0.53503950532463063</c:v>
                </c:pt>
                <c:pt idx="2">
                  <c:v>1.0700790106492613</c:v>
                </c:pt>
                <c:pt idx="3">
                  <c:v>2.1401580212985225</c:v>
                </c:pt>
                <c:pt idx="4">
                  <c:v>4.280316042597045</c:v>
                </c:pt>
                <c:pt idx="5">
                  <c:v>8.56063208519409</c:v>
                </c:pt>
                <c:pt idx="6">
                  <c:v>17.12126417038818</c:v>
                </c:pt>
                <c:pt idx="7">
                  <c:v>34.24252834077636</c:v>
                </c:pt>
                <c:pt idx="8">
                  <c:v>68.48505668155272</c:v>
                </c:pt>
              </c:numCache>
            </c:numRef>
          </c:val>
          <c:smooth val="0"/>
          <c:extLst>
            <c:ext xmlns:c16="http://schemas.microsoft.com/office/drawing/2014/chart" uri="{C3380CC4-5D6E-409C-BE32-E72D297353CC}">
              <c16:uniqueId val="{00000001-FE50-482D-905D-7C3B099138E4}"/>
            </c:ext>
          </c:extLst>
        </c:ser>
        <c:ser>
          <c:idx val="5"/>
          <c:order val="2"/>
          <c:tx>
            <c:strRef>
              <c:f>Projections!$A$54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Projections!$G$55:$AA$55</c15:sqref>
                  </c15:fullRef>
                </c:ext>
              </c:extLst>
              <c:f>Projections!$G$55:$O$55</c:f>
              <c:numCache>
                <c:formatCode>#,##0</c:formatCode>
                <c:ptCount val="9"/>
                <c:pt idx="0">
                  <c:v>0.18936791480590864</c:v>
                </c:pt>
                <c:pt idx="1">
                  <c:v>0.37873582961181729</c:v>
                </c:pt>
                <c:pt idx="2">
                  <c:v>0.75747165922363457</c:v>
                </c:pt>
                <c:pt idx="3">
                  <c:v>1.5149433184472691</c:v>
                </c:pt>
                <c:pt idx="4">
                  <c:v>3.0298866368945383</c:v>
                </c:pt>
                <c:pt idx="5">
                  <c:v>6.0597732737890766</c:v>
                </c:pt>
                <c:pt idx="6">
                  <c:v>12.119546547578153</c:v>
                </c:pt>
                <c:pt idx="7">
                  <c:v>24.239093095156306</c:v>
                </c:pt>
                <c:pt idx="8">
                  <c:v>48.478186190312613</c:v>
                </c:pt>
              </c:numCache>
            </c:numRef>
          </c:val>
          <c:smooth val="0"/>
          <c:extLst>
            <c:ext xmlns:c16="http://schemas.microsoft.com/office/drawing/2014/chart" uri="{C3380CC4-5D6E-409C-BE32-E72D297353CC}">
              <c16:uniqueId val="{00000002-FE50-482D-905D-7C3B099138E4}"/>
            </c:ext>
          </c:extLst>
        </c:ser>
        <c:ser>
          <c:idx val="7"/>
          <c:order val="3"/>
          <c:tx>
            <c:strRef>
              <c:f>Projections!$A$56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Projections!$G$57:$AA$57</c15:sqref>
                  </c15:fullRef>
                </c:ext>
              </c:extLst>
              <c:f>Projections!$G$57:$O$57</c:f>
              <c:numCache>
                <c:formatCode>#,##0</c:formatCode>
                <c:ptCount val="9"/>
                <c:pt idx="0">
                  <c:v>6.3079697698385437E-2</c:v>
                </c:pt>
                <c:pt idx="1">
                  <c:v>0.12615939539677087</c:v>
                </c:pt>
                <c:pt idx="2">
                  <c:v>0.25231879079354175</c:v>
                </c:pt>
                <c:pt idx="3">
                  <c:v>0.50463758158708349</c:v>
                </c:pt>
                <c:pt idx="4">
                  <c:v>1.009275163174167</c:v>
                </c:pt>
                <c:pt idx="5">
                  <c:v>2.018550326348334</c:v>
                </c:pt>
                <c:pt idx="6">
                  <c:v>4.037100652696668</c:v>
                </c:pt>
                <c:pt idx="7">
                  <c:v>8.0742013053933359</c:v>
                </c:pt>
                <c:pt idx="8">
                  <c:v>16.148402610786672</c:v>
                </c:pt>
              </c:numCache>
            </c:numRef>
          </c:val>
          <c:smooth val="0"/>
          <c:extLst>
            <c:ext xmlns:c16="http://schemas.microsoft.com/office/drawing/2014/chart" uri="{C3380CC4-5D6E-409C-BE32-E72D297353CC}">
              <c16:uniqueId val="{00000003-FE50-482D-905D-7C3B099138E4}"/>
            </c:ext>
          </c:extLst>
        </c:ser>
        <c:ser>
          <c:idx val="9"/>
          <c:order val="4"/>
          <c:tx>
            <c:strRef>
              <c:f>Projections!$A$58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Projections!$G$59:$AA$59</c15:sqref>
                  </c15:fullRef>
                </c:ext>
              </c:extLst>
              <c:f>Projections!$G$59:$O$59</c:f>
              <c:numCache>
                <c:formatCode>#,##0</c:formatCode>
                <c:ptCount val="9"/>
                <c:pt idx="0">
                  <c:v>1.610271384403985E-2</c:v>
                </c:pt>
                <c:pt idx="1">
                  <c:v>3.2205427688079699E-2</c:v>
                </c:pt>
                <c:pt idx="2">
                  <c:v>6.4410855376159398E-2</c:v>
                </c:pt>
                <c:pt idx="3">
                  <c:v>0.1288217107523188</c:v>
                </c:pt>
                <c:pt idx="4">
                  <c:v>0.25764342150463759</c:v>
                </c:pt>
                <c:pt idx="5">
                  <c:v>0.51528684300927519</c:v>
                </c:pt>
                <c:pt idx="6">
                  <c:v>1.0305736860185504</c:v>
                </c:pt>
                <c:pt idx="7">
                  <c:v>2.0611473720371007</c:v>
                </c:pt>
                <c:pt idx="8">
                  <c:v>4.1222947440742015</c:v>
                </c:pt>
              </c:numCache>
            </c:numRef>
          </c:val>
          <c:smooth val="0"/>
          <c:extLst>
            <c:ext xmlns:c16="http://schemas.microsoft.com/office/drawing/2014/chart" uri="{C3380CC4-5D6E-409C-BE32-E72D297353CC}">
              <c16:uniqueId val="{00000004-FE50-482D-905D-7C3B099138E4}"/>
            </c:ext>
          </c:extLst>
        </c:ser>
        <c:ser>
          <c:idx val="11"/>
          <c:order val="5"/>
          <c:tx>
            <c:strRef>
              <c:f>Projections!$A$60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Projections!$G$61:$AA$61</c15:sqref>
                  </c15:fullRef>
                </c:ext>
              </c:extLst>
              <c:f>Projections!$G$61:$O$61</c:f>
              <c:numCache>
                <c:formatCode>#,##0</c:formatCode>
                <c:ptCount val="9"/>
                <c:pt idx="0">
                  <c:v>9.876331157677774E-3</c:v>
                </c:pt>
                <c:pt idx="1">
                  <c:v>1.9752662315355548E-2</c:v>
                </c:pt>
                <c:pt idx="2">
                  <c:v>3.9505324630711096E-2</c:v>
                </c:pt>
                <c:pt idx="3">
                  <c:v>7.9010649261422192E-2</c:v>
                </c:pt>
                <c:pt idx="4">
                  <c:v>0.15802129852284438</c:v>
                </c:pt>
                <c:pt idx="5">
                  <c:v>0.31604259704568877</c:v>
                </c:pt>
                <c:pt idx="6">
                  <c:v>0.63208519409137753</c:v>
                </c:pt>
                <c:pt idx="7">
                  <c:v>1.2641703881827551</c:v>
                </c:pt>
                <c:pt idx="8">
                  <c:v>2.5283407763655101</c:v>
                </c:pt>
              </c:numCache>
            </c:numRef>
          </c:val>
          <c:smooth val="0"/>
          <c:extLst>
            <c:ext xmlns:c16="http://schemas.microsoft.com/office/drawing/2014/chart" uri="{C3380CC4-5D6E-409C-BE32-E72D297353CC}">
              <c16:uniqueId val="{00000005-FE50-482D-905D-7C3B099138E4}"/>
            </c:ext>
          </c:extLst>
        </c:ser>
        <c:ser>
          <c:idx val="13"/>
          <c:order val="6"/>
          <c:tx>
            <c:strRef>
              <c:f>Projections!$A$62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Projections!$G$63:$AA$63</c15:sqref>
                  </c15:fullRef>
                </c:ext>
              </c:extLst>
              <c:f>Projections!$G$63:$O$63</c:f>
              <c:numCache>
                <c:formatCode>#,##0</c:formatCode>
                <c:ptCount val="9"/>
                <c:pt idx="0">
                  <c:v>1.3451133631054621E-2</c:v>
                </c:pt>
                <c:pt idx="1">
                  <c:v>2.6902267262109241E-2</c:v>
                </c:pt>
                <c:pt idx="2">
                  <c:v>5.3804534524218482E-2</c:v>
                </c:pt>
                <c:pt idx="3">
                  <c:v>0.10760906904843696</c:v>
                </c:pt>
                <c:pt idx="4">
                  <c:v>0.21521813809687393</c:v>
                </c:pt>
                <c:pt idx="5">
                  <c:v>0.43043627619374786</c:v>
                </c:pt>
                <c:pt idx="6">
                  <c:v>0.86087255238749572</c:v>
                </c:pt>
                <c:pt idx="7">
                  <c:v>1.7217451047749914</c:v>
                </c:pt>
                <c:pt idx="8">
                  <c:v>3.4434902095499829</c:v>
                </c:pt>
              </c:numCache>
            </c:numRef>
          </c:val>
          <c:smooth val="0"/>
          <c:extLst>
            <c:ext xmlns:c16="http://schemas.microsoft.com/office/drawing/2014/chart" uri="{C3380CC4-5D6E-409C-BE32-E72D297353CC}">
              <c16:uniqueId val="{00000006-FE50-482D-905D-7C3B099138E4}"/>
            </c:ext>
          </c:extLst>
        </c:ser>
        <c:ser>
          <c:idx val="15"/>
          <c:order val="7"/>
          <c:tx>
            <c:strRef>
              <c:f>Projections!$A$64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Projections!$G$65:$AA$65</c15:sqref>
                  </c15:fullRef>
                </c:ext>
              </c:extLst>
              <c:f>Projections!$G$65:$O$65</c:f>
              <c:numCache>
                <c:formatCode>#,##0</c:formatCode>
                <c:ptCount val="9"/>
                <c:pt idx="0">
                  <c:v>1.79276880796977E-3</c:v>
                </c:pt>
                <c:pt idx="1">
                  <c:v>3.58553761593954E-3</c:v>
                </c:pt>
                <c:pt idx="2">
                  <c:v>7.17107523187908E-3</c:v>
                </c:pt>
                <c:pt idx="3">
                  <c:v>1.434215046375816E-2</c:v>
                </c:pt>
                <c:pt idx="4">
                  <c:v>2.868430092751632E-2</c:v>
                </c:pt>
                <c:pt idx="5">
                  <c:v>5.736860185503264E-2</c:v>
                </c:pt>
                <c:pt idx="6">
                  <c:v>0.11473720371006528</c:v>
                </c:pt>
                <c:pt idx="7">
                  <c:v>0.22947440742013056</c:v>
                </c:pt>
                <c:pt idx="8">
                  <c:v>0.45894881484026112</c:v>
                </c:pt>
              </c:numCache>
            </c:numRef>
          </c:val>
          <c:smooth val="0"/>
          <c:extLst>
            <c:ext xmlns:c16="http://schemas.microsoft.com/office/drawing/2014/chart" uri="{C3380CC4-5D6E-409C-BE32-E72D297353CC}">
              <c16:uniqueId val="{00000007-FE50-482D-905D-7C3B099138E4}"/>
            </c:ext>
          </c:extLst>
        </c:ser>
        <c:ser>
          <c:idx val="17"/>
          <c:order val="8"/>
          <c:tx>
            <c:strRef>
              <c:f>Projections!$A$66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Projections!$G$67:$AA$67</c15:sqref>
                  </c15:fullRef>
                </c:ext>
              </c:extLst>
              <c:f>Projections!$G$67:$O$67</c:f>
              <c:numCache>
                <c:formatCode>#,##0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Projections!$G$79:$AA$79</c15:sqref>
                  </c15:fullRef>
                </c:ext>
              </c:extLst>
              <c:f>Projections!$G$79:$O$79</c:f>
              <c:numCache>
                <c:formatCode>#,##0</c:formatCode>
                <c:ptCount val="9"/>
                <c:pt idx="0">
                  <c:v>10.53125</c:v>
                </c:pt>
                <c:pt idx="1">
                  <c:v>21.0625</c:v>
                </c:pt>
                <c:pt idx="2">
                  <c:v>42.125</c:v>
                </c:pt>
                <c:pt idx="3">
                  <c:v>84.25</c:v>
                </c:pt>
                <c:pt idx="4">
                  <c:v>168.5</c:v>
                </c:pt>
                <c:pt idx="5">
                  <c:v>337</c:v>
                </c:pt>
                <c:pt idx="6">
                  <c:v>674</c:v>
                </c:pt>
                <c:pt idx="7">
                  <c:v>1348</c:v>
                </c:pt>
                <c:pt idx="8">
                  <c:v>2696</c:v>
                </c:pt>
              </c:numCache>
            </c:numRef>
          </c:val>
          <c:smooth val="0"/>
          <c:extLst>
            <c:ext xmlns:c16="http://schemas.microsoft.com/office/drawing/2014/chart" uri="{C3380CC4-5D6E-409C-BE32-E72D297353CC}">
              <c16:uniqueId val="{00000000-C5BA-4495-93D4-AC4CA8674604}"/>
            </c:ext>
          </c:extLst>
        </c:ser>
        <c:ser>
          <c:idx val="4"/>
          <c:order val="1"/>
          <c:tx>
            <c:strRef>
              <c:f>Projections!$A$77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Projections!$G$77:$AA$77</c15:sqref>
                  </c15:fullRef>
                </c:ext>
              </c:extLst>
              <c:f>Projections!$G$77:$O$77</c:f>
              <c:numCache>
                <c:formatCode>#,##0</c:formatCode>
                <c:ptCount val="9"/>
                <c:pt idx="0">
                  <c:v>9.6875</c:v>
                </c:pt>
                <c:pt idx="1">
                  <c:v>19.375</c:v>
                </c:pt>
                <c:pt idx="2">
                  <c:v>38.75</c:v>
                </c:pt>
                <c:pt idx="3">
                  <c:v>77.5</c:v>
                </c:pt>
                <c:pt idx="4">
                  <c:v>155</c:v>
                </c:pt>
                <c:pt idx="5">
                  <c:v>310</c:v>
                </c:pt>
                <c:pt idx="6">
                  <c:v>620</c:v>
                </c:pt>
                <c:pt idx="7">
                  <c:v>1240</c:v>
                </c:pt>
                <c:pt idx="8">
                  <c:v>2480</c:v>
                </c:pt>
              </c:numCache>
            </c:numRef>
          </c:val>
          <c:smooth val="0"/>
          <c:extLst>
            <c:ext xmlns:c16="http://schemas.microsoft.com/office/drawing/2014/chart" uri="{C3380CC4-5D6E-409C-BE32-E72D297353CC}">
              <c16:uniqueId val="{00000001-C5BA-4495-93D4-AC4CA8674604}"/>
            </c:ext>
          </c:extLst>
        </c:ser>
        <c:ser>
          <c:idx val="10"/>
          <c:order val="2"/>
          <c:tx>
            <c:strRef>
              <c:f>Projections!$A$83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Projections!$G$83:$AA$83</c15:sqref>
                  </c15:fullRef>
                </c:ext>
              </c:extLst>
              <c:f>Projections!$G$83:$O$83</c:f>
              <c:numCache>
                <c:formatCode>#,##0</c:formatCode>
                <c:ptCount val="9"/>
                <c:pt idx="0">
                  <c:v>5.03125</c:v>
                </c:pt>
                <c:pt idx="1">
                  <c:v>10.0625</c:v>
                </c:pt>
                <c:pt idx="2">
                  <c:v>20.125</c:v>
                </c:pt>
                <c:pt idx="3">
                  <c:v>40.25</c:v>
                </c:pt>
                <c:pt idx="4">
                  <c:v>80.5</c:v>
                </c:pt>
                <c:pt idx="5">
                  <c:v>161</c:v>
                </c:pt>
                <c:pt idx="6">
                  <c:v>322</c:v>
                </c:pt>
                <c:pt idx="7">
                  <c:v>644</c:v>
                </c:pt>
                <c:pt idx="8">
                  <c:v>1288</c:v>
                </c:pt>
              </c:numCache>
            </c:numRef>
          </c:val>
          <c:smooth val="0"/>
          <c:extLst>
            <c:ext xmlns:c16="http://schemas.microsoft.com/office/drawing/2014/chart" uri="{C3380CC4-5D6E-409C-BE32-E72D297353CC}">
              <c16:uniqueId val="{00000002-C5BA-4495-93D4-AC4CA8674604}"/>
            </c:ext>
          </c:extLst>
        </c:ser>
        <c:ser>
          <c:idx val="0"/>
          <c:order val="3"/>
          <c:tx>
            <c:strRef>
              <c:f>Projections!$A$73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Projections!$G$73:$AA$73</c15:sqref>
                  </c15:fullRef>
                </c:ext>
              </c:extLst>
              <c:f>Projections!$G$73:$O$73</c:f>
              <c:numCache>
                <c:formatCode>#,##0</c:formatCode>
                <c:ptCount val="9"/>
                <c:pt idx="0">
                  <c:v>1.5625</c:v>
                </c:pt>
                <c:pt idx="1">
                  <c:v>3.125</c:v>
                </c:pt>
                <c:pt idx="2">
                  <c:v>6.25</c:v>
                </c:pt>
                <c:pt idx="3">
                  <c:v>12.5</c:v>
                </c:pt>
                <c:pt idx="4">
                  <c:v>25</c:v>
                </c:pt>
                <c:pt idx="5">
                  <c:v>50</c:v>
                </c:pt>
                <c:pt idx="6">
                  <c:v>100</c:v>
                </c:pt>
                <c:pt idx="7">
                  <c:v>200</c:v>
                </c:pt>
                <c:pt idx="8">
                  <c:v>400</c:v>
                </c:pt>
              </c:numCache>
            </c:numRef>
          </c:val>
          <c:smooth val="0"/>
          <c:extLst>
            <c:ext xmlns:c16="http://schemas.microsoft.com/office/drawing/2014/chart" uri="{C3380CC4-5D6E-409C-BE32-E72D297353CC}">
              <c16:uniqueId val="{00000003-C5BA-4495-93D4-AC4CA8674604}"/>
            </c:ext>
          </c:extLst>
        </c:ser>
        <c:ser>
          <c:idx val="2"/>
          <c:order val="4"/>
          <c:tx>
            <c:strRef>
              <c:f>Projections!$A$75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Projections!$G$75:$AA$75</c15:sqref>
                  </c15:fullRef>
                </c:ext>
              </c:extLst>
              <c:f>Projections!$G$75:$O$75</c:f>
              <c:numCache>
                <c:formatCode>#,##0</c:formatCode>
                <c:ptCount val="9"/>
                <c:pt idx="0">
                  <c:v>1.4375</c:v>
                </c:pt>
                <c:pt idx="1">
                  <c:v>2.875</c:v>
                </c:pt>
                <c:pt idx="2">
                  <c:v>5.75</c:v>
                </c:pt>
                <c:pt idx="3">
                  <c:v>11.5</c:v>
                </c:pt>
                <c:pt idx="4">
                  <c:v>23</c:v>
                </c:pt>
                <c:pt idx="5">
                  <c:v>46</c:v>
                </c:pt>
                <c:pt idx="6">
                  <c:v>92</c:v>
                </c:pt>
                <c:pt idx="7">
                  <c:v>184</c:v>
                </c:pt>
                <c:pt idx="8">
                  <c:v>368</c:v>
                </c:pt>
              </c:numCache>
            </c:numRef>
          </c:val>
          <c:smooth val="0"/>
          <c:extLst>
            <c:ext xmlns:c16="http://schemas.microsoft.com/office/drawing/2014/chart" uri="{C3380CC4-5D6E-409C-BE32-E72D297353CC}">
              <c16:uniqueId val="{00000004-C5BA-4495-93D4-AC4CA8674604}"/>
            </c:ext>
          </c:extLst>
        </c:ser>
        <c:ser>
          <c:idx val="8"/>
          <c:order val="5"/>
          <c:tx>
            <c:strRef>
              <c:f>Projections!$A$81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Projections!$G$81:$AA$81</c15:sqref>
                  </c15:fullRef>
                </c:ext>
              </c:extLst>
              <c:f>Projections!$G$81:$O$81</c:f>
              <c:numCache>
                <c:formatCode>#,##0</c:formatCode>
                <c:ptCount val="9"/>
                <c:pt idx="0">
                  <c:v>0.46875</c:v>
                </c:pt>
                <c:pt idx="1">
                  <c:v>0.9375</c:v>
                </c:pt>
                <c:pt idx="2">
                  <c:v>1.875</c:v>
                </c:pt>
                <c:pt idx="3">
                  <c:v>3.75</c:v>
                </c:pt>
                <c:pt idx="4">
                  <c:v>7.5</c:v>
                </c:pt>
                <c:pt idx="5">
                  <c:v>15</c:v>
                </c:pt>
                <c:pt idx="6">
                  <c:v>30</c:v>
                </c:pt>
                <c:pt idx="7">
                  <c:v>60</c:v>
                </c:pt>
                <c:pt idx="8">
                  <c:v>120</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Projections!$G$80:$AA$80</c15:sqref>
                  </c15:fullRef>
                </c:ext>
              </c:extLst>
              <c:f>Projections!$G$80:$O$80</c:f>
              <c:numCache>
                <c:formatCode>#,##0</c:formatCode>
                <c:ptCount val="9"/>
                <c:pt idx="0">
                  <c:v>0.63187499999999996</c:v>
                </c:pt>
                <c:pt idx="1">
                  <c:v>1.2637499999999999</c:v>
                </c:pt>
                <c:pt idx="2">
                  <c:v>2.5274999999999999</c:v>
                </c:pt>
                <c:pt idx="3">
                  <c:v>5.0549999999999997</c:v>
                </c:pt>
                <c:pt idx="4">
                  <c:v>10.11</c:v>
                </c:pt>
                <c:pt idx="5">
                  <c:v>20.22</c:v>
                </c:pt>
                <c:pt idx="6">
                  <c:v>40.44</c:v>
                </c:pt>
                <c:pt idx="7">
                  <c:v>80.88</c:v>
                </c:pt>
                <c:pt idx="8">
                  <c:v>161.76</c:v>
                </c:pt>
              </c:numCache>
            </c:numRef>
          </c:val>
          <c:smooth val="0"/>
          <c:extLst>
            <c:ext xmlns:c16="http://schemas.microsoft.com/office/drawing/2014/chart" uri="{C3380CC4-5D6E-409C-BE32-E72D297353CC}">
              <c16:uniqueId val="{00000000-5E66-4AF0-A3CA-7CF12153AA8E}"/>
            </c:ext>
          </c:extLst>
        </c:ser>
        <c:ser>
          <c:idx val="5"/>
          <c:order val="1"/>
          <c:tx>
            <c:strRef>
              <c:f>Projections!$A$77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Projections!$G$78:$AA$78</c15:sqref>
                  </c15:fullRef>
                </c:ext>
              </c:extLst>
              <c:f>Projections!$G$78:$O$78</c:f>
              <c:numCache>
                <c:formatCode>#,##0</c:formatCode>
                <c:ptCount val="9"/>
                <c:pt idx="0">
                  <c:v>0.61031250000000004</c:v>
                </c:pt>
                <c:pt idx="1">
                  <c:v>1.2206250000000001</c:v>
                </c:pt>
                <c:pt idx="2">
                  <c:v>2.4412500000000001</c:v>
                </c:pt>
                <c:pt idx="3">
                  <c:v>4.8825000000000003</c:v>
                </c:pt>
                <c:pt idx="4">
                  <c:v>9.7650000000000006</c:v>
                </c:pt>
                <c:pt idx="5">
                  <c:v>19.53</c:v>
                </c:pt>
                <c:pt idx="6">
                  <c:v>39.06</c:v>
                </c:pt>
                <c:pt idx="7">
                  <c:v>78.12</c:v>
                </c:pt>
                <c:pt idx="8">
                  <c:v>156.24</c:v>
                </c:pt>
              </c:numCache>
            </c:numRef>
          </c:val>
          <c:smooth val="0"/>
          <c:extLst>
            <c:ext xmlns:c16="http://schemas.microsoft.com/office/drawing/2014/chart" uri="{C3380CC4-5D6E-409C-BE32-E72D297353CC}">
              <c16:uniqueId val="{00000001-5E66-4AF0-A3CA-7CF12153AA8E}"/>
            </c:ext>
          </c:extLst>
        </c:ser>
        <c:ser>
          <c:idx val="1"/>
          <c:order val="2"/>
          <c:tx>
            <c:strRef>
              <c:f>Projections!$A$73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Projections!$G$74:$AA$74</c15:sqref>
                  </c15:fullRef>
                </c:ext>
              </c:extLst>
              <c:f>Projections!$G$74:$O$74</c:f>
              <c:numCache>
                <c:formatCode>#,##0</c:formatCode>
                <c:ptCount val="9"/>
                <c:pt idx="0">
                  <c:v>0.1640625</c:v>
                </c:pt>
                <c:pt idx="1">
                  <c:v>0.328125</c:v>
                </c:pt>
                <c:pt idx="2">
                  <c:v>0.65625</c:v>
                </c:pt>
                <c:pt idx="3">
                  <c:v>1.3125</c:v>
                </c:pt>
                <c:pt idx="4">
                  <c:v>2.625</c:v>
                </c:pt>
                <c:pt idx="5">
                  <c:v>5.25</c:v>
                </c:pt>
                <c:pt idx="6">
                  <c:v>10.5</c:v>
                </c:pt>
                <c:pt idx="7">
                  <c:v>21</c:v>
                </c:pt>
                <c:pt idx="8">
                  <c:v>42</c:v>
                </c:pt>
              </c:numCache>
            </c:numRef>
          </c:val>
          <c:smooth val="0"/>
          <c:extLst>
            <c:ext xmlns:c16="http://schemas.microsoft.com/office/drawing/2014/chart" uri="{C3380CC4-5D6E-409C-BE32-E72D297353CC}">
              <c16:uniqueId val="{00000002-5E66-4AF0-A3CA-7CF12153AA8E}"/>
            </c:ext>
          </c:extLst>
        </c:ser>
        <c:ser>
          <c:idx val="3"/>
          <c:order val="3"/>
          <c:tx>
            <c:strRef>
              <c:f>Projections!$A$75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Projections!$G$76:$AA$76</c15:sqref>
                  </c15:fullRef>
                </c:ext>
              </c:extLst>
              <c:f>Projections!$G$76:$O$76</c:f>
              <c:numCache>
                <c:formatCode>#,##0</c:formatCode>
                <c:ptCount val="9"/>
                <c:pt idx="0">
                  <c:v>0.10493749999999999</c:v>
                </c:pt>
                <c:pt idx="1">
                  <c:v>0.20987499999999998</c:v>
                </c:pt>
                <c:pt idx="2">
                  <c:v>0.41974999999999996</c:v>
                </c:pt>
                <c:pt idx="3">
                  <c:v>0.83949999999999991</c:v>
                </c:pt>
                <c:pt idx="4">
                  <c:v>1.6789999999999998</c:v>
                </c:pt>
                <c:pt idx="5">
                  <c:v>3.3579999999999997</c:v>
                </c:pt>
                <c:pt idx="6">
                  <c:v>6.7159999999999993</c:v>
                </c:pt>
                <c:pt idx="7">
                  <c:v>13.431999999999999</c:v>
                </c:pt>
                <c:pt idx="8">
                  <c:v>26.863999999999997</c:v>
                </c:pt>
              </c:numCache>
            </c:numRef>
          </c:val>
          <c:smooth val="0"/>
          <c:extLst>
            <c:ext xmlns:c16="http://schemas.microsoft.com/office/drawing/2014/chart" uri="{C3380CC4-5D6E-409C-BE32-E72D297353CC}">
              <c16:uniqueId val="{00000003-5E66-4AF0-A3CA-7CF12153AA8E}"/>
            </c:ext>
          </c:extLst>
        </c:ser>
        <c:ser>
          <c:idx val="9"/>
          <c:order val="4"/>
          <c:tx>
            <c:strRef>
              <c:f>Projections!$A$81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Projections!$G$82:$AA$82</c15:sqref>
                  </c15:fullRef>
                </c:ext>
              </c:extLst>
              <c:f>Projections!$G$82:$O$82</c:f>
              <c:numCache>
                <c:formatCode>#,##0</c:formatCode>
                <c:ptCount val="9"/>
                <c:pt idx="0">
                  <c:v>2.6249999999999999E-2</c:v>
                </c:pt>
                <c:pt idx="1">
                  <c:v>5.2499999999999998E-2</c:v>
                </c:pt>
                <c:pt idx="2">
                  <c:v>0.105</c:v>
                </c:pt>
                <c:pt idx="3">
                  <c:v>0.21</c:v>
                </c:pt>
                <c:pt idx="4">
                  <c:v>0.42</c:v>
                </c:pt>
                <c:pt idx="5">
                  <c:v>0.84</c:v>
                </c:pt>
                <c:pt idx="6">
                  <c:v>1.68</c:v>
                </c:pt>
                <c:pt idx="7">
                  <c:v>3.36</c:v>
                </c:pt>
                <c:pt idx="8">
                  <c:v>6.72</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Projections!$G$18:$AA$18</c15:sqref>
                  </c15:fullRef>
                </c:ext>
              </c:extLst>
              <c:f>Projections!$G$18:$O$18</c:f>
              <c:numCache>
                <c:formatCode>#,##0_ ;[Red]\-#,##0\ </c:formatCode>
                <c:ptCount val="9"/>
                <c:pt idx="0">
                  <c:v>31.25</c:v>
                </c:pt>
                <c:pt idx="1">
                  <c:v>62.5</c:v>
                </c:pt>
                <c:pt idx="2">
                  <c:v>125</c:v>
                </c:pt>
                <c:pt idx="3">
                  <c:v>250</c:v>
                </c:pt>
                <c:pt idx="4">
                  <c:v>500</c:v>
                </c:pt>
                <c:pt idx="5">
                  <c:v>1000</c:v>
                </c:pt>
                <c:pt idx="6">
                  <c:v>2000</c:v>
                </c:pt>
                <c:pt idx="7">
                  <c:v>4000</c:v>
                </c:pt>
                <c:pt idx="8">
                  <c:v>8000</c:v>
                </c:pt>
              </c:numCache>
            </c:numRef>
          </c:val>
          <c:smooth val="0"/>
          <c:extLst>
            <c:ext xmlns:c16="http://schemas.microsoft.com/office/drawing/2014/chart" uri="{C3380CC4-5D6E-409C-BE32-E72D297353CC}">
              <c16:uniqueId val="{00000000-9DE3-43B6-B60B-9B4AA4851702}"/>
            </c:ext>
          </c:extLst>
        </c:ser>
        <c:ser>
          <c:idx val="1"/>
          <c:order val="1"/>
          <c:tx>
            <c:strRef>
              <c:f>Projections!$A$42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Projections!$G$42:$AA$42</c15:sqref>
                  </c15:fullRef>
                </c:ext>
              </c:extLst>
              <c:f>Projections!$G$42:$O$42</c:f>
              <c:numCache>
                <c:formatCode>General</c:formatCode>
                <c:ptCount val="9"/>
                <c:pt idx="0">
                  <c:v>33</c:v>
                </c:pt>
                <c:pt idx="1">
                  <c:v>63</c:v>
                </c:pt>
                <c:pt idx="2" formatCode="#,##0">
                  <c:v>116</c:v>
                </c:pt>
                <c:pt idx="3" formatCode="#,##0">
                  <c:v>248</c:v>
                </c:pt>
                <c:pt idx="4" formatCode="#,##0">
                  <c:v>596</c:v>
                </c:pt>
                <c:pt idx="5" formatCode="#,##0">
                  <c:v>1072</c:v>
                </c:pt>
                <c:pt idx="6" formatCode="#,##0">
                  <c:v>2317</c:v>
                </c:pt>
                <c:pt idx="7" formatCode="#,##0">
                  <c:v>4163</c:v>
                </c:pt>
                <c:pt idx="8" formatCode="#,##0">
                  <c:v>8000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Projections!$A$32</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Projections!$G$32:$AA$32</c15:sqref>
                  </c15:fullRef>
                </c:ext>
              </c:extLst>
              <c:f>Projections!$G$32:$O$32</c:f>
              <c:numCache>
                <c:formatCode>#,##0_ ;[Red]\-#,##0\ </c:formatCode>
                <c:ptCount val="9"/>
                <c:pt idx="0">
                  <c:v>0.15625</c:v>
                </c:pt>
                <c:pt idx="1">
                  <c:v>0.3125</c:v>
                </c:pt>
                <c:pt idx="2">
                  <c:v>0.625</c:v>
                </c:pt>
                <c:pt idx="3">
                  <c:v>1.25</c:v>
                </c:pt>
                <c:pt idx="4">
                  <c:v>2.5</c:v>
                </c:pt>
                <c:pt idx="5">
                  <c:v>5</c:v>
                </c:pt>
                <c:pt idx="6">
                  <c:v>10</c:v>
                </c:pt>
                <c:pt idx="7">
                  <c:v>20</c:v>
                </c:pt>
                <c:pt idx="8">
                  <c:v>40</c:v>
                </c:pt>
              </c:numCache>
            </c:numRef>
          </c:val>
          <c:smooth val="0"/>
          <c:extLst>
            <c:ext xmlns:c16="http://schemas.microsoft.com/office/drawing/2014/chart" uri="{C3380CC4-5D6E-409C-BE32-E72D297353CC}">
              <c16:uniqueId val="{00000000-FE1B-4946-A476-7952C5C71231}"/>
            </c:ext>
          </c:extLst>
        </c:ser>
        <c:ser>
          <c:idx val="1"/>
          <c:order val="1"/>
          <c:tx>
            <c:strRef>
              <c:f>Projections!$A$46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Projections!$G$46:$AA$46</c15:sqref>
                  </c15:fullRef>
                </c:ext>
              </c:extLst>
              <c:f>Projections!$G$46:$O$46</c:f>
              <c:numCache>
                <c:formatCode>General</c:formatCode>
                <c:ptCount val="9"/>
                <c:pt idx="0">
                  <c:v>1</c:v>
                </c:pt>
                <c:pt idx="1">
                  <c:v>2</c:v>
                </c:pt>
                <c:pt idx="2" formatCode="#,##0">
                  <c:v>3</c:v>
                </c:pt>
                <c:pt idx="3" formatCode="#,##0">
                  <c:v>5</c:v>
                </c:pt>
                <c:pt idx="4" formatCode="#,##0">
                  <c:v>6</c:v>
                </c:pt>
                <c:pt idx="5" formatCode="#,##0">
                  <c:v>7</c:v>
                </c:pt>
                <c:pt idx="6" formatCode="#,##0">
                  <c:v>8</c:v>
                </c:pt>
                <c:pt idx="7" formatCode="#,##0">
                  <c:v>16</c:v>
                </c:pt>
                <c:pt idx="8" formatCode="#,##0">
                  <c:v>61</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43894.680232638886</c:v>
                </c:pt>
                <c:pt idx="1">
                  <c:v>43897.680232638886</c:v>
                </c:pt>
                <c:pt idx="2">
                  <c:v>43900.680232638886</c:v>
                </c:pt>
                <c:pt idx="3">
                  <c:v>43903.680232638886</c:v>
                </c:pt>
                <c:pt idx="4">
                  <c:v>43906.680232638886</c:v>
                </c:pt>
                <c:pt idx="5">
                  <c:v>43909.680232638886</c:v>
                </c:pt>
                <c:pt idx="6">
                  <c:v>43912.680232638886</c:v>
                </c:pt>
                <c:pt idx="7">
                  <c:v>43915.680232638886</c:v>
                </c:pt>
                <c:pt idx="8">
                  <c:v>43918.680232638886</c:v>
                </c:pt>
                <c:pt idx="9">
                  <c:v>43921.680232638886</c:v>
                </c:pt>
                <c:pt idx="10">
                  <c:v>43924.680232638886</c:v>
                </c:pt>
                <c:pt idx="11">
                  <c:v>43927.680232638886</c:v>
                </c:pt>
                <c:pt idx="12">
                  <c:v>43930.680232638886</c:v>
                </c:pt>
                <c:pt idx="13">
                  <c:v>43933.680232638886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200</c:v>
                </c:pt>
                <c:pt idx="4">
                  <c:v>400</c:v>
                </c:pt>
                <c:pt idx="5">
                  <c:v>800</c:v>
                </c:pt>
                <c:pt idx="6">
                  <c:v>1600</c:v>
                </c:pt>
                <c:pt idx="7">
                  <c:v>3200</c:v>
                </c:pt>
                <c:pt idx="8">
                  <c:v>6400</c:v>
                </c:pt>
                <c:pt idx="9">
                  <c:v>12800</c:v>
                </c:pt>
                <c:pt idx="10">
                  <c:v>25600</c:v>
                </c:pt>
                <c:pt idx="11">
                  <c:v>51200</c:v>
                </c:pt>
                <c:pt idx="12">
                  <c:v>102400</c:v>
                </c:pt>
                <c:pt idx="13">
                  <c:v>204800</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43894.680232638886</c:v>
                </c:pt>
                <c:pt idx="1">
                  <c:v>43897.680232638886</c:v>
                </c:pt>
                <c:pt idx="2">
                  <c:v>43900.680232638886</c:v>
                </c:pt>
                <c:pt idx="3">
                  <c:v>43903.680232638886</c:v>
                </c:pt>
                <c:pt idx="4">
                  <c:v>43906.680232638886</c:v>
                </c:pt>
                <c:pt idx="5">
                  <c:v>43909.680232638886</c:v>
                </c:pt>
                <c:pt idx="6">
                  <c:v>43912.680232638886</c:v>
                </c:pt>
                <c:pt idx="7">
                  <c:v>43915.680232638886</c:v>
                </c:pt>
                <c:pt idx="8">
                  <c:v>43918.680232638886</c:v>
                </c:pt>
                <c:pt idx="9">
                  <c:v>43921.680232638886</c:v>
                </c:pt>
                <c:pt idx="10">
                  <c:v>43924.680232638886</c:v>
                </c:pt>
                <c:pt idx="11">
                  <c:v>43927.680232638886</c:v>
                </c:pt>
                <c:pt idx="12">
                  <c:v>43930.680232638886</c:v>
                </c:pt>
                <c:pt idx="13">
                  <c:v>43933.680232638886</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200</c:v>
                </c:pt>
                <c:pt idx="3">
                  <c:v>400</c:v>
                </c:pt>
                <c:pt idx="4">
                  <c:v>736</c:v>
                </c:pt>
                <c:pt idx="5">
                  <c:v>1472</c:v>
                </c:pt>
                <c:pt idx="6">
                  <c:v>2944</c:v>
                </c:pt>
                <c:pt idx="7">
                  <c:v>5704</c:v>
                </c:pt>
                <c:pt idx="8">
                  <c:v>11408</c:v>
                </c:pt>
                <c:pt idx="9">
                  <c:v>22816</c:v>
                </c:pt>
                <c:pt idx="10">
                  <c:v>45632</c:v>
                </c:pt>
                <c:pt idx="11">
                  <c:v>91264</c:v>
                </c:pt>
                <c:pt idx="12">
                  <c:v>182712</c:v>
                </c:pt>
                <c:pt idx="13">
                  <c:v>365424</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43894.680232638886</c:v>
                </c:pt>
                <c:pt idx="1">
                  <c:v>43897.680232638886</c:v>
                </c:pt>
                <c:pt idx="2">
                  <c:v>43900.680232638886</c:v>
                </c:pt>
                <c:pt idx="3">
                  <c:v>43903.680232638886</c:v>
                </c:pt>
                <c:pt idx="4">
                  <c:v>43906.680232638886</c:v>
                </c:pt>
                <c:pt idx="5">
                  <c:v>43909.680232638886</c:v>
                </c:pt>
                <c:pt idx="6">
                  <c:v>43912.680232638886</c:v>
                </c:pt>
                <c:pt idx="7">
                  <c:v>43915.680232638886</c:v>
                </c:pt>
                <c:pt idx="8">
                  <c:v>43918.680232638886</c:v>
                </c:pt>
                <c:pt idx="9">
                  <c:v>43921.680232638886</c:v>
                </c:pt>
                <c:pt idx="10">
                  <c:v>43924.680232638886</c:v>
                </c:pt>
                <c:pt idx="11">
                  <c:v>43927.680232638886</c:v>
                </c:pt>
                <c:pt idx="12">
                  <c:v>43930.680232638886</c:v>
                </c:pt>
                <c:pt idx="13">
                  <c:v>43933.680232638886</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64</c:v>
                </c:pt>
                <c:pt idx="5">
                  <c:v>128</c:v>
                </c:pt>
                <c:pt idx="6">
                  <c:v>160</c:v>
                </c:pt>
                <c:pt idx="7">
                  <c:v>320</c:v>
                </c:pt>
                <c:pt idx="8">
                  <c:v>640</c:v>
                </c:pt>
                <c:pt idx="9">
                  <c:v>1280</c:v>
                </c:pt>
                <c:pt idx="10">
                  <c:v>2560</c:v>
                </c:pt>
                <c:pt idx="11">
                  <c:v>5120</c:v>
                </c:pt>
                <c:pt idx="12">
                  <c:v>10240</c:v>
                </c:pt>
                <c:pt idx="13">
                  <c:v>20480</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43894.680232638886</c:v>
                </c:pt>
                <c:pt idx="1">
                  <c:v>43897.680232638886</c:v>
                </c:pt>
                <c:pt idx="2">
                  <c:v>43900.680232638886</c:v>
                </c:pt>
                <c:pt idx="3">
                  <c:v>43903.680232638886</c:v>
                </c:pt>
                <c:pt idx="4">
                  <c:v>43906.680232638886</c:v>
                </c:pt>
                <c:pt idx="5">
                  <c:v>43909.680232638886</c:v>
                </c:pt>
                <c:pt idx="6">
                  <c:v>43912.680232638886</c:v>
                </c:pt>
                <c:pt idx="7">
                  <c:v>43915.680232638886</c:v>
                </c:pt>
                <c:pt idx="8">
                  <c:v>43918.680232638886</c:v>
                </c:pt>
                <c:pt idx="9">
                  <c:v>43921.680232638886</c:v>
                </c:pt>
                <c:pt idx="10">
                  <c:v>43924.680232638886</c:v>
                </c:pt>
                <c:pt idx="11">
                  <c:v>43927.680232638886</c:v>
                </c:pt>
                <c:pt idx="12">
                  <c:v>43930.680232638886</c:v>
                </c:pt>
                <c:pt idx="13">
                  <c:v>43933.680232638886</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96</c:v>
                </c:pt>
                <c:pt idx="7">
                  <c:v>192</c:v>
                </c:pt>
                <c:pt idx="8">
                  <c:v>384</c:v>
                </c:pt>
                <c:pt idx="9">
                  <c:v>768</c:v>
                </c:pt>
                <c:pt idx="10">
                  <c:v>1536</c:v>
                </c:pt>
                <c:pt idx="11">
                  <c:v>3072</c:v>
                </c:pt>
                <c:pt idx="12">
                  <c:v>6144</c:v>
                </c:pt>
                <c:pt idx="13">
                  <c:v>12288</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43894.680232638886</c:v>
                </c:pt>
                <c:pt idx="1">
                  <c:v>43897.680232638886</c:v>
                </c:pt>
                <c:pt idx="2">
                  <c:v>43900.680232638886</c:v>
                </c:pt>
                <c:pt idx="3">
                  <c:v>43903.680232638886</c:v>
                </c:pt>
                <c:pt idx="4">
                  <c:v>43906.680232638886</c:v>
                </c:pt>
                <c:pt idx="5">
                  <c:v>43909.680232638886</c:v>
                </c:pt>
                <c:pt idx="6">
                  <c:v>43912.680232638886</c:v>
                </c:pt>
                <c:pt idx="7">
                  <c:v>43915.680232638886</c:v>
                </c:pt>
                <c:pt idx="8">
                  <c:v>43918.680232638886</c:v>
                </c:pt>
                <c:pt idx="9">
                  <c:v>43921.680232638886</c:v>
                </c:pt>
                <c:pt idx="10">
                  <c:v>43924.680232638886</c:v>
                </c:pt>
                <c:pt idx="11">
                  <c:v>43927.680232638886</c:v>
                </c:pt>
                <c:pt idx="12">
                  <c:v>43930.680232638886</c:v>
                </c:pt>
                <c:pt idx="13">
                  <c:v>43933.680232638886</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246.91358024691357</c:v>
                </c:pt>
                <c:pt idx="1">
                  <c:v>493.82716049382714</c:v>
                </c:pt>
                <c:pt idx="2">
                  <c:v>987.65432098765427</c:v>
                </c:pt>
                <c:pt idx="3">
                  <c:v>1975.3086419753085</c:v>
                </c:pt>
                <c:pt idx="4">
                  <c:v>3950.6172839506171</c:v>
                </c:pt>
                <c:pt idx="5">
                  <c:v>7901.2345679012342</c:v>
                </c:pt>
                <c:pt idx="6">
                  <c:v>15802.469135802468</c:v>
                </c:pt>
                <c:pt idx="7">
                  <c:v>31604.938271604937</c:v>
                </c:pt>
                <c:pt idx="8">
                  <c:v>63209.876543209873</c:v>
                </c:pt>
                <c:pt idx="9">
                  <c:v>126419.75308641975</c:v>
                </c:pt>
                <c:pt idx="10">
                  <c:v>252839.50617283949</c:v>
                </c:pt>
                <c:pt idx="11">
                  <c:v>505679.01234567899</c:v>
                </c:pt>
                <c:pt idx="12">
                  <c:v>1011358.024691358</c:v>
                </c:pt>
                <c:pt idx="13">
                  <c:v>2022716.049382716</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43894.680232638886</c:v>
                </c:pt>
                <c:pt idx="1">
                  <c:v>43897.680232638886</c:v>
                </c:pt>
                <c:pt idx="2">
                  <c:v>43900.680232638886</c:v>
                </c:pt>
                <c:pt idx="3">
                  <c:v>43903.680232638886</c:v>
                </c:pt>
                <c:pt idx="4">
                  <c:v>43906.680232638886</c:v>
                </c:pt>
                <c:pt idx="5">
                  <c:v>43909.680232638886</c:v>
                </c:pt>
                <c:pt idx="6">
                  <c:v>43912.680232638886</c:v>
                </c:pt>
                <c:pt idx="7">
                  <c:v>43915.680232638886</c:v>
                </c:pt>
                <c:pt idx="8">
                  <c:v>43918.680232638886</c:v>
                </c:pt>
                <c:pt idx="9">
                  <c:v>43921.680232638886</c:v>
                </c:pt>
                <c:pt idx="10">
                  <c:v>43924.680232638886</c:v>
                </c:pt>
                <c:pt idx="11">
                  <c:v>43927.680232638886</c:v>
                </c:pt>
                <c:pt idx="12">
                  <c:v>43930.680232638886</c:v>
                </c:pt>
                <c:pt idx="13">
                  <c:v>43933.680232638886</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46.913580246913568</c:v>
                </c:pt>
                <c:pt idx="1">
                  <c:v>93.827160493827137</c:v>
                </c:pt>
                <c:pt idx="2">
                  <c:v>187.65432098765427</c:v>
                </c:pt>
                <c:pt idx="3">
                  <c:v>375.30864197530855</c:v>
                </c:pt>
                <c:pt idx="4">
                  <c:v>750.61728395061709</c:v>
                </c:pt>
                <c:pt idx="5">
                  <c:v>1501.2345679012342</c:v>
                </c:pt>
                <c:pt idx="6">
                  <c:v>3002.4691358024684</c:v>
                </c:pt>
                <c:pt idx="7">
                  <c:v>6004.9382716049367</c:v>
                </c:pt>
                <c:pt idx="8">
                  <c:v>12009.876543209873</c:v>
                </c:pt>
                <c:pt idx="9">
                  <c:v>24019.753086419747</c:v>
                </c:pt>
                <c:pt idx="10">
                  <c:v>48039.506172839494</c:v>
                </c:pt>
                <c:pt idx="11">
                  <c:v>96079.012345678988</c:v>
                </c:pt>
                <c:pt idx="12">
                  <c:v>192158.02469135798</c:v>
                </c:pt>
                <c:pt idx="13">
                  <c:v>384316.04938271595</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43894.680232638886</c:v>
                </c:pt>
                <c:pt idx="1">
                  <c:v>43897.680232638886</c:v>
                </c:pt>
                <c:pt idx="2">
                  <c:v>43900.680232638886</c:v>
                </c:pt>
                <c:pt idx="3">
                  <c:v>43903.680232638886</c:v>
                </c:pt>
                <c:pt idx="4">
                  <c:v>43906.680232638886</c:v>
                </c:pt>
                <c:pt idx="5">
                  <c:v>43909.680232638886</c:v>
                </c:pt>
                <c:pt idx="6">
                  <c:v>43912.680232638886</c:v>
                </c:pt>
                <c:pt idx="7">
                  <c:v>43915.680232638886</c:v>
                </c:pt>
                <c:pt idx="8">
                  <c:v>43918.680232638886</c:v>
                </c:pt>
                <c:pt idx="9">
                  <c:v>43921.680232638886</c:v>
                </c:pt>
                <c:pt idx="10">
                  <c:v>43924.680232638886</c:v>
                </c:pt>
                <c:pt idx="11">
                  <c:v>43927.680232638886</c:v>
                </c:pt>
                <c:pt idx="12">
                  <c:v>43930.680232638886</c:v>
                </c:pt>
                <c:pt idx="13">
                  <c:v>43933.680232638886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200</c:v>
                </c:pt>
                <c:pt idx="4">
                  <c:v>400</c:v>
                </c:pt>
                <c:pt idx="5">
                  <c:v>800</c:v>
                </c:pt>
                <c:pt idx="6">
                  <c:v>1600</c:v>
                </c:pt>
                <c:pt idx="7">
                  <c:v>3200</c:v>
                </c:pt>
                <c:pt idx="8">
                  <c:v>6400</c:v>
                </c:pt>
                <c:pt idx="9">
                  <c:v>12800</c:v>
                </c:pt>
                <c:pt idx="10">
                  <c:v>25600</c:v>
                </c:pt>
                <c:pt idx="11">
                  <c:v>51200</c:v>
                </c:pt>
                <c:pt idx="12">
                  <c:v>102400</c:v>
                </c:pt>
                <c:pt idx="13">
                  <c:v>204800</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43894.680232638886</c:v>
                </c:pt>
                <c:pt idx="1">
                  <c:v>43897.680232638886</c:v>
                </c:pt>
                <c:pt idx="2">
                  <c:v>43900.680232638886</c:v>
                </c:pt>
                <c:pt idx="3">
                  <c:v>43903.680232638886</c:v>
                </c:pt>
                <c:pt idx="4">
                  <c:v>43906.680232638886</c:v>
                </c:pt>
                <c:pt idx="5">
                  <c:v>43909.680232638886</c:v>
                </c:pt>
                <c:pt idx="6">
                  <c:v>43912.680232638886</c:v>
                </c:pt>
                <c:pt idx="7">
                  <c:v>43915.680232638886</c:v>
                </c:pt>
                <c:pt idx="8">
                  <c:v>43918.680232638886</c:v>
                </c:pt>
                <c:pt idx="9">
                  <c:v>43921.680232638886</c:v>
                </c:pt>
                <c:pt idx="10">
                  <c:v>43924.680232638886</c:v>
                </c:pt>
                <c:pt idx="11">
                  <c:v>43927.680232638886</c:v>
                </c:pt>
                <c:pt idx="12">
                  <c:v>43930.680232638886</c:v>
                </c:pt>
                <c:pt idx="13">
                  <c:v>43933.680232638886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200</c:v>
                </c:pt>
                <c:pt idx="4">
                  <c:v>400</c:v>
                </c:pt>
                <c:pt idx="5">
                  <c:v>800</c:v>
                </c:pt>
                <c:pt idx="6">
                  <c:v>1600</c:v>
                </c:pt>
                <c:pt idx="7">
                  <c:v>3200</c:v>
                </c:pt>
                <c:pt idx="8">
                  <c:v>6400</c:v>
                </c:pt>
                <c:pt idx="9">
                  <c:v>12800</c:v>
                </c:pt>
                <c:pt idx="10">
                  <c:v>25600</c:v>
                </c:pt>
                <c:pt idx="11">
                  <c:v>51200</c:v>
                </c:pt>
                <c:pt idx="12">
                  <c:v>102400</c:v>
                </c:pt>
                <c:pt idx="13">
                  <c:v>204800</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43894.680232638886</c:v>
                </c:pt>
                <c:pt idx="1">
                  <c:v>43897.680232638886</c:v>
                </c:pt>
                <c:pt idx="2">
                  <c:v>43900.680232638886</c:v>
                </c:pt>
                <c:pt idx="3">
                  <c:v>43903.680232638886</c:v>
                </c:pt>
                <c:pt idx="4">
                  <c:v>43906.680232638886</c:v>
                </c:pt>
                <c:pt idx="5">
                  <c:v>43909.680232638886</c:v>
                </c:pt>
                <c:pt idx="6">
                  <c:v>43912.680232638886</c:v>
                </c:pt>
                <c:pt idx="7">
                  <c:v>43915.680232638886</c:v>
                </c:pt>
                <c:pt idx="8">
                  <c:v>43918.680232638886</c:v>
                </c:pt>
                <c:pt idx="9">
                  <c:v>43921.680232638886</c:v>
                </c:pt>
                <c:pt idx="10">
                  <c:v>43924.680232638886</c:v>
                </c:pt>
                <c:pt idx="11">
                  <c:v>43927.680232638886</c:v>
                </c:pt>
                <c:pt idx="12">
                  <c:v>43930.680232638886</c:v>
                </c:pt>
                <c:pt idx="13">
                  <c:v>43933.680232638886</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200</c:v>
                </c:pt>
                <c:pt idx="3">
                  <c:v>400</c:v>
                </c:pt>
                <c:pt idx="4">
                  <c:v>736</c:v>
                </c:pt>
                <c:pt idx="5">
                  <c:v>1472</c:v>
                </c:pt>
                <c:pt idx="6">
                  <c:v>2944</c:v>
                </c:pt>
                <c:pt idx="7">
                  <c:v>5704</c:v>
                </c:pt>
                <c:pt idx="8">
                  <c:v>11408</c:v>
                </c:pt>
                <c:pt idx="9">
                  <c:v>22816</c:v>
                </c:pt>
                <c:pt idx="10">
                  <c:v>45632</c:v>
                </c:pt>
                <c:pt idx="11">
                  <c:v>91264</c:v>
                </c:pt>
                <c:pt idx="12">
                  <c:v>182712</c:v>
                </c:pt>
                <c:pt idx="13">
                  <c:v>365424</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43894.680232638886</c:v>
                </c:pt>
                <c:pt idx="1">
                  <c:v>43897.680232638886</c:v>
                </c:pt>
                <c:pt idx="2">
                  <c:v>43900.680232638886</c:v>
                </c:pt>
                <c:pt idx="3">
                  <c:v>43903.680232638886</c:v>
                </c:pt>
                <c:pt idx="4">
                  <c:v>43906.680232638886</c:v>
                </c:pt>
                <c:pt idx="5">
                  <c:v>43909.680232638886</c:v>
                </c:pt>
                <c:pt idx="6">
                  <c:v>43912.680232638886</c:v>
                </c:pt>
                <c:pt idx="7">
                  <c:v>43915.680232638886</c:v>
                </c:pt>
                <c:pt idx="8">
                  <c:v>43918.680232638886</c:v>
                </c:pt>
                <c:pt idx="9">
                  <c:v>43921.680232638886</c:v>
                </c:pt>
                <c:pt idx="10">
                  <c:v>43924.680232638886</c:v>
                </c:pt>
                <c:pt idx="11">
                  <c:v>43927.680232638886</c:v>
                </c:pt>
                <c:pt idx="12">
                  <c:v>43930.680232638886</c:v>
                </c:pt>
                <c:pt idx="13">
                  <c:v>43933.680232638886</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64</c:v>
                </c:pt>
                <c:pt idx="5">
                  <c:v>128</c:v>
                </c:pt>
                <c:pt idx="6">
                  <c:v>160</c:v>
                </c:pt>
                <c:pt idx="7">
                  <c:v>320</c:v>
                </c:pt>
                <c:pt idx="8">
                  <c:v>640</c:v>
                </c:pt>
                <c:pt idx="9">
                  <c:v>1280</c:v>
                </c:pt>
                <c:pt idx="10">
                  <c:v>2560</c:v>
                </c:pt>
                <c:pt idx="11">
                  <c:v>5120</c:v>
                </c:pt>
                <c:pt idx="12">
                  <c:v>10240</c:v>
                </c:pt>
                <c:pt idx="13">
                  <c:v>20480</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43894.680232638886</c:v>
                </c:pt>
                <c:pt idx="1">
                  <c:v>43897.680232638886</c:v>
                </c:pt>
                <c:pt idx="2">
                  <c:v>43900.680232638886</c:v>
                </c:pt>
                <c:pt idx="3">
                  <c:v>43903.680232638886</c:v>
                </c:pt>
                <c:pt idx="4">
                  <c:v>43906.680232638886</c:v>
                </c:pt>
                <c:pt idx="5">
                  <c:v>43909.680232638886</c:v>
                </c:pt>
                <c:pt idx="6">
                  <c:v>43912.680232638886</c:v>
                </c:pt>
                <c:pt idx="7">
                  <c:v>43915.680232638886</c:v>
                </c:pt>
                <c:pt idx="8">
                  <c:v>43918.680232638886</c:v>
                </c:pt>
                <c:pt idx="9">
                  <c:v>43921.680232638886</c:v>
                </c:pt>
                <c:pt idx="10">
                  <c:v>43924.680232638886</c:v>
                </c:pt>
                <c:pt idx="11">
                  <c:v>43927.680232638886</c:v>
                </c:pt>
                <c:pt idx="12">
                  <c:v>43930.680232638886</c:v>
                </c:pt>
                <c:pt idx="13">
                  <c:v>43933.680232638886</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96</c:v>
                </c:pt>
                <c:pt idx="7">
                  <c:v>192</c:v>
                </c:pt>
                <c:pt idx="8">
                  <c:v>384</c:v>
                </c:pt>
                <c:pt idx="9">
                  <c:v>768</c:v>
                </c:pt>
                <c:pt idx="10">
                  <c:v>1536</c:v>
                </c:pt>
                <c:pt idx="11">
                  <c:v>3072</c:v>
                </c:pt>
                <c:pt idx="12">
                  <c:v>6144</c:v>
                </c:pt>
                <c:pt idx="13">
                  <c:v>12288</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Projections!$A$28</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Projections!$G$28:$AA$28</c15:sqref>
                  </c15:fullRef>
                </c:ext>
              </c:extLst>
              <c:f>Projections!$G$28:$O$28</c:f>
              <c:numCache>
                <c:formatCode>#,##0_ ;[Red]\-#,##0\ </c:formatCode>
                <c:ptCount val="9"/>
                <c:pt idx="0">
                  <c:v>1.3624403770173663</c:v>
                </c:pt>
                <c:pt idx="1">
                  <c:v>1.9882966234408881</c:v>
                </c:pt>
                <c:pt idx="2">
                  <c:v>2.7477734693782825</c:v>
                </c:pt>
                <c:pt idx="3">
                  <c:v>5.6101344648732603</c:v>
                </c:pt>
                <c:pt idx="4">
                  <c:v>10.283171151388096</c:v>
                </c:pt>
                <c:pt idx="5">
                  <c:v>18.787878787878775</c:v>
                </c:pt>
                <c:pt idx="6">
                  <c:v>31.107290494170176</c:v>
                </c:pt>
                <c:pt idx="7">
                  <c:v>97.540056745390302</c:v>
                </c:pt>
                <c:pt idx="8">
                  <c:v>116570.84490517293</c:v>
                </c:pt>
              </c:numCache>
            </c:numRef>
          </c:val>
          <c:smooth val="0"/>
          <c:extLst>
            <c:ext xmlns:c16="http://schemas.microsoft.com/office/drawing/2014/chart" uri="{C3380CC4-5D6E-409C-BE32-E72D297353CC}">
              <c16:uniqueId val="{00000003-5231-4BE2-97ED-54F0C3DB105C}"/>
            </c:ext>
          </c:extLst>
        </c:ser>
        <c:ser>
          <c:idx val="2"/>
          <c:order val="1"/>
          <c:tx>
            <c:strRef>
              <c:f>Projections!$A$29</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Projections!$G$29:$AA$29</c15:sqref>
                  </c15:fullRef>
                </c:ext>
              </c:extLst>
              <c:f>Projections!$G$29:$O$29</c:f>
              <c:numCache>
                <c:formatCode>#,##0_ ;[Red]\-#,##0\ </c:formatCode>
                <c:ptCount val="9"/>
                <c:pt idx="0">
                  <c:v>1.3624403770173663</c:v>
                </c:pt>
                <c:pt idx="1">
                  <c:v>1.9882966234408881</c:v>
                </c:pt>
                <c:pt idx="2">
                  <c:v>2.7477734693782825</c:v>
                </c:pt>
                <c:pt idx="3">
                  <c:v>5.6101344648732603</c:v>
                </c:pt>
                <c:pt idx="4">
                  <c:v>9.1506322955352211</c:v>
                </c:pt>
                <c:pt idx="5">
                  <c:v>16.684078363551301</c:v>
                </c:pt>
                <c:pt idx="6">
                  <c:v>27.811835948715633</c:v>
                </c:pt>
                <c:pt idx="7">
                  <c:v>89.205090812551802</c:v>
                </c:pt>
                <c:pt idx="8">
                  <c:v>104192.36638629014</c:v>
                </c:pt>
              </c:numCache>
            </c:numRef>
          </c:val>
          <c:smooth val="0"/>
          <c:extLst>
            <c:ext xmlns:c16="http://schemas.microsoft.com/office/drawing/2014/chart" uri="{C3380CC4-5D6E-409C-BE32-E72D297353CC}">
              <c16:uniqueId val="{00000002-9381-4A4E-BB43-DCD8EC2F4E00}"/>
            </c:ext>
          </c:extLst>
        </c:ser>
        <c:ser>
          <c:idx val="0"/>
          <c:order val="2"/>
          <c:tx>
            <c:strRef>
              <c:f>Projections!$A$30</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Projections!$G$30:$AA$30</c15:sqref>
                  </c15:fullRef>
                </c:ext>
              </c:extLst>
              <c:f>Projections!$G$30:$O$30</c:f>
              <c:numCache>
                <c:formatCode>#,##0_ ;[Red]\-#,##0\ </c:formatCode>
                <c:ptCount val="9"/>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12472.266618632359</c:v>
                </c:pt>
              </c:numCache>
            </c:numRef>
          </c:val>
          <c:smooth val="0"/>
          <c:extLst>
            <c:ext xmlns:c16="http://schemas.microsoft.com/office/drawing/2014/chart" uri="{C3380CC4-5D6E-409C-BE32-E72D297353CC}">
              <c16:uniqueId val="{00000000-9381-4A4E-BB43-DCD8EC2F4E00}"/>
            </c:ext>
          </c:extLst>
        </c:ser>
        <c:ser>
          <c:idx val="4"/>
          <c:order val="3"/>
          <c:tx>
            <c:strRef>
              <c:f>Projections!$A$31</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Projections!$G$31:$AA$31</c15:sqref>
                  </c15:fullRef>
                </c:ext>
              </c:extLst>
              <c:f>Projections!$G$31:$O$31</c:f>
              <c:numCache>
                <c:formatCode>#,##0_ ;[Red]\-#,##0\ </c:formatCode>
                <c:ptCount val="9"/>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12182.587020909108</c:v>
                </c:pt>
              </c:numCache>
            </c:numRef>
          </c:val>
          <c:smooth val="0"/>
          <c:extLst>
            <c:ext xmlns:c16="http://schemas.microsoft.com/office/drawing/2014/chart" uri="{C3380CC4-5D6E-409C-BE32-E72D297353CC}">
              <c16:uniqueId val="{00000003-9381-4A4E-BB43-DCD8EC2F4E00}"/>
            </c:ext>
          </c:extLst>
        </c:ser>
        <c:ser>
          <c:idx val="1"/>
          <c:order val="4"/>
          <c:tx>
            <c:strRef>
              <c:f>Projections!$A$32</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Projections!$G$32:$AA$32</c15:sqref>
                  </c15:fullRef>
                </c:ext>
              </c:extLst>
              <c:f>Projections!$G$32:$O$32</c:f>
              <c:numCache>
                <c:formatCode>#,##0_ ;[Red]\-#,##0\ </c:formatCode>
                <c:ptCount val="9"/>
                <c:pt idx="0">
                  <c:v>0.15625</c:v>
                </c:pt>
                <c:pt idx="1">
                  <c:v>0.3125</c:v>
                </c:pt>
                <c:pt idx="2">
                  <c:v>0.625</c:v>
                </c:pt>
                <c:pt idx="3">
                  <c:v>1.25</c:v>
                </c:pt>
                <c:pt idx="4">
                  <c:v>2.5</c:v>
                </c:pt>
                <c:pt idx="5">
                  <c:v>5</c:v>
                </c:pt>
                <c:pt idx="6">
                  <c:v>10</c:v>
                </c:pt>
                <c:pt idx="7">
                  <c:v>20</c:v>
                </c:pt>
                <c:pt idx="8">
                  <c:v>40</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Projections!$G$50:$AA$50</c15:sqref>
                  </c15:fullRef>
                </c:ext>
              </c:extLst>
              <c:f>Projections!$G$50:$O$50</c:f>
              <c:numCache>
                <c:formatCode>#,##0</c:formatCode>
                <c:ptCount val="9"/>
                <c:pt idx="0">
                  <c:v>0.90175197526623152</c:v>
                </c:pt>
                <c:pt idx="1">
                  <c:v>1.803503950532463</c:v>
                </c:pt>
                <c:pt idx="2">
                  <c:v>3.6070079010649261</c:v>
                </c:pt>
                <c:pt idx="3">
                  <c:v>7.2140158021298522</c:v>
                </c:pt>
                <c:pt idx="4">
                  <c:v>14.428031604259704</c:v>
                </c:pt>
                <c:pt idx="5">
                  <c:v>28.856063208519409</c:v>
                </c:pt>
                <c:pt idx="6">
                  <c:v>57.712126417038817</c:v>
                </c:pt>
                <c:pt idx="7">
                  <c:v>115.42425283407763</c:v>
                </c:pt>
                <c:pt idx="8">
                  <c:v>230.84850566815527</c:v>
                </c:pt>
              </c:numCache>
            </c:numRef>
          </c:val>
          <c:smooth val="0"/>
          <c:extLst>
            <c:ext xmlns:c16="http://schemas.microsoft.com/office/drawing/2014/chart" uri="{C3380CC4-5D6E-409C-BE32-E72D297353CC}">
              <c16:uniqueId val="{00000000-04B6-450D-AD81-6BF382C059D1}"/>
            </c:ext>
          </c:extLst>
        </c:ser>
        <c:ser>
          <c:idx val="2"/>
          <c:order val="1"/>
          <c:tx>
            <c:strRef>
              <c:f>Projections!$A$52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Projections!$G$52:$AA$52</c15:sqref>
                  </c15:fullRef>
                </c:ext>
              </c:extLst>
              <c:f>Projections!$G$52:$O$52</c:f>
              <c:numCache>
                <c:formatCode>#,##0</c:formatCode>
                <c:ptCount val="9"/>
                <c:pt idx="0">
                  <c:v>3.3439969082789416</c:v>
                </c:pt>
                <c:pt idx="1">
                  <c:v>6.6879938165578832</c:v>
                </c:pt>
                <c:pt idx="2">
                  <c:v>13.375987633115766</c:v>
                </c:pt>
                <c:pt idx="3">
                  <c:v>26.751975266231533</c:v>
                </c:pt>
                <c:pt idx="4">
                  <c:v>53.503950532463065</c:v>
                </c:pt>
                <c:pt idx="5">
                  <c:v>107.00790106492613</c:v>
                </c:pt>
                <c:pt idx="6">
                  <c:v>214.01580212985226</c:v>
                </c:pt>
                <c:pt idx="7">
                  <c:v>428.03160425970452</c:v>
                </c:pt>
                <c:pt idx="8">
                  <c:v>856.06320851940905</c:v>
                </c:pt>
              </c:numCache>
            </c:numRef>
          </c:val>
          <c:smooth val="0"/>
          <c:extLst>
            <c:ext xmlns:c16="http://schemas.microsoft.com/office/drawing/2014/chart" uri="{C3380CC4-5D6E-409C-BE32-E72D297353CC}">
              <c16:uniqueId val="{00000002-04B6-450D-AD81-6BF382C059D1}"/>
            </c:ext>
          </c:extLst>
        </c:ser>
        <c:ser>
          <c:idx val="4"/>
          <c:order val="2"/>
          <c:tx>
            <c:strRef>
              <c:f>Projections!$A$54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Projections!$G$54:$AA$54</c15:sqref>
                  </c15:fullRef>
                </c:ext>
              </c:extLst>
              <c:f>Projections!$G$54:$O$54</c:f>
              <c:numCache>
                <c:formatCode>#,##0</c:formatCode>
                <c:ptCount val="9"/>
                <c:pt idx="0">
                  <c:v>5.2602198557196846</c:v>
                </c:pt>
                <c:pt idx="1">
                  <c:v>10.520439711439369</c:v>
                </c:pt>
                <c:pt idx="2">
                  <c:v>21.040879422878739</c:v>
                </c:pt>
                <c:pt idx="3">
                  <c:v>42.081758845757477</c:v>
                </c:pt>
                <c:pt idx="4">
                  <c:v>84.163517691514954</c:v>
                </c:pt>
                <c:pt idx="5">
                  <c:v>168.32703538302991</c:v>
                </c:pt>
                <c:pt idx="6">
                  <c:v>336.65407076605982</c:v>
                </c:pt>
                <c:pt idx="7">
                  <c:v>673.30814153211963</c:v>
                </c:pt>
                <c:pt idx="8">
                  <c:v>1346.6162830642393</c:v>
                </c:pt>
              </c:numCache>
            </c:numRef>
          </c:val>
          <c:smooth val="0"/>
          <c:extLst>
            <c:ext xmlns:c16="http://schemas.microsoft.com/office/drawing/2014/chart" uri="{C3380CC4-5D6E-409C-BE32-E72D297353CC}">
              <c16:uniqueId val="{00000004-04B6-450D-AD81-6BF382C059D1}"/>
            </c:ext>
          </c:extLst>
        </c:ser>
        <c:ser>
          <c:idx val="6"/>
          <c:order val="3"/>
          <c:tx>
            <c:strRef>
              <c:f>Projections!$A$56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Projections!$G$56:$AA$56</c15:sqref>
                  </c15:fullRef>
                </c:ext>
              </c:extLst>
              <c:f>Projections!$G$56:$O$56</c:f>
              <c:numCache>
                <c:formatCode>#,##0</c:formatCode>
                <c:ptCount val="9"/>
                <c:pt idx="0">
                  <c:v>4.8522844383373416</c:v>
                </c:pt>
                <c:pt idx="1">
                  <c:v>9.7045688766746832</c:v>
                </c:pt>
                <c:pt idx="2">
                  <c:v>19.409137753349366</c:v>
                </c:pt>
                <c:pt idx="3">
                  <c:v>38.818275506698733</c:v>
                </c:pt>
                <c:pt idx="4">
                  <c:v>77.636551013397465</c:v>
                </c:pt>
                <c:pt idx="5">
                  <c:v>155.27310202679493</c:v>
                </c:pt>
                <c:pt idx="6">
                  <c:v>310.54620405358986</c:v>
                </c:pt>
                <c:pt idx="7">
                  <c:v>621.09240810717972</c:v>
                </c:pt>
                <c:pt idx="8">
                  <c:v>1242.1848162143594</c:v>
                </c:pt>
              </c:numCache>
            </c:numRef>
          </c:val>
          <c:smooth val="0"/>
          <c:extLst>
            <c:ext xmlns:c16="http://schemas.microsoft.com/office/drawing/2014/chart" uri="{C3380CC4-5D6E-409C-BE32-E72D297353CC}">
              <c16:uniqueId val="{00000006-04B6-450D-AD81-6BF382C059D1}"/>
            </c:ext>
          </c:extLst>
        </c:ser>
        <c:ser>
          <c:idx val="8"/>
          <c:order val="4"/>
          <c:tx>
            <c:strRef>
              <c:f>Projections!$A$58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Projections!$G$58:$AA$58</c15:sqref>
                  </c15:fullRef>
                </c:ext>
              </c:extLst>
              <c:f>Projections!$G$58:$O$58</c:f>
              <c:numCache>
                <c:formatCode>#,##0</c:formatCode>
                <c:ptCount val="9"/>
                <c:pt idx="0">
                  <c:v>4.0256784610099627</c:v>
                </c:pt>
                <c:pt idx="1">
                  <c:v>8.0513569220199255</c:v>
                </c:pt>
                <c:pt idx="2">
                  <c:v>16.102713844039851</c:v>
                </c:pt>
                <c:pt idx="3">
                  <c:v>32.205427688079702</c:v>
                </c:pt>
                <c:pt idx="4">
                  <c:v>64.410855376159404</c:v>
                </c:pt>
                <c:pt idx="5">
                  <c:v>128.82171075231881</c:v>
                </c:pt>
                <c:pt idx="6">
                  <c:v>257.64342150463762</c:v>
                </c:pt>
                <c:pt idx="7">
                  <c:v>515.28684300927523</c:v>
                </c:pt>
                <c:pt idx="8">
                  <c:v>1030.5736860185505</c:v>
                </c:pt>
              </c:numCache>
            </c:numRef>
          </c:val>
          <c:smooth val="0"/>
          <c:extLst>
            <c:ext xmlns:c16="http://schemas.microsoft.com/office/drawing/2014/chart" uri="{C3380CC4-5D6E-409C-BE32-E72D297353CC}">
              <c16:uniqueId val="{00000008-04B6-450D-AD81-6BF382C059D1}"/>
            </c:ext>
          </c:extLst>
        </c:ser>
        <c:ser>
          <c:idx val="10"/>
          <c:order val="5"/>
          <c:tx>
            <c:strRef>
              <c:f>Projections!$A$60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Projections!$G$60:$AA$60</c15:sqref>
                  </c15:fullRef>
                </c:ext>
              </c:extLst>
              <c:f>Projections!$G$60:$O$60</c:f>
              <c:numCache>
                <c:formatCode>#,##0</c:formatCode>
                <c:ptCount val="9"/>
                <c:pt idx="0">
                  <c:v>4.9381655788388867</c:v>
                </c:pt>
                <c:pt idx="1">
                  <c:v>9.8763311576777735</c:v>
                </c:pt>
                <c:pt idx="2">
                  <c:v>19.752662315355547</c:v>
                </c:pt>
                <c:pt idx="3">
                  <c:v>39.505324630711094</c:v>
                </c:pt>
                <c:pt idx="4">
                  <c:v>79.010649261422188</c:v>
                </c:pt>
                <c:pt idx="5">
                  <c:v>158.02129852284438</c:v>
                </c:pt>
                <c:pt idx="6">
                  <c:v>316.04259704568875</c:v>
                </c:pt>
                <c:pt idx="7">
                  <c:v>632.0851940913775</c:v>
                </c:pt>
                <c:pt idx="8">
                  <c:v>1264.170388182755</c:v>
                </c:pt>
              </c:numCache>
            </c:numRef>
          </c:val>
          <c:smooth val="0"/>
          <c:extLst>
            <c:ext xmlns:c16="http://schemas.microsoft.com/office/drawing/2014/chart" uri="{C3380CC4-5D6E-409C-BE32-E72D297353CC}">
              <c16:uniqueId val="{0000000A-04B6-450D-AD81-6BF382C059D1}"/>
            </c:ext>
          </c:extLst>
        </c:ser>
        <c:ser>
          <c:idx val="12"/>
          <c:order val="6"/>
          <c:tx>
            <c:strRef>
              <c:f>Projections!$A$62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Projections!$G$62:$AA$62</c15:sqref>
                  </c15:fullRef>
                </c:ext>
              </c:extLst>
              <c:f>Projections!$G$62:$O$62</c:f>
              <c:numCache>
                <c:formatCode>#,##0</c:formatCode>
                <c:ptCount val="9"/>
                <c:pt idx="0">
                  <c:v>6.7255668155273103</c:v>
                </c:pt>
                <c:pt idx="1">
                  <c:v>13.451133631054621</c:v>
                </c:pt>
                <c:pt idx="2">
                  <c:v>26.902267262109241</c:v>
                </c:pt>
                <c:pt idx="3">
                  <c:v>53.804534524218482</c:v>
                </c:pt>
                <c:pt idx="4">
                  <c:v>107.60906904843696</c:v>
                </c:pt>
                <c:pt idx="5">
                  <c:v>215.21813809687393</c:v>
                </c:pt>
                <c:pt idx="6">
                  <c:v>430.43627619374786</c:v>
                </c:pt>
                <c:pt idx="7">
                  <c:v>860.87255238749572</c:v>
                </c:pt>
                <c:pt idx="8">
                  <c:v>1721.7451047749914</c:v>
                </c:pt>
              </c:numCache>
            </c:numRef>
          </c:val>
          <c:smooth val="0"/>
          <c:extLst>
            <c:ext xmlns:c16="http://schemas.microsoft.com/office/drawing/2014/chart" uri="{C3380CC4-5D6E-409C-BE32-E72D297353CC}">
              <c16:uniqueId val="{0000000C-04B6-450D-AD81-6BF382C059D1}"/>
            </c:ext>
          </c:extLst>
        </c:ser>
        <c:ser>
          <c:idx val="14"/>
          <c:order val="7"/>
          <c:tx>
            <c:strRef>
              <c:f>Projections!$A$64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Projections!$G$64:$AA$64</c15:sqref>
                  </c15:fullRef>
                </c:ext>
              </c:extLst>
              <c:f>Projections!$G$64:$O$64</c:f>
              <c:numCache>
                <c:formatCode>#,##0</c:formatCode>
                <c:ptCount val="9"/>
                <c:pt idx="0">
                  <c:v>0.89638440398488495</c:v>
                </c:pt>
                <c:pt idx="1">
                  <c:v>1.7927688079697699</c:v>
                </c:pt>
                <c:pt idx="2">
                  <c:v>3.5855376159395398</c:v>
                </c:pt>
                <c:pt idx="3">
                  <c:v>7.1710752318790796</c:v>
                </c:pt>
                <c:pt idx="4">
                  <c:v>14.342150463758159</c:v>
                </c:pt>
                <c:pt idx="5">
                  <c:v>28.684300927516318</c:v>
                </c:pt>
                <c:pt idx="6">
                  <c:v>57.368601855032637</c:v>
                </c:pt>
                <c:pt idx="7">
                  <c:v>114.73720371006527</c:v>
                </c:pt>
                <c:pt idx="8">
                  <c:v>229.47440742013055</c:v>
                </c:pt>
              </c:numCache>
            </c:numRef>
          </c:val>
          <c:smooth val="0"/>
          <c:extLst>
            <c:ext xmlns:c16="http://schemas.microsoft.com/office/drawing/2014/chart" uri="{C3380CC4-5D6E-409C-BE32-E72D297353CC}">
              <c16:uniqueId val="{0000000E-04B6-450D-AD81-6BF382C059D1}"/>
            </c:ext>
          </c:extLst>
        </c:ser>
        <c:ser>
          <c:idx val="16"/>
          <c:order val="8"/>
          <c:tx>
            <c:strRef>
              <c:f>Projections!$A$66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Projections!$G$66:$AA$66</c15:sqref>
                  </c15:fullRef>
                </c:ext>
              </c:extLst>
              <c:f>Projections!$G$66:$O$66</c:f>
              <c:numCache>
                <c:formatCode>#,##0</c:formatCode>
                <c:ptCount val="9"/>
                <c:pt idx="0">
                  <c:v>0.30595156303675713</c:v>
                </c:pt>
                <c:pt idx="1">
                  <c:v>0.61190312607351427</c:v>
                </c:pt>
                <c:pt idx="2">
                  <c:v>1.2238062521470285</c:v>
                </c:pt>
                <c:pt idx="3">
                  <c:v>2.4476125042940571</c:v>
                </c:pt>
                <c:pt idx="4">
                  <c:v>4.8952250085881142</c:v>
                </c:pt>
                <c:pt idx="5">
                  <c:v>9.7904500171762283</c:v>
                </c:pt>
                <c:pt idx="6">
                  <c:v>19.580900034352457</c:v>
                </c:pt>
                <c:pt idx="7">
                  <c:v>39.161800068704913</c:v>
                </c:pt>
                <c:pt idx="8">
                  <c:v>78.323600137409827</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Projections!$G$51:$AA$51</c15:sqref>
                  </c15:fullRef>
                </c:ext>
              </c:extLst>
              <c:f>Projections!$G$51:$O$51</c:f>
              <c:numCache>
                <c:formatCode>#,##0</c:formatCode>
                <c:ptCount val="9"/>
                <c:pt idx="0">
                  <c:v>0.13345929233940226</c:v>
                </c:pt>
                <c:pt idx="1">
                  <c:v>0.26691858467880453</c:v>
                </c:pt>
                <c:pt idx="2">
                  <c:v>0.53383716935760905</c:v>
                </c:pt>
                <c:pt idx="3">
                  <c:v>1.0676743387152181</c:v>
                </c:pt>
                <c:pt idx="4">
                  <c:v>2.1353486774304362</c:v>
                </c:pt>
                <c:pt idx="5">
                  <c:v>4.2706973548608724</c:v>
                </c:pt>
                <c:pt idx="6">
                  <c:v>8.5413947097217449</c:v>
                </c:pt>
                <c:pt idx="7">
                  <c:v>17.08278941944349</c:v>
                </c:pt>
                <c:pt idx="8">
                  <c:v>34.165578838886979</c:v>
                </c:pt>
              </c:numCache>
            </c:numRef>
          </c:val>
          <c:smooth val="0"/>
          <c:extLst>
            <c:ext xmlns:c16="http://schemas.microsoft.com/office/drawing/2014/chart" uri="{C3380CC4-5D6E-409C-BE32-E72D297353CC}">
              <c16:uniqueId val="{00000001-EBAD-48A5-9277-83F388186C0C}"/>
            </c:ext>
          </c:extLst>
        </c:ser>
        <c:ser>
          <c:idx val="3"/>
          <c:order val="1"/>
          <c:tx>
            <c:strRef>
              <c:f>Projections!$A$52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Projections!$G$53:$AA$53</c15:sqref>
                  </c15:fullRef>
                </c:ext>
              </c:extLst>
              <c:f>Projections!$G$53:$O$53</c:f>
              <c:numCache>
                <c:formatCode>#,##0</c:formatCode>
                <c:ptCount val="9"/>
                <c:pt idx="0">
                  <c:v>0.26751975266231531</c:v>
                </c:pt>
                <c:pt idx="1">
                  <c:v>0.53503950532463063</c:v>
                </c:pt>
                <c:pt idx="2">
                  <c:v>1.0700790106492613</c:v>
                </c:pt>
                <c:pt idx="3">
                  <c:v>2.1401580212985225</c:v>
                </c:pt>
                <c:pt idx="4">
                  <c:v>4.280316042597045</c:v>
                </c:pt>
                <c:pt idx="5">
                  <c:v>8.56063208519409</c:v>
                </c:pt>
                <c:pt idx="6">
                  <c:v>17.12126417038818</c:v>
                </c:pt>
                <c:pt idx="7">
                  <c:v>34.24252834077636</c:v>
                </c:pt>
                <c:pt idx="8">
                  <c:v>68.48505668155272</c:v>
                </c:pt>
              </c:numCache>
            </c:numRef>
          </c:val>
          <c:smooth val="0"/>
          <c:extLst>
            <c:ext xmlns:c16="http://schemas.microsoft.com/office/drawing/2014/chart" uri="{C3380CC4-5D6E-409C-BE32-E72D297353CC}">
              <c16:uniqueId val="{00000003-EBAD-48A5-9277-83F388186C0C}"/>
            </c:ext>
          </c:extLst>
        </c:ser>
        <c:ser>
          <c:idx val="5"/>
          <c:order val="2"/>
          <c:tx>
            <c:strRef>
              <c:f>Projections!$A$54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Projections!$G$55:$AA$55</c15:sqref>
                  </c15:fullRef>
                </c:ext>
              </c:extLst>
              <c:f>Projections!$G$55:$O$55</c:f>
              <c:numCache>
                <c:formatCode>#,##0</c:formatCode>
                <c:ptCount val="9"/>
                <c:pt idx="0">
                  <c:v>0.18936791480590864</c:v>
                </c:pt>
                <c:pt idx="1">
                  <c:v>0.37873582961181729</c:v>
                </c:pt>
                <c:pt idx="2">
                  <c:v>0.75747165922363457</c:v>
                </c:pt>
                <c:pt idx="3">
                  <c:v>1.5149433184472691</c:v>
                </c:pt>
                <c:pt idx="4">
                  <c:v>3.0298866368945383</c:v>
                </c:pt>
                <c:pt idx="5">
                  <c:v>6.0597732737890766</c:v>
                </c:pt>
                <c:pt idx="6">
                  <c:v>12.119546547578153</c:v>
                </c:pt>
                <c:pt idx="7">
                  <c:v>24.239093095156306</c:v>
                </c:pt>
                <c:pt idx="8">
                  <c:v>48.478186190312613</c:v>
                </c:pt>
              </c:numCache>
            </c:numRef>
          </c:val>
          <c:smooth val="0"/>
          <c:extLst>
            <c:ext xmlns:c16="http://schemas.microsoft.com/office/drawing/2014/chart" uri="{C3380CC4-5D6E-409C-BE32-E72D297353CC}">
              <c16:uniqueId val="{00000005-EBAD-48A5-9277-83F388186C0C}"/>
            </c:ext>
          </c:extLst>
        </c:ser>
        <c:ser>
          <c:idx val="7"/>
          <c:order val="3"/>
          <c:tx>
            <c:strRef>
              <c:f>Projections!$A$56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Projections!$G$57:$AA$57</c15:sqref>
                  </c15:fullRef>
                </c:ext>
              </c:extLst>
              <c:f>Projections!$G$57:$O$57</c:f>
              <c:numCache>
                <c:formatCode>#,##0</c:formatCode>
                <c:ptCount val="9"/>
                <c:pt idx="0">
                  <c:v>6.3079697698385437E-2</c:v>
                </c:pt>
                <c:pt idx="1">
                  <c:v>0.12615939539677087</c:v>
                </c:pt>
                <c:pt idx="2">
                  <c:v>0.25231879079354175</c:v>
                </c:pt>
                <c:pt idx="3">
                  <c:v>0.50463758158708349</c:v>
                </c:pt>
                <c:pt idx="4">
                  <c:v>1.009275163174167</c:v>
                </c:pt>
                <c:pt idx="5">
                  <c:v>2.018550326348334</c:v>
                </c:pt>
                <c:pt idx="6">
                  <c:v>4.037100652696668</c:v>
                </c:pt>
                <c:pt idx="7">
                  <c:v>8.0742013053933359</c:v>
                </c:pt>
                <c:pt idx="8">
                  <c:v>16.148402610786672</c:v>
                </c:pt>
              </c:numCache>
            </c:numRef>
          </c:val>
          <c:smooth val="0"/>
          <c:extLst>
            <c:ext xmlns:c16="http://schemas.microsoft.com/office/drawing/2014/chart" uri="{C3380CC4-5D6E-409C-BE32-E72D297353CC}">
              <c16:uniqueId val="{00000007-EBAD-48A5-9277-83F388186C0C}"/>
            </c:ext>
          </c:extLst>
        </c:ser>
        <c:ser>
          <c:idx val="9"/>
          <c:order val="4"/>
          <c:tx>
            <c:strRef>
              <c:f>Projections!$A$58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Projections!$G$59:$AA$59</c15:sqref>
                  </c15:fullRef>
                </c:ext>
              </c:extLst>
              <c:f>Projections!$G$59:$O$59</c:f>
              <c:numCache>
                <c:formatCode>#,##0</c:formatCode>
                <c:ptCount val="9"/>
                <c:pt idx="0">
                  <c:v>1.610271384403985E-2</c:v>
                </c:pt>
                <c:pt idx="1">
                  <c:v>3.2205427688079699E-2</c:v>
                </c:pt>
                <c:pt idx="2">
                  <c:v>6.4410855376159398E-2</c:v>
                </c:pt>
                <c:pt idx="3">
                  <c:v>0.1288217107523188</c:v>
                </c:pt>
                <c:pt idx="4">
                  <c:v>0.25764342150463759</c:v>
                </c:pt>
                <c:pt idx="5">
                  <c:v>0.51528684300927519</c:v>
                </c:pt>
                <c:pt idx="6">
                  <c:v>1.0305736860185504</c:v>
                </c:pt>
                <c:pt idx="7">
                  <c:v>2.0611473720371007</c:v>
                </c:pt>
                <c:pt idx="8">
                  <c:v>4.1222947440742015</c:v>
                </c:pt>
              </c:numCache>
            </c:numRef>
          </c:val>
          <c:smooth val="0"/>
          <c:extLst>
            <c:ext xmlns:c16="http://schemas.microsoft.com/office/drawing/2014/chart" uri="{C3380CC4-5D6E-409C-BE32-E72D297353CC}">
              <c16:uniqueId val="{00000009-EBAD-48A5-9277-83F388186C0C}"/>
            </c:ext>
          </c:extLst>
        </c:ser>
        <c:ser>
          <c:idx val="11"/>
          <c:order val="5"/>
          <c:tx>
            <c:strRef>
              <c:f>Projections!$A$60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Projections!$G$61:$AA$61</c15:sqref>
                  </c15:fullRef>
                </c:ext>
              </c:extLst>
              <c:f>Projections!$G$61:$O$61</c:f>
              <c:numCache>
                <c:formatCode>#,##0</c:formatCode>
                <c:ptCount val="9"/>
                <c:pt idx="0">
                  <c:v>9.876331157677774E-3</c:v>
                </c:pt>
                <c:pt idx="1">
                  <c:v>1.9752662315355548E-2</c:v>
                </c:pt>
                <c:pt idx="2">
                  <c:v>3.9505324630711096E-2</c:v>
                </c:pt>
                <c:pt idx="3">
                  <c:v>7.9010649261422192E-2</c:v>
                </c:pt>
                <c:pt idx="4">
                  <c:v>0.15802129852284438</c:v>
                </c:pt>
                <c:pt idx="5">
                  <c:v>0.31604259704568877</c:v>
                </c:pt>
                <c:pt idx="6">
                  <c:v>0.63208519409137753</c:v>
                </c:pt>
                <c:pt idx="7">
                  <c:v>1.2641703881827551</c:v>
                </c:pt>
                <c:pt idx="8">
                  <c:v>2.5283407763655101</c:v>
                </c:pt>
              </c:numCache>
            </c:numRef>
          </c:val>
          <c:smooth val="0"/>
          <c:extLst>
            <c:ext xmlns:c16="http://schemas.microsoft.com/office/drawing/2014/chart" uri="{C3380CC4-5D6E-409C-BE32-E72D297353CC}">
              <c16:uniqueId val="{0000000B-EBAD-48A5-9277-83F388186C0C}"/>
            </c:ext>
          </c:extLst>
        </c:ser>
        <c:ser>
          <c:idx val="13"/>
          <c:order val="6"/>
          <c:tx>
            <c:strRef>
              <c:f>Projections!$A$62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Projections!$G$63:$AA$63</c15:sqref>
                  </c15:fullRef>
                </c:ext>
              </c:extLst>
              <c:f>Projections!$G$63:$O$63</c:f>
              <c:numCache>
                <c:formatCode>#,##0</c:formatCode>
                <c:ptCount val="9"/>
                <c:pt idx="0">
                  <c:v>1.3451133631054621E-2</c:v>
                </c:pt>
                <c:pt idx="1">
                  <c:v>2.6902267262109241E-2</c:v>
                </c:pt>
                <c:pt idx="2">
                  <c:v>5.3804534524218482E-2</c:v>
                </c:pt>
                <c:pt idx="3">
                  <c:v>0.10760906904843696</c:v>
                </c:pt>
                <c:pt idx="4">
                  <c:v>0.21521813809687393</c:v>
                </c:pt>
                <c:pt idx="5">
                  <c:v>0.43043627619374786</c:v>
                </c:pt>
                <c:pt idx="6">
                  <c:v>0.86087255238749572</c:v>
                </c:pt>
                <c:pt idx="7">
                  <c:v>1.7217451047749914</c:v>
                </c:pt>
                <c:pt idx="8">
                  <c:v>3.4434902095499829</c:v>
                </c:pt>
              </c:numCache>
            </c:numRef>
          </c:val>
          <c:smooth val="0"/>
          <c:extLst>
            <c:ext xmlns:c16="http://schemas.microsoft.com/office/drawing/2014/chart" uri="{C3380CC4-5D6E-409C-BE32-E72D297353CC}">
              <c16:uniqueId val="{0000000D-EBAD-48A5-9277-83F388186C0C}"/>
            </c:ext>
          </c:extLst>
        </c:ser>
        <c:ser>
          <c:idx val="15"/>
          <c:order val="7"/>
          <c:tx>
            <c:strRef>
              <c:f>Projections!$A$64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Projections!$G$65:$AA$65</c15:sqref>
                  </c15:fullRef>
                </c:ext>
              </c:extLst>
              <c:f>Projections!$G$65:$O$65</c:f>
              <c:numCache>
                <c:formatCode>#,##0</c:formatCode>
                <c:ptCount val="9"/>
                <c:pt idx="0">
                  <c:v>1.79276880796977E-3</c:v>
                </c:pt>
                <c:pt idx="1">
                  <c:v>3.58553761593954E-3</c:v>
                </c:pt>
                <c:pt idx="2">
                  <c:v>7.17107523187908E-3</c:v>
                </c:pt>
                <c:pt idx="3">
                  <c:v>1.434215046375816E-2</c:v>
                </c:pt>
                <c:pt idx="4">
                  <c:v>2.868430092751632E-2</c:v>
                </c:pt>
                <c:pt idx="5">
                  <c:v>5.736860185503264E-2</c:v>
                </c:pt>
                <c:pt idx="6">
                  <c:v>0.11473720371006528</c:v>
                </c:pt>
                <c:pt idx="7">
                  <c:v>0.22947440742013056</c:v>
                </c:pt>
                <c:pt idx="8">
                  <c:v>0.45894881484026112</c:v>
                </c:pt>
              </c:numCache>
            </c:numRef>
          </c:val>
          <c:smooth val="0"/>
          <c:extLst>
            <c:ext xmlns:c16="http://schemas.microsoft.com/office/drawing/2014/chart" uri="{C3380CC4-5D6E-409C-BE32-E72D297353CC}">
              <c16:uniqueId val="{0000000F-EBAD-48A5-9277-83F388186C0C}"/>
            </c:ext>
          </c:extLst>
        </c:ser>
        <c:ser>
          <c:idx val="17"/>
          <c:order val="8"/>
          <c:tx>
            <c:strRef>
              <c:f>Projections!$A$66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Projections!$G$67:$AA$67</c15:sqref>
                  </c15:fullRef>
                </c:ext>
              </c:extLst>
              <c:f>Projections!$G$67:$O$67</c:f>
              <c:numCache>
                <c:formatCode>#,##0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Projections!$G$79:$AA$79</c15:sqref>
                  </c15:fullRef>
                </c:ext>
              </c:extLst>
              <c:f>Projections!$G$79:$O$79</c:f>
              <c:numCache>
                <c:formatCode>#,##0</c:formatCode>
                <c:ptCount val="9"/>
                <c:pt idx="0">
                  <c:v>10.53125</c:v>
                </c:pt>
                <c:pt idx="1">
                  <c:v>21.0625</c:v>
                </c:pt>
                <c:pt idx="2">
                  <c:v>42.125</c:v>
                </c:pt>
                <c:pt idx="3">
                  <c:v>84.25</c:v>
                </c:pt>
                <c:pt idx="4">
                  <c:v>168.5</c:v>
                </c:pt>
                <c:pt idx="5">
                  <c:v>337</c:v>
                </c:pt>
                <c:pt idx="6">
                  <c:v>674</c:v>
                </c:pt>
                <c:pt idx="7">
                  <c:v>1348</c:v>
                </c:pt>
                <c:pt idx="8">
                  <c:v>2696</c:v>
                </c:pt>
              </c:numCache>
            </c:numRef>
          </c:val>
          <c:smooth val="0"/>
          <c:extLst>
            <c:ext xmlns:c16="http://schemas.microsoft.com/office/drawing/2014/chart" uri="{C3380CC4-5D6E-409C-BE32-E72D297353CC}">
              <c16:uniqueId val="{0000001E-05DD-4DD4-A5B5-12D162507280}"/>
            </c:ext>
          </c:extLst>
        </c:ser>
        <c:ser>
          <c:idx val="4"/>
          <c:order val="1"/>
          <c:tx>
            <c:strRef>
              <c:f>Projections!$A$77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Projections!$G$77:$AA$77</c15:sqref>
                  </c15:fullRef>
                </c:ext>
              </c:extLst>
              <c:f>Projections!$G$77:$O$77</c:f>
              <c:numCache>
                <c:formatCode>#,##0</c:formatCode>
                <c:ptCount val="9"/>
                <c:pt idx="0">
                  <c:v>9.6875</c:v>
                </c:pt>
                <c:pt idx="1">
                  <c:v>19.375</c:v>
                </c:pt>
                <c:pt idx="2">
                  <c:v>38.75</c:v>
                </c:pt>
                <c:pt idx="3">
                  <c:v>77.5</c:v>
                </c:pt>
                <c:pt idx="4">
                  <c:v>155</c:v>
                </c:pt>
                <c:pt idx="5">
                  <c:v>310</c:v>
                </c:pt>
                <c:pt idx="6">
                  <c:v>620</c:v>
                </c:pt>
                <c:pt idx="7">
                  <c:v>1240</c:v>
                </c:pt>
                <c:pt idx="8">
                  <c:v>2480</c:v>
                </c:pt>
              </c:numCache>
            </c:numRef>
          </c:val>
          <c:smooth val="0"/>
          <c:extLst>
            <c:ext xmlns:c16="http://schemas.microsoft.com/office/drawing/2014/chart" uri="{C3380CC4-5D6E-409C-BE32-E72D297353CC}">
              <c16:uniqueId val="{0000001C-05DD-4DD4-A5B5-12D162507280}"/>
            </c:ext>
          </c:extLst>
        </c:ser>
        <c:ser>
          <c:idx val="10"/>
          <c:order val="2"/>
          <c:tx>
            <c:strRef>
              <c:f>Projections!$A$83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Projections!$G$83:$AA$83</c15:sqref>
                  </c15:fullRef>
                </c:ext>
              </c:extLst>
              <c:f>Projections!$G$83:$O$83</c:f>
              <c:numCache>
                <c:formatCode>#,##0</c:formatCode>
                <c:ptCount val="9"/>
                <c:pt idx="0">
                  <c:v>5.03125</c:v>
                </c:pt>
                <c:pt idx="1">
                  <c:v>10.0625</c:v>
                </c:pt>
                <c:pt idx="2">
                  <c:v>20.125</c:v>
                </c:pt>
                <c:pt idx="3">
                  <c:v>40.25</c:v>
                </c:pt>
                <c:pt idx="4">
                  <c:v>80.5</c:v>
                </c:pt>
                <c:pt idx="5">
                  <c:v>161</c:v>
                </c:pt>
                <c:pt idx="6">
                  <c:v>322</c:v>
                </c:pt>
                <c:pt idx="7">
                  <c:v>644</c:v>
                </c:pt>
                <c:pt idx="8">
                  <c:v>1288</c:v>
                </c:pt>
              </c:numCache>
            </c:numRef>
          </c:val>
          <c:smooth val="0"/>
          <c:extLst>
            <c:ext xmlns:c16="http://schemas.microsoft.com/office/drawing/2014/chart" uri="{C3380CC4-5D6E-409C-BE32-E72D297353CC}">
              <c16:uniqueId val="{00000022-05DD-4DD4-A5B5-12D162507280}"/>
            </c:ext>
          </c:extLst>
        </c:ser>
        <c:ser>
          <c:idx val="0"/>
          <c:order val="3"/>
          <c:tx>
            <c:strRef>
              <c:f>Projections!$A$73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Projections!$G$73:$AA$73</c15:sqref>
                  </c15:fullRef>
                </c:ext>
              </c:extLst>
              <c:f>Projections!$G$73:$O$73</c:f>
              <c:numCache>
                <c:formatCode>#,##0</c:formatCode>
                <c:ptCount val="9"/>
                <c:pt idx="0">
                  <c:v>1.5625</c:v>
                </c:pt>
                <c:pt idx="1">
                  <c:v>3.125</c:v>
                </c:pt>
                <c:pt idx="2">
                  <c:v>6.25</c:v>
                </c:pt>
                <c:pt idx="3">
                  <c:v>12.5</c:v>
                </c:pt>
                <c:pt idx="4">
                  <c:v>25</c:v>
                </c:pt>
                <c:pt idx="5">
                  <c:v>50</c:v>
                </c:pt>
                <c:pt idx="6">
                  <c:v>100</c:v>
                </c:pt>
                <c:pt idx="7">
                  <c:v>200</c:v>
                </c:pt>
                <c:pt idx="8">
                  <c:v>400</c:v>
                </c:pt>
              </c:numCache>
            </c:numRef>
          </c:val>
          <c:smooth val="0"/>
          <c:extLst>
            <c:ext xmlns:c16="http://schemas.microsoft.com/office/drawing/2014/chart" uri="{C3380CC4-5D6E-409C-BE32-E72D297353CC}">
              <c16:uniqueId val="{00000018-05DD-4DD4-A5B5-12D162507280}"/>
            </c:ext>
          </c:extLst>
        </c:ser>
        <c:ser>
          <c:idx val="2"/>
          <c:order val="4"/>
          <c:tx>
            <c:strRef>
              <c:f>Projections!$A$75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Projections!$G$75:$AA$75</c15:sqref>
                  </c15:fullRef>
                </c:ext>
              </c:extLst>
              <c:f>Projections!$G$75:$O$75</c:f>
              <c:numCache>
                <c:formatCode>#,##0</c:formatCode>
                <c:ptCount val="9"/>
                <c:pt idx="0">
                  <c:v>1.4375</c:v>
                </c:pt>
                <c:pt idx="1">
                  <c:v>2.875</c:v>
                </c:pt>
                <c:pt idx="2">
                  <c:v>5.75</c:v>
                </c:pt>
                <c:pt idx="3">
                  <c:v>11.5</c:v>
                </c:pt>
                <c:pt idx="4">
                  <c:v>23</c:v>
                </c:pt>
                <c:pt idx="5">
                  <c:v>46</c:v>
                </c:pt>
                <c:pt idx="6">
                  <c:v>92</c:v>
                </c:pt>
                <c:pt idx="7">
                  <c:v>184</c:v>
                </c:pt>
                <c:pt idx="8">
                  <c:v>368</c:v>
                </c:pt>
              </c:numCache>
            </c:numRef>
          </c:val>
          <c:smooth val="0"/>
          <c:extLst>
            <c:ext xmlns:c16="http://schemas.microsoft.com/office/drawing/2014/chart" uri="{C3380CC4-5D6E-409C-BE32-E72D297353CC}">
              <c16:uniqueId val="{0000001A-05DD-4DD4-A5B5-12D162507280}"/>
            </c:ext>
          </c:extLst>
        </c:ser>
        <c:ser>
          <c:idx val="8"/>
          <c:order val="5"/>
          <c:tx>
            <c:strRef>
              <c:f>Projections!$A$81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Projections!$G$81:$AA$81</c15:sqref>
                  </c15:fullRef>
                </c:ext>
              </c:extLst>
              <c:f>Projections!$G$81:$O$81</c:f>
              <c:numCache>
                <c:formatCode>#,##0</c:formatCode>
                <c:ptCount val="9"/>
                <c:pt idx="0">
                  <c:v>0.46875</c:v>
                </c:pt>
                <c:pt idx="1">
                  <c:v>0.9375</c:v>
                </c:pt>
                <c:pt idx="2">
                  <c:v>1.875</c:v>
                </c:pt>
                <c:pt idx="3">
                  <c:v>3.75</c:v>
                </c:pt>
                <c:pt idx="4">
                  <c:v>7.5</c:v>
                </c:pt>
                <c:pt idx="5">
                  <c:v>15</c:v>
                </c:pt>
                <c:pt idx="6">
                  <c:v>30</c:v>
                </c:pt>
                <c:pt idx="7">
                  <c:v>60</c:v>
                </c:pt>
                <c:pt idx="8">
                  <c:v>120</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Projections!$G$80:$AA$80</c15:sqref>
                  </c15:fullRef>
                </c:ext>
              </c:extLst>
              <c:f>Projections!$G$80:$O$80</c:f>
              <c:numCache>
                <c:formatCode>#,##0</c:formatCode>
                <c:ptCount val="9"/>
                <c:pt idx="0">
                  <c:v>0.63187499999999996</c:v>
                </c:pt>
                <c:pt idx="1">
                  <c:v>1.2637499999999999</c:v>
                </c:pt>
                <c:pt idx="2">
                  <c:v>2.5274999999999999</c:v>
                </c:pt>
                <c:pt idx="3">
                  <c:v>5.0549999999999997</c:v>
                </c:pt>
                <c:pt idx="4">
                  <c:v>10.11</c:v>
                </c:pt>
                <c:pt idx="5">
                  <c:v>20.22</c:v>
                </c:pt>
                <c:pt idx="6">
                  <c:v>40.44</c:v>
                </c:pt>
                <c:pt idx="7">
                  <c:v>80.88</c:v>
                </c:pt>
                <c:pt idx="8">
                  <c:v>161.76</c:v>
                </c:pt>
              </c:numCache>
            </c:numRef>
          </c:val>
          <c:smooth val="0"/>
          <c:extLst>
            <c:ext xmlns:c16="http://schemas.microsoft.com/office/drawing/2014/chart" uri="{C3380CC4-5D6E-409C-BE32-E72D297353CC}">
              <c16:uniqueId val="{00000007-65B4-47F9-9B97-64FB989C8893}"/>
            </c:ext>
          </c:extLst>
        </c:ser>
        <c:ser>
          <c:idx val="5"/>
          <c:order val="1"/>
          <c:tx>
            <c:strRef>
              <c:f>Projections!$A$77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Projections!$G$78:$AA$78</c15:sqref>
                  </c15:fullRef>
                </c:ext>
              </c:extLst>
              <c:f>Projections!$G$78:$O$78</c:f>
              <c:numCache>
                <c:formatCode>#,##0</c:formatCode>
                <c:ptCount val="9"/>
                <c:pt idx="0">
                  <c:v>0.61031250000000004</c:v>
                </c:pt>
                <c:pt idx="1">
                  <c:v>1.2206250000000001</c:v>
                </c:pt>
                <c:pt idx="2">
                  <c:v>2.4412500000000001</c:v>
                </c:pt>
                <c:pt idx="3">
                  <c:v>4.8825000000000003</c:v>
                </c:pt>
                <c:pt idx="4">
                  <c:v>9.7650000000000006</c:v>
                </c:pt>
                <c:pt idx="5">
                  <c:v>19.53</c:v>
                </c:pt>
                <c:pt idx="6">
                  <c:v>39.06</c:v>
                </c:pt>
                <c:pt idx="7">
                  <c:v>78.12</c:v>
                </c:pt>
                <c:pt idx="8">
                  <c:v>156.24</c:v>
                </c:pt>
              </c:numCache>
            </c:numRef>
          </c:val>
          <c:smooth val="0"/>
          <c:extLst>
            <c:ext xmlns:c16="http://schemas.microsoft.com/office/drawing/2014/chart" uri="{C3380CC4-5D6E-409C-BE32-E72D297353CC}">
              <c16:uniqueId val="{00000005-65B4-47F9-9B97-64FB989C8893}"/>
            </c:ext>
          </c:extLst>
        </c:ser>
        <c:ser>
          <c:idx val="1"/>
          <c:order val="2"/>
          <c:tx>
            <c:strRef>
              <c:f>Projections!$A$73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Projections!$G$74:$AA$74</c15:sqref>
                  </c15:fullRef>
                </c:ext>
              </c:extLst>
              <c:f>Projections!$G$74:$O$74</c:f>
              <c:numCache>
                <c:formatCode>#,##0</c:formatCode>
                <c:ptCount val="9"/>
                <c:pt idx="0">
                  <c:v>0.1640625</c:v>
                </c:pt>
                <c:pt idx="1">
                  <c:v>0.328125</c:v>
                </c:pt>
                <c:pt idx="2">
                  <c:v>0.65625</c:v>
                </c:pt>
                <c:pt idx="3">
                  <c:v>1.3125</c:v>
                </c:pt>
                <c:pt idx="4">
                  <c:v>2.625</c:v>
                </c:pt>
                <c:pt idx="5">
                  <c:v>5.25</c:v>
                </c:pt>
                <c:pt idx="6">
                  <c:v>10.5</c:v>
                </c:pt>
                <c:pt idx="7">
                  <c:v>21</c:v>
                </c:pt>
                <c:pt idx="8">
                  <c:v>42</c:v>
                </c:pt>
              </c:numCache>
            </c:numRef>
          </c:val>
          <c:smooth val="0"/>
          <c:extLst>
            <c:ext xmlns:c16="http://schemas.microsoft.com/office/drawing/2014/chart" uri="{C3380CC4-5D6E-409C-BE32-E72D297353CC}">
              <c16:uniqueId val="{00000001-65B4-47F9-9B97-64FB989C8893}"/>
            </c:ext>
          </c:extLst>
        </c:ser>
        <c:ser>
          <c:idx val="3"/>
          <c:order val="3"/>
          <c:tx>
            <c:strRef>
              <c:f>Projections!$A$75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Projections!$G$76:$AA$76</c15:sqref>
                  </c15:fullRef>
                </c:ext>
              </c:extLst>
              <c:f>Projections!$G$76:$O$76</c:f>
              <c:numCache>
                <c:formatCode>#,##0</c:formatCode>
                <c:ptCount val="9"/>
                <c:pt idx="0">
                  <c:v>0.10493749999999999</c:v>
                </c:pt>
                <c:pt idx="1">
                  <c:v>0.20987499999999998</c:v>
                </c:pt>
                <c:pt idx="2">
                  <c:v>0.41974999999999996</c:v>
                </c:pt>
                <c:pt idx="3">
                  <c:v>0.83949999999999991</c:v>
                </c:pt>
                <c:pt idx="4">
                  <c:v>1.6789999999999998</c:v>
                </c:pt>
                <c:pt idx="5">
                  <c:v>3.3579999999999997</c:v>
                </c:pt>
                <c:pt idx="6">
                  <c:v>6.7159999999999993</c:v>
                </c:pt>
                <c:pt idx="7">
                  <c:v>13.431999999999999</c:v>
                </c:pt>
                <c:pt idx="8">
                  <c:v>26.863999999999997</c:v>
                </c:pt>
              </c:numCache>
            </c:numRef>
          </c:val>
          <c:smooth val="0"/>
          <c:extLst>
            <c:ext xmlns:c16="http://schemas.microsoft.com/office/drawing/2014/chart" uri="{C3380CC4-5D6E-409C-BE32-E72D297353CC}">
              <c16:uniqueId val="{00000003-65B4-47F9-9B97-64FB989C8893}"/>
            </c:ext>
          </c:extLst>
        </c:ser>
        <c:ser>
          <c:idx val="9"/>
          <c:order val="4"/>
          <c:tx>
            <c:strRef>
              <c:f>Projections!$A$81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Projections!$G$82:$AA$82</c15:sqref>
                  </c15:fullRef>
                </c:ext>
              </c:extLst>
              <c:f>Projections!$G$82:$O$82</c:f>
              <c:numCache>
                <c:formatCode>#,##0</c:formatCode>
                <c:ptCount val="9"/>
                <c:pt idx="0">
                  <c:v>2.6249999999999999E-2</c:v>
                </c:pt>
                <c:pt idx="1">
                  <c:v>5.2499999999999998E-2</c:v>
                </c:pt>
                <c:pt idx="2">
                  <c:v>0.105</c:v>
                </c:pt>
                <c:pt idx="3">
                  <c:v>0.21</c:v>
                </c:pt>
                <c:pt idx="4">
                  <c:v>0.42</c:v>
                </c:pt>
                <c:pt idx="5">
                  <c:v>0.84</c:v>
                </c:pt>
                <c:pt idx="6">
                  <c:v>1.68</c:v>
                </c:pt>
                <c:pt idx="7">
                  <c:v>3.36</c:v>
                </c:pt>
                <c:pt idx="8">
                  <c:v>6.72</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29</xdr:col>
      <xdr:colOff>9526</xdr:colOff>
      <xdr:row>4</xdr:row>
      <xdr:rowOff>180975</xdr:rowOff>
    </xdr:from>
    <xdr:to>
      <xdr:col>40</xdr:col>
      <xdr:colOff>600075</xdr:colOff>
      <xdr:row>31</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736455</xdr:colOff>
      <xdr:row>76</xdr:row>
      <xdr:rowOff>5814</xdr:rowOff>
    </xdr:from>
    <xdr:to>
      <xdr:col>41</xdr:col>
      <xdr:colOff>19050</xdr:colOff>
      <xdr:row>99</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3031</xdr:colOff>
      <xdr:row>100</xdr:row>
      <xdr:rowOff>10576</xdr:rowOff>
    </xdr:from>
    <xdr:to>
      <xdr:col>41</xdr:col>
      <xdr:colOff>28575</xdr:colOff>
      <xdr:row>116</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741217</xdr:colOff>
      <xdr:row>117</xdr:row>
      <xdr:rowOff>182025</xdr:rowOff>
    </xdr:from>
    <xdr:to>
      <xdr:col>41</xdr:col>
      <xdr:colOff>38099</xdr:colOff>
      <xdr:row>133</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741219</xdr:colOff>
      <xdr:row>135</xdr:row>
      <xdr:rowOff>10575</xdr:rowOff>
    </xdr:from>
    <xdr:to>
      <xdr:col>41</xdr:col>
      <xdr:colOff>19050</xdr:colOff>
      <xdr:row>154</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738187</xdr:colOff>
      <xdr:row>38</xdr:row>
      <xdr:rowOff>4762</xdr:rowOff>
    </xdr:from>
    <xdr:to>
      <xdr:col>41</xdr:col>
      <xdr:colOff>19050</xdr:colOff>
      <xdr:row>58</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740228</xdr:colOff>
      <xdr:row>59</xdr:row>
      <xdr:rowOff>2721</xdr:rowOff>
    </xdr:from>
    <xdr:to>
      <xdr:col>40</xdr:col>
      <xdr:colOff>590550</xdr:colOff>
      <xdr:row>74</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42</xdr:col>
      <xdr:colOff>1</xdr:colOff>
      <xdr:row>4</xdr:row>
      <xdr:rowOff>180975</xdr:rowOff>
    </xdr:from>
    <xdr:to>
      <xdr:col>54</xdr:col>
      <xdr:colOff>161925</xdr:colOff>
      <xdr:row>31</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41</xdr:col>
      <xdr:colOff>607867</xdr:colOff>
      <xdr:row>75</xdr:row>
      <xdr:rowOff>177264</xdr:rowOff>
    </xdr:from>
    <xdr:to>
      <xdr:col>54</xdr:col>
      <xdr:colOff>209550</xdr:colOff>
      <xdr:row>98</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41</xdr:col>
      <xdr:colOff>598343</xdr:colOff>
      <xdr:row>100</xdr:row>
      <xdr:rowOff>1051</xdr:rowOff>
    </xdr:from>
    <xdr:to>
      <xdr:col>54</xdr:col>
      <xdr:colOff>200025</xdr:colOff>
      <xdr:row>116</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42</xdr:col>
      <xdr:colOff>3029</xdr:colOff>
      <xdr:row>117</xdr:row>
      <xdr:rowOff>182025</xdr:rowOff>
    </xdr:from>
    <xdr:to>
      <xdr:col>54</xdr:col>
      <xdr:colOff>219074</xdr:colOff>
      <xdr:row>133</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42</xdr:col>
      <xdr:colOff>22081</xdr:colOff>
      <xdr:row>135</xdr:row>
      <xdr:rowOff>10575</xdr:rowOff>
    </xdr:from>
    <xdr:to>
      <xdr:col>54</xdr:col>
      <xdr:colOff>228600</xdr:colOff>
      <xdr:row>154</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41</xdr:col>
      <xdr:colOff>600074</xdr:colOff>
      <xdr:row>38</xdr:row>
      <xdr:rowOff>14287</xdr:rowOff>
    </xdr:from>
    <xdr:to>
      <xdr:col>54</xdr:col>
      <xdr:colOff>200025</xdr:colOff>
      <xdr:row>58</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41</xdr:col>
      <xdr:colOff>606878</xdr:colOff>
      <xdr:row>59</xdr:row>
      <xdr:rowOff>2721</xdr:rowOff>
    </xdr:from>
    <xdr:to>
      <xdr:col>54</xdr:col>
      <xdr:colOff>161925</xdr:colOff>
      <xdr:row>74</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ourworldindata.org/coronavirus" TargetMode="External"/><Relationship Id="rId7" Type="http://schemas.openxmlformats.org/officeDocument/2006/relationships/printerSettings" Target="../printerSettings/printerSettings2.bin"/><Relationship Id="rId2" Type="http://schemas.openxmlformats.org/officeDocument/2006/relationships/hyperlink" Target="https://ourworldindata.org/coronavirus" TargetMode="External"/><Relationship Id="rId1" Type="http://schemas.openxmlformats.org/officeDocument/2006/relationships/hyperlink" Target="https://www.covid19data.com.au/people-affected"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abs.gov.au/AUSSTATS/abs@.nsf/DetailsPage/3101.0Sep%202019?OpenDocument" TargetMode="External"/><Relationship Id="rId4" Type="http://schemas.openxmlformats.org/officeDocument/2006/relationships/hyperlink" Target="https://www.abs.gov.au/ausstats/abs@.nsf/0/1647509ef7e25faaca2568a900154b63?opendocumen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E44" sqref="E44"/>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166</v>
      </c>
    </row>
    <row r="3" spans="2:2" x14ac:dyDescent="0.25">
      <c r="B3" t="s">
        <v>146</v>
      </c>
    </row>
    <row r="4" spans="2:2" x14ac:dyDescent="0.25">
      <c r="B4" t="s">
        <v>162</v>
      </c>
    </row>
    <row r="5" spans="2:2" x14ac:dyDescent="0.25">
      <c r="B5" t="s">
        <v>167</v>
      </c>
    </row>
    <row r="6" spans="2:2" x14ac:dyDescent="0.25">
      <c r="B6" t="s">
        <v>168</v>
      </c>
    </row>
    <row r="7" spans="2:2" x14ac:dyDescent="0.25">
      <c r="B7" t="s">
        <v>149</v>
      </c>
    </row>
    <row r="11" spans="2:2" x14ac:dyDescent="0.25">
      <c r="B11" t="s">
        <v>175</v>
      </c>
    </row>
    <row r="12" spans="2:2" x14ac:dyDescent="0.25">
      <c r="B12" t="s">
        <v>188</v>
      </c>
    </row>
    <row r="13" spans="2:2" x14ac:dyDescent="0.25">
      <c r="B13" t="s">
        <v>190</v>
      </c>
    </row>
    <row r="14" spans="2:2" x14ac:dyDescent="0.25">
      <c r="B14" t="s">
        <v>189</v>
      </c>
    </row>
    <row r="15" spans="2:2" x14ac:dyDescent="0.25">
      <c r="B15" t="s">
        <v>196</v>
      </c>
    </row>
    <row r="17" spans="1:43" x14ac:dyDescent="0.25">
      <c r="A17" t="s">
        <v>194</v>
      </c>
      <c r="B17" s="116">
        <f>(AP25/E31) /Projections!B6</f>
        <v>246.91358024691357</v>
      </c>
      <c r="C17" s="117"/>
      <c r="D17" s="118"/>
      <c r="E17" s="112">
        <f>B17*2</f>
        <v>493.82716049382714</v>
      </c>
      <c r="F17" s="117"/>
      <c r="G17" s="112"/>
      <c r="H17" s="112">
        <f>E17*2</f>
        <v>987.65432098765427</v>
      </c>
      <c r="I17" s="117"/>
      <c r="J17" s="118"/>
      <c r="K17" s="109">
        <f>H17*2</f>
        <v>1975.3086419753085</v>
      </c>
      <c r="L17" s="107"/>
      <c r="M17" s="108"/>
      <c r="N17" s="109">
        <f>K17*2</f>
        <v>3950.6172839506171</v>
      </c>
      <c r="O17" s="107"/>
      <c r="P17" s="108"/>
      <c r="Q17" s="109">
        <f>N17*2</f>
        <v>7901.2345679012342</v>
      </c>
      <c r="R17" s="107"/>
      <c r="S17" s="108"/>
      <c r="T17" s="109">
        <f>Q17*2</f>
        <v>15802.469135802468</v>
      </c>
      <c r="U17" s="107"/>
      <c r="V17" s="108"/>
      <c r="W17" s="109">
        <f>T17*2</f>
        <v>31604.938271604937</v>
      </c>
      <c r="X17" s="107"/>
      <c r="Y17" s="108"/>
      <c r="Z17" s="109">
        <f>W17*2</f>
        <v>63209.876543209873</v>
      </c>
      <c r="AA17" s="107"/>
      <c r="AB17" s="108"/>
      <c r="AC17" s="109">
        <f>Z17*2</f>
        <v>126419.75308641975</v>
      </c>
      <c r="AD17" s="107"/>
      <c r="AE17" s="108"/>
      <c r="AF17" s="109">
        <f>AC17*2</f>
        <v>252839.50617283949</v>
      </c>
      <c r="AG17" s="107"/>
      <c r="AH17" s="108"/>
      <c r="AI17" s="109">
        <f>AF17*2</f>
        <v>505679.01234567899</v>
      </c>
      <c r="AJ17" s="107"/>
      <c r="AK17" s="108"/>
      <c r="AL17" s="109">
        <f>AI17*2</f>
        <v>1011358.024691358</v>
      </c>
      <c r="AM17" s="107"/>
      <c r="AN17" s="108"/>
      <c r="AO17" s="109">
        <f>AL17*2</f>
        <v>2022716.049382716</v>
      </c>
      <c r="AP17" s="112"/>
      <c r="AQ17" t="s">
        <v>194</v>
      </c>
    </row>
    <row r="18" spans="1:43" s="81" customFormat="1" x14ac:dyDescent="0.25">
      <c r="A18" s="81" t="s">
        <v>281</v>
      </c>
      <c r="B18" s="100">
        <f>B17*$E$34</f>
        <v>46.913580246913568</v>
      </c>
      <c r="C18" s="119"/>
      <c r="D18" s="119"/>
      <c r="E18" s="119">
        <f>E17*$E$34</f>
        <v>93.827160493827137</v>
      </c>
      <c r="F18" s="119"/>
      <c r="G18" s="45"/>
      <c r="H18" s="119">
        <f>H17*$E$34</f>
        <v>187.65432098765427</v>
      </c>
      <c r="I18" s="119"/>
      <c r="J18" s="119"/>
      <c r="K18" s="119">
        <f>K17*$E$34</f>
        <v>375.30864197530855</v>
      </c>
      <c r="L18" s="119"/>
      <c r="M18" s="119"/>
      <c r="N18" s="119">
        <f>N17*$E$34</f>
        <v>750.61728395061709</v>
      </c>
      <c r="O18" s="119"/>
      <c r="P18" s="119"/>
      <c r="Q18" s="119">
        <f>Q17*$E$34</f>
        <v>1501.2345679012342</v>
      </c>
      <c r="R18" s="119"/>
      <c r="S18" s="119"/>
      <c r="T18" s="119">
        <f>T17*$E$34</f>
        <v>3002.4691358024684</v>
      </c>
      <c r="U18" s="119"/>
      <c r="V18" s="119"/>
      <c r="W18" s="119">
        <f>W17*$E$34</f>
        <v>6004.9382716049367</v>
      </c>
      <c r="X18" s="119"/>
      <c r="Y18" s="119"/>
      <c r="Z18" s="119">
        <f>Z17*$E$34</f>
        <v>12009.876543209873</v>
      </c>
      <c r="AA18" s="119"/>
      <c r="AB18" s="119"/>
      <c r="AC18" s="119">
        <f>AC17*$E$34</f>
        <v>24019.753086419747</v>
      </c>
      <c r="AD18" s="119"/>
      <c r="AE18" s="119"/>
      <c r="AF18" s="119">
        <f>AF17*$E$34</f>
        <v>48039.506172839494</v>
      </c>
      <c r="AG18" s="119"/>
      <c r="AH18" s="119"/>
      <c r="AI18" s="119">
        <f>AI17*$E$34</f>
        <v>96079.012345678988</v>
      </c>
      <c r="AJ18" s="119"/>
      <c r="AK18" s="119"/>
      <c r="AL18" s="119">
        <f>AL17*$E$34</f>
        <v>192158.02469135798</v>
      </c>
      <c r="AM18" s="119"/>
      <c r="AN18" s="119"/>
      <c r="AO18" s="119">
        <f>AO17*$E$34</f>
        <v>384316.04938271595</v>
      </c>
      <c r="AP18" s="45"/>
      <c r="AQ18" s="81" t="s">
        <v>281</v>
      </c>
    </row>
    <row r="19" spans="1:43" s="81" customFormat="1" x14ac:dyDescent="0.25">
      <c r="A19" s="59" t="s">
        <v>283</v>
      </c>
      <c r="B19" s="98">
        <f>B18</f>
        <v>46.913580246913568</v>
      </c>
      <c r="C19" s="99"/>
      <c r="D19" s="99"/>
      <c r="E19" s="99">
        <f>E18</f>
        <v>93.827160493827137</v>
      </c>
      <c r="F19" s="99"/>
      <c r="G19" s="46"/>
      <c r="H19" s="99">
        <f>H18</f>
        <v>187.65432098765427</v>
      </c>
      <c r="I19" s="99"/>
      <c r="J19" s="99"/>
      <c r="K19" s="99">
        <f>K18</f>
        <v>375.30864197530855</v>
      </c>
      <c r="L19" s="99"/>
      <c r="M19" s="99"/>
      <c r="N19" s="99">
        <f>N18</f>
        <v>750.61728395061709</v>
      </c>
      <c r="O19" s="99"/>
      <c r="P19" s="99"/>
      <c r="Q19" s="99">
        <f>Q18</f>
        <v>1501.2345679012342</v>
      </c>
      <c r="R19" s="99"/>
      <c r="S19" s="99"/>
      <c r="T19" s="99">
        <f>T18</f>
        <v>3002.4691358024684</v>
      </c>
      <c r="U19" s="99"/>
      <c r="V19" s="99"/>
      <c r="W19" s="136">
        <f>W18-B18</f>
        <v>5958.0246913580231</v>
      </c>
      <c r="X19" s="136"/>
      <c r="Y19" s="136"/>
      <c r="Z19" s="136">
        <f>Z18-E18</f>
        <v>11916.049382716046</v>
      </c>
      <c r="AA19" s="136"/>
      <c r="AB19" s="136"/>
      <c r="AC19" s="136">
        <f>AC18-H18</f>
        <v>23832.098765432092</v>
      </c>
      <c r="AD19" s="136"/>
      <c r="AE19" s="136"/>
      <c r="AF19" s="136">
        <f>AF18-K18</f>
        <v>47664.197530864185</v>
      </c>
      <c r="AG19" s="136"/>
      <c r="AH19" s="136"/>
      <c r="AI19" s="136">
        <f>AI18-N18</f>
        <v>95328.39506172837</v>
      </c>
      <c r="AJ19" s="136"/>
      <c r="AK19" s="136"/>
      <c r="AL19" s="136">
        <f>AL18-Q18</f>
        <v>190656.79012345674</v>
      </c>
      <c r="AM19" s="136"/>
      <c r="AN19" s="136"/>
      <c r="AO19" s="136">
        <f>AO18-T18</f>
        <v>381313.58024691348</v>
      </c>
      <c r="AP19" s="137"/>
      <c r="AQ19" s="59" t="s">
        <v>283</v>
      </c>
    </row>
    <row r="20" spans="1:43" s="81" customFormat="1" x14ac:dyDescent="0.25">
      <c r="A20" t="s">
        <v>195</v>
      </c>
      <c r="B20" s="100"/>
      <c r="C20" s="119"/>
      <c r="D20" s="119"/>
      <c r="E20" s="119"/>
      <c r="F20" s="119"/>
      <c r="G20" s="45"/>
      <c r="H20" s="120"/>
      <c r="I20" s="121"/>
      <c r="J20" s="122"/>
      <c r="K20" s="146">
        <f>B17*(1-E34)</f>
        <v>200</v>
      </c>
      <c r="L20" s="143"/>
      <c r="M20" s="144"/>
      <c r="N20" s="145">
        <f>E17*(1-E34)</f>
        <v>400</v>
      </c>
      <c r="O20" s="143"/>
      <c r="P20" s="144"/>
      <c r="Q20" s="145">
        <f>H17*(1-E34)</f>
        <v>800</v>
      </c>
      <c r="R20" s="143"/>
      <c r="S20" s="144"/>
      <c r="T20" s="145">
        <f>K17*(1-E34)</f>
        <v>1600</v>
      </c>
      <c r="U20" s="143"/>
      <c r="V20" s="144"/>
      <c r="W20" s="145">
        <f>N17*(1-E34)</f>
        <v>3200</v>
      </c>
      <c r="X20" s="143"/>
      <c r="Y20" s="144"/>
      <c r="Z20" s="145">
        <f>Q17*(1-E34)</f>
        <v>6400</v>
      </c>
      <c r="AA20" s="143"/>
      <c r="AB20" s="144"/>
      <c r="AC20" s="145">
        <f>T17*(1-E34)</f>
        <v>12800</v>
      </c>
      <c r="AD20" s="143"/>
      <c r="AE20" s="144"/>
      <c r="AF20" s="145">
        <f>W17*(1-E34)</f>
        <v>25600</v>
      </c>
      <c r="AG20" s="143"/>
      <c r="AH20" s="144"/>
      <c r="AI20" s="145">
        <f>Z17*(1-E34)</f>
        <v>51200</v>
      </c>
      <c r="AJ20" s="143"/>
      <c r="AK20" s="144"/>
      <c r="AL20" s="145">
        <f>AC17*(1-E34)</f>
        <v>102400</v>
      </c>
      <c r="AM20" s="143"/>
      <c r="AN20" s="144"/>
      <c r="AO20" s="145">
        <f>AF17*(1-E34)</f>
        <v>204800</v>
      </c>
      <c r="AP20" s="91"/>
      <c r="AQ20" t="s">
        <v>195</v>
      </c>
    </row>
    <row r="21" spans="1:43" s="81" customFormat="1" x14ac:dyDescent="0.25">
      <c r="A21" s="81" t="s">
        <v>176</v>
      </c>
      <c r="B21" s="92"/>
      <c r="C21" s="93"/>
      <c r="D21" s="93"/>
      <c r="E21" s="93"/>
      <c r="F21" s="93"/>
      <c r="G21" s="94"/>
      <c r="H21" s="138">
        <f>B17-B18</f>
        <v>200</v>
      </c>
      <c r="I21" s="138"/>
      <c r="J21" s="138"/>
      <c r="K21" s="138">
        <f>E17-E18</f>
        <v>400</v>
      </c>
      <c r="L21" s="138"/>
      <c r="M21" s="138"/>
      <c r="N21" s="138">
        <f>(H17-H18)*$E$35</f>
        <v>736</v>
      </c>
      <c r="O21" s="138"/>
      <c r="P21" s="138"/>
      <c r="Q21" s="138">
        <f>(K17-K18)*$E$35</f>
        <v>1472</v>
      </c>
      <c r="R21" s="138"/>
      <c r="S21" s="138"/>
      <c r="T21" s="138">
        <f>(N17-N18)*$E$35</f>
        <v>2944</v>
      </c>
      <c r="U21" s="138"/>
      <c r="V21" s="138"/>
      <c r="W21" s="138">
        <f>((Q17-Q18)*$E$35)-(H21*$E$35)</f>
        <v>5704</v>
      </c>
      <c r="X21" s="138"/>
      <c r="Y21" s="138"/>
      <c r="Z21" s="138">
        <f>((T17-T18)*$E$35)-(K21*$E$35)</f>
        <v>11408</v>
      </c>
      <c r="AA21" s="138"/>
      <c r="AB21" s="138"/>
      <c r="AC21" s="138">
        <f>((W17-W18)*$E$35)-N21</f>
        <v>22816</v>
      </c>
      <c r="AD21" s="138"/>
      <c r="AE21" s="138"/>
      <c r="AF21" s="138">
        <f>((Z17-Z18)*$E$35)-Q21</f>
        <v>45632</v>
      </c>
      <c r="AG21" s="138"/>
      <c r="AH21" s="138"/>
      <c r="AI21" s="138">
        <f>((AC17-AC18)*$E$35)-T21</f>
        <v>91264</v>
      </c>
      <c r="AJ21" s="138"/>
      <c r="AK21" s="138"/>
      <c r="AL21" s="138">
        <f>((AF17-AF18)*$E$35)-W21</f>
        <v>182712</v>
      </c>
      <c r="AM21" s="138"/>
      <c r="AN21" s="138"/>
      <c r="AO21" s="138">
        <f>((AI17-AI18)*$E$35)-Z21</f>
        <v>365424</v>
      </c>
      <c r="AP21" s="139"/>
      <c r="AQ21" s="81" t="s">
        <v>176</v>
      </c>
    </row>
    <row r="22" spans="1:43" s="81" customFormat="1" x14ac:dyDescent="0.25">
      <c r="A22" s="81" t="s">
        <v>177</v>
      </c>
      <c r="B22" s="92"/>
      <c r="C22" s="93"/>
      <c r="D22" s="93"/>
      <c r="E22" s="93"/>
      <c r="F22" s="93"/>
      <c r="G22" s="94"/>
      <c r="H22" s="121"/>
      <c r="I22" s="121"/>
      <c r="J22" s="121"/>
      <c r="K22" s="121"/>
      <c r="L22" s="121"/>
      <c r="M22" s="122"/>
      <c r="N22" s="140">
        <f>(H17-H18)*($E$36+$E$37)</f>
        <v>64</v>
      </c>
      <c r="O22" s="140"/>
      <c r="P22" s="140"/>
      <c r="Q22" s="140">
        <f>(K17-K18)*($E$36+$E$37)</f>
        <v>128</v>
      </c>
      <c r="R22" s="140"/>
      <c r="S22" s="140"/>
      <c r="T22" s="140">
        <f>(N17-N18)*$E$36</f>
        <v>160</v>
      </c>
      <c r="U22" s="140"/>
      <c r="V22" s="140"/>
      <c r="W22" s="140">
        <f>(Q17-Q18)*$E$36</f>
        <v>320</v>
      </c>
      <c r="X22" s="140"/>
      <c r="Y22" s="140"/>
      <c r="Z22" s="140">
        <f>(T17-T18)*$E$36</f>
        <v>640</v>
      </c>
      <c r="AA22" s="140"/>
      <c r="AB22" s="140"/>
      <c r="AC22" s="140">
        <f>(W17-W18)*$E$36</f>
        <v>1280</v>
      </c>
      <c r="AD22" s="140"/>
      <c r="AE22" s="140"/>
      <c r="AF22" s="140">
        <f>(Z17-Z18)*$E$36</f>
        <v>2560</v>
      </c>
      <c r="AG22" s="140"/>
      <c r="AH22" s="140"/>
      <c r="AI22" s="140">
        <f>(AC17-AC18)*$E$36</f>
        <v>5120</v>
      </c>
      <c r="AJ22" s="140"/>
      <c r="AK22" s="140"/>
      <c r="AL22" s="140">
        <f>(AF17-AF18)*$E$36</f>
        <v>10240</v>
      </c>
      <c r="AM22" s="140"/>
      <c r="AN22" s="140"/>
      <c r="AO22" s="140">
        <f>(AI17-AI18)*$E$36</f>
        <v>20480</v>
      </c>
      <c r="AP22" s="141"/>
      <c r="AQ22" s="81" t="s">
        <v>177</v>
      </c>
    </row>
    <row r="23" spans="1:43" s="81" customFormat="1" x14ac:dyDescent="0.25">
      <c r="A23" s="59" t="s">
        <v>178</v>
      </c>
      <c r="B23" s="92"/>
      <c r="C23" s="93"/>
      <c r="D23" s="93"/>
      <c r="E23" s="93"/>
      <c r="F23" s="93"/>
      <c r="G23" s="94"/>
      <c r="H23" s="99"/>
      <c r="I23" s="99"/>
      <c r="J23" s="99"/>
      <c r="K23" s="99"/>
      <c r="L23" s="99"/>
      <c r="M23" s="99"/>
      <c r="N23" s="121"/>
      <c r="O23" s="121"/>
      <c r="P23" s="121"/>
      <c r="Q23" s="121"/>
      <c r="R23" s="121"/>
      <c r="S23" s="122"/>
      <c r="T23" s="52">
        <f>(N17-N18)*$E$37</f>
        <v>96</v>
      </c>
      <c r="U23" s="52"/>
      <c r="V23" s="52"/>
      <c r="W23" s="52">
        <f>(Q17-Q18)*$E$37</f>
        <v>192</v>
      </c>
      <c r="X23" s="52"/>
      <c r="Y23" s="52"/>
      <c r="Z23" s="52">
        <f>(T17-T18)*$E$37</f>
        <v>384</v>
      </c>
      <c r="AA23" s="52"/>
      <c r="AB23" s="52"/>
      <c r="AC23" s="52">
        <f>(W17-W18)*$E$37</f>
        <v>768</v>
      </c>
      <c r="AD23" s="52"/>
      <c r="AE23" s="52"/>
      <c r="AF23" s="52">
        <f>(Z17-Z18)*$E$37</f>
        <v>1536</v>
      </c>
      <c r="AG23" s="52"/>
      <c r="AH23" s="52"/>
      <c r="AI23" s="52">
        <f>(AC17-AC18)*$E$37</f>
        <v>3072</v>
      </c>
      <c r="AJ23" s="52"/>
      <c r="AK23" s="52"/>
      <c r="AL23" s="52">
        <f>(AF17-AF18)*$E$37</f>
        <v>6144</v>
      </c>
      <c r="AM23" s="52"/>
      <c r="AN23" s="52"/>
      <c r="AO23" s="52">
        <f>(AI17-AI18)*$E$37</f>
        <v>12288</v>
      </c>
      <c r="AP23" s="142"/>
      <c r="AQ23" s="59" t="s">
        <v>178</v>
      </c>
    </row>
    <row r="24" spans="1:43" s="81" customFormat="1" x14ac:dyDescent="0.25">
      <c r="A24" s="59" t="s">
        <v>183</v>
      </c>
      <c r="B24" s="98"/>
      <c r="C24" s="99"/>
      <c r="D24" s="99"/>
      <c r="E24" s="99"/>
      <c r="F24" s="99"/>
      <c r="G24" s="46"/>
      <c r="H24" s="99"/>
      <c r="I24" s="99"/>
      <c r="J24" s="99"/>
      <c r="K24" s="99"/>
      <c r="L24" s="99"/>
      <c r="M24" s="99"/>
      <c r="N24" s="99"/>
      <c r="O24" s="99"/>
      <c r="P24" s="99"/>
      <c r="Q24" s="99"/>
      <c r="R24" s="99"/>
      <c r="S24" s="99"/>
      <c r="T24" s="121"/>
      <c r="U24" s="122"/>
      <c r="V24" s="123">
        <f>H21*$E$35</f>
        <v>184</v>
      </c>
      <c r="W24" s="123"/>
      <c r="X24" s="123"/>
      <c r="Y24" s="123">
        <f>K21*$E$35</f>
        <v>368</v>
      </c>
      <c r="Z24" s="123"/>
      <c r="AA24" s="123"/>
      <c r="AB24" s="123">
        <f>N21</f>
        <v>736</v>
      </c>
      <c r="AC24" s="123"/>
      <c r="AD24" s="123"/>
      <c r="AE24" s="123">
        <f>Q21</f>
        <v>1472</v>
      </c>
      <c r="AF24" s="123"/>
      <c r="AG24" s="123"/>
      <c r="AH24" s="123">
        <f>T21</f>
        <v>2944</v>
      </c>
      <c r="AI24" s="123"/>
      <c r="AJ24" s="123"/>
      <c r="AK24" s="123">
        <f>W21</f>
        <v>5704</v>
      </c>
      <c r="AL24" s="123"/>
      <c r="AM24" s="123"/>
      <c r="AN24" s="123">
        <f>Z21</f>
        <v>11408</v>
      </c>
      <c r="AO24" s="123"/>
      <c r="AP24" s="124"/>
      <c r="AQ24" s="59" t="s">
        <v>183</v>
      </c>
    </row>
    <row r="25" spans="1:43" x14ac:dyDescent="0.25">
      <c r="A25" s="59" t="s">
        <v>172</v>
      </c>
      <c r="B25" s="113"/>
      <c r="C25" s="114"/>
      <c r="D25" s="114"/>
      <c r="E25" s="114"/>
      <c r="F25" s="114"/>
      <c r="G25" s="115"/>
      <c r="H25" s="106"/>
      <c r="I25" s="106"/>
      <c r="J25" s="106"/>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47">
        <f>E32</f>
        <v>1</v>
      </c>
      <c r="AQ25" s="59" t="s">
        <v>172</v>
      </c>
    </row>
    <row r="26" spans="1:43" x14ac:dyDescent="0.25">
      <c r="A26" s="148" t="s">
        <v>200</v>
      </c>
      <c r="B26" s="103">
        <f t="shared" ref="B26:G26" ca="1" si="0">C26-1</f>
        <v>43894.680232638886</v>
      </c>
      <c r="C26" s="104">
        <f t="shared" ca="1" si="0"/>
        <v>43895.680232638886</v>
      </c>
      <c r="D26" s="104">
        <f t="shared" ca="1" si="0"/>
        <v>43896.680232638886</v>
      </c>
      <c r="E26" s="104">
        <f t="shared" ca="1" si="0"/>
        <v>43897.680232638886</v>
      </c>
      <c r="F26" s="104">
        <f t="shared" ca="1" si="0"/>
        <v>43898.680232638886</v>
      </c>
      <c r="G26" s="105">
        <f t="shared" ca="1" si="0"/>
        <v>43899.680232638886</v>
      </c>
      <c r="H26" s="104">
        <f t="shared" ref="H26:U26" ca="1" si="1">I26-1</f>
        <v>43900.680232638886</v>
      </c>
      <c r="I26" s="104">
        <f t="shared" ca="1" si="1"/>
        <v>43901.680232638886</v>
      </c>
      <c r="J26" s="104">
        <f t="shared" ca="1" si="1"/>
        <v>43902.680232638886</v>
      </c>
      <c r="K26" s="104">
        <f t="shared" ca="1" si="1"/>
        <v>43903.680232638886</v>
      </c>
      <c r="L26" s="104">
        <f t="shared" ca="1" si="1"/>
        <v>43904.680232638886</v>
      </c>
      <c r="M26" s="104">
        <f t="shared" ca="1" si="1"/>
        <v>43905.680232638886</v>
      </c>
      <c r="N26" s="105">
        <f t="shared" ca="1" si="1"/>
        <v>43906.680232638886</v>
      </c>
      <c r="O26" s="103">
        <f t="shared" ca="1" si="1"/>
        <v>43907.680232638886</v>
      </c>
      <c r="P26" s="104">
        <f t="shared" ca="1" si="1"/>
        <v>43908.680232638886</v>
      </c>
      <c r="Q26" s="104">
        <f t="shared" ca="1" si="1"/>
        <v>43909.680232638886</v>
      </c>
      <c r="R26" s="104">
        <f t="shared" ca="1" si="1"/>
        <v>43910.680232638886</v>
      </c>
      <c r="S26" s="104">
        <f t="shared" ca="1" si="1"/>
        <v>43911.680232638886</v>
      </c>
      <c r="T26" s="104">
        <f t="shared" ca="1" si="1"/>
        <v>43912.680232638886</v>
      </c>
      <c r="U26" s="105">
        <f t="shared" ca="1" si="1"/>
        <v>43913.680232638886</v>
      </c>
      <c r="V26" s="103">
        <f t="shared" ref="V26:AN26" ca="1" si="2">W26-1</f>
        <v>43914.680232638886</v>
      </c>
      <c r="W26" s="104">
        <f t="shared" ca="1" si="2"/>
        <v>43915.680232638886</v>
      </c>
      <c r="X26" s="104">
        <f t="shared" ca="1" si="2"/>
        <v>43916.680232638886</v>
      </c>
      <c r="Y26" s="104">
        <f t="shared" ca="1" si="2"/>
        <v>43917.680232638886</v>
      </c>
      <c r="Z26" s="104">
        <f t="shared" ca="1" si="2"/>
        <v>43918.680232638886</v>
      </c>
      <c r="AA26" s="104">
        <f t="shared" ca="1" si="2"/>
        <v>43919.680232638886</v>
      </c>
      <c r="AB26" s="105">
        <f t="shared" ca="1" si="2"/>
        <v>43920.680232638886</v>
      </c>
      <c r="AC26" s="103">
        <f t="shared" ca="1" si="2"/>
        <v>43921.680232638886</v>
      </c>
      <c r="AD26" s="104">
        <f t="shared" ca="1" si="2"/>
        <v>43922.680232638886</v>
      </c>
      <c r="AE26" s="104">
        <f t="shared" ca="1" si="2"/>
        <v>43923.680232638886</v>
      </c>
      <c r="AF26" s="104">
        <f t="shared" ca="1" si="2"/>
        <v>43924.680232638886</v>
      </c>
      <c r="AG26" s="104">
        <f t="shared" ca="1" si="2"/>
        <v>43925.680232638886</v>
      </c>
      <c r="AH26" s="104">
        <f t="shared" ca="1" si="2"/>
        <v>43926.680232638886</v>
      </c>
      <c r="AI26" s="105">
        <f t="shared" ca="1" si="2"/>
        <v>43927.680232638886</v>
      </c>
      <c r="AJ26" s="103">
        <f t="shared" ca="1" si="2"/>
        <v>43928.680232638886</v>
      </c>
      <c r="AK26" s="104">
        <f t="shared" ca="1" si="2"/>
        <v>43929.680232638886</v>
      </c>
      <c r="AL26" s="104">
        <f t="shared" ca="1" si="2"/>
        <v>43930.680232638886</v>
      </c>
      <c r="AM26" s="104">
        <f t="shared" ca="1" si="2"/>
        <v>43931.680232638886</v>
      </c>
      <c r="AN26" s="104">
        <f t="shared" ca="1" si="2"/>
        <v>43932.680232638886</v>
      </c>
      <c r="AO26" s="104">
        <f ca="1">AP26-1</f>
        <v>43933.680232638886</v>
      </c>
      <c r="AP26" s="125">
        <f ca="1">NOW()</f>
        <v>43934.680232638886</v>
      </c>
    </row>
    <row r="27" spans="1:43" x14ac:dyDescent="0.25">
      <c r="A27" s="149" t="s">
        <v>201</v>
      </c>
      <c r="B27" s="132">
        <v>1</v>
      </c>
      <c r="C27" s="133">
        <v>2</v>
      </c>
      <c r="D27" s="132">
        <v>3</v>
      </c>
      <c r="E27" s="133">
        <v>4</v>
      </c>
      <c r="F27" s="132">
        <v>5</v>
      </c>
      <c r="G27" s="134">
        <v>6</v>
      </c>
      <c r="H27" s="133">
        <v>7</v>
      </c>
      <c r="I27" s="133">
        <v>8</v>
      </c>
      <c r="J27" s="133">
        <v>9</v>
      </c>
      <c r="K27" s="133">
        <v>10</v>
      </c>
      <c r="L27" s="133">
        <v>11</v>
      </c>
      <c r="M27" s="133">
        <v>12</v>
      </c>
      <c r="N27" s="134">
        <v>13</v>
      </c>
      <c r="O27" s="132">
        <v>14</v>
      </c>
      <c r="P27" s="133">
        <v>15</v>
      </c>
      <c r="Q27" s="133">
        <v>16</v>
      </c>
      <c r="R27" s="133">
        <v>17</v>
      </c>
      <c r="S27" s="133">
        <v>18</v>
      </c>
      <c r="T27" s="133">
        <v>19</v>
      </c>
      <c r="U27" s="134">
        <v>20</v>
      </c>
      <c r="V27" s="132">
        <v>21</v>
      </c>
      <c r="W27" s="133">
        <v>22</v>
      </c>
      <c r="X27" s="133">
        <v>23</v>
      </c>
      <c r="Y27" s="133">
        <v>24</v>
      </c>
      <c r="Z27" s="133">
        <v>25</v>
      </c>
      <c r="AA27" s="133">
        <v>26</v>
      </c>
      <c r="AB27" s="134">
        <v>27</v>
      </c>
      <c r="AC27" s="132">
        <v>28</v>
      </c>
      <c r="AD27" s="133">
        <v>29</v>
      </c>
      <c r="AE27" s="133">
        <v>30</v>
      </c>
      <c r="AF27" s="133">
        <v>31</v>
      </c>
      <c r="AG27" s="133">
        <v>32</v>
      </c>
      <c r="AH27" s="133">
        <v>33</v>
      </c>
      <c r="AI27" s="134">
        <v>34</v>
      </c>
      <c r="AJ27" s="132">
        <v>35</v>
      </c>
      <c r="AK27" s="133">
        <v>36</v>
      </c>
      <c r="AL27" s="133">
        <v>37</v>
      </c>
      <c r="AM27" s="133">
        <v>38</v>
      </c>
      <c r="AN27" s="133">
        <v>39</v>
      </c>
      <c r="AO27" s="133">
        <v>40</v>
      </c>
      <c r="AP27" s="134">
        <v>41</v>
      </c>
    </row>
    <row r="28" spans="1:43" x14ac:dyDescent="0.25">
      <c r="A28" s="150" t="s">
        <v>202</v>
      </c>
      <c r="B28" s="284" t="s">
        <v>170</v>
      </c>
      <c r="C28" s="285"/>
      <c r="D28" s="285"/>
      <c r="E28" s="285"/>
      <c r="F28" s="285"/>
      <c r="G28" s="286"/>
      <c r="H28" s="290" t="s">
        <v>157</v>
      </c>
      <c r="I28" s="290"/>
      <c r="J28" s="290"/>
      <c r="K28" s="290"/>
      <c r="L28" s="290"/>
      <c r="M28" s="290"/>
      <c r="N28" s="291"/>
      <c r="O28" s="289" t="s">
        <v>158</v>
      </c>
      <c r="P28" s="290"/>
      <c r="Q28" s="290"/>
      <c r="R28" s="290"/>
      <c r="S28" s="290"/>
      <c r="T28" s="290"/>
      <c r="U28" s="291"/>
      <c r="V28" s="289" t="s">
        <v>159</v>
      </c>
      <c r="W28" s="290"/>
      <c r="X28" s="290"/>
      <c r="Y28" s="290"/>
      <c r="Z28" s="290"/>
      <c r="AA28" s="290"/>
      <c r="AB28" s="291"/>
      <c r="AC28" s="289" t="s">
        <v>160</v>
      </c>
      <c r="AD28" s="290"/>
      <c r="AE28" s="290"/>
      <c r="AF28" s="290"/>
      <c r="AG28" s="290"/>
      <c r="AH28" s="290"/>
      <c r="AI28" s="291"/>
      <c r="AJ28" s="289" t="s">
        <v>161</v>
      </c>
      <c r="AK28" s="290"/>
      <c r="AL28" s="290"/>
      <c r="AM28" s="290"/>
      <c r="AN28" s="290"/>
      <c r="AO28" s="290"/>
      <c r="AP28" s="291"/>
    </row>
    <row r="29" spans="1:43" x14ac:dyDescent="0.25">
      <c r="B29" s="63" t="s">
        <v>182</v>
      </c>
      <c r="C29" s="110"/>
      <c r="D29" s="110"/>
      <c r="E29" s="110"/>
      <c r="F29" s="110"/>
      <c r="G29" s="111"/>
      <c r="H29" s="287" t="s">
        <v>169</v>
      </c>
      <c r="I29" s="287"/>
      <c r="J29" s="287"/>
      <c r="K29" s="287"/>
      <c r="L29" s="287"/>
      <c r="M29" s="287"/>
      <c r="N29" s="287"/>
      <c r="O29" s="287"/>
      <c r="P29" s="287"/>
      <c r="Q29" s="287"/>
      <c r="R29" s="287"/>
      <c r="S29" s="287"/>
      <c r="T29" s="287"/>
      <c r="U29" s="287"/>
      <c r="V29" s="287"/>
      <c r="W29" s="287"/>
      <c r="X29" s="287"/>
      <c r="Y29" s="287"/>
      <c r="Z29" s="287"/>
      <c r="AA29" s="287"/>
      <c r="AB29" s="287"/>
      <c r="AC29" s="287"/>
      <c r="AD29" s="287"/>
      <c r="AE29" s="287"/>
      <c r="AF29" s="287"/>
      <c r="AG29" s="287"/>
      <c r="AH29" s="287"/>
      <c r="AI29" s="287"/>
      <c r="AJ29" s="287"/>
      <c r="AK29" s="287"/>
      <c r="AL29" s="287"/>
      <c r="AM29" s="287"/>
      <c r="AN29" s="287"/>
      <c r="AO29" s="287"/>
      <c r="AP29" s="288"/>
    </row>
    <row r="31" spans="1:43" x14ac:dyDescent="0.25">
      <c r="B31" s="69" t="s">
        <v>171</v>
      </c>
      <c r="C31" s="153" t="s">
        <v>296</v>
      </c>
      <c r="D31" s="21"/>
      <c r="E31" s="97">
        <f>VLOOKUP(C31,B43:C54,2,FALSE)</f>
        <v>5.0000000000000001E-3</v>
      </c>
      <c r="F31" s="21"/>
      <c r="G31" s="21"/>
      <c r="H31" s="21"/>
      <c r="I31" s="17"/>
    </row>
    <row r="32" spans="1:43" x14ac:dyDescent="0.25">
      <c r="B32" s="53" t="s">
        <v>199</v>
      </c>
      <c r="C32" s="28"/>
      <c r="D32" s="28"/>
      <c r="E32" s="154">
        <v>1</v>
      </c>
      <c r="F32" s="28"/>
      <c r="G32" s="28"/>
      <c r="H32" s="28"/>
      <c r="I32" s="29"/>
    </row>
    <row r="33" spans="2:9" x14ac:dyDescent="0.25">
      <c r="B33" s="53" t="s">
        <v>173</v>
      </c>
      <c r="C33" s="28"/>
      <c r="D33" s="28"/>
      <c r="E33" s="28">
        <v>3</v>
      </c>
      <c r="F33" s="28" t="s">
        <v>174</v>
      </c>
      <c r="G33" s="28"/>
      <c r="H33" s="28"/>
      <c r="I33" s="29"/>
    </row>
    <row r="34" spans="2:9" x14ac:dyDescent="0.25">
      <c r="B34" s="53" t="s">
        <v>295</v>
      </c>
      <c r="C34" s="28"/>
      <c r="D34" s="28"/>
      <c r="E34" s="155">
        <f>1-Projections!B6</f>
        <v>0.18999999999999995</v>
      </c>
      <c r="F34" s="28" t="s">
        <v>197</v>
      </c>
      <c r="G34" s="28"/>
      <c r="H34" s="28"/>
      <c r="I34" s="29"/>
    </row>
    <row r="35" spans="2:9" x14ac:dyDescent="0.25">
      <c r="B35" s="53" t="s">
        <v>179</v>
      </c>
      <c r="C35" s="28"/>
      <c r="D35" s="28"/>
      <c r="E35" s="155">
        <v>0.92</v>
      </c>
      <c r="F35" s="28" t="s">
        <v>198</v>
      </c>
      <c r="G35" s="28"/>
      <c r="H35" s="28"/>
      <c r="I35" s="29"/>
    </row>
    <row r="36" spans="2:9" x14ac:dyDescent="0.25">
      <c r="B36" s="53" t="s">
        <v>180</v>
      </c>
      <c r="C36" s="28"/>
      <c r="D36" s="28"/>
      <c r="E36" s="155">
        <v>0.05</v>
      </c>
      <c r="F36" s="28" t="s">
        <v>198</v>
      </c>
      <c r="G36" s="28"/>
      <c r="H36" s="28"/>
      <c r="I36" s="29"/>
    </row>
    <row r="37" spans="2:9" x14ac:dyDescent="0.25">
      <c r="B37" s="53" t="s">
        <v>181</v>
      </c>
      <c r="C37" s="28"/>
      <c r="D37" s="28"/>
      <c r="E37" s="155">
        <v>0.03</v>
      </c>
      <c r="F37" s="28" t="s">
        <v>198</v>
      </c>
      <c r="G37" s="28"/>
      <c r="H37" s="28"/>
      <c r="I37" s="29"/>
    </row>
    <row r="38" spans="2:9" x14ac:dyDescent="0.25">
      <c r="B38" s="53" t="s">
        <v>184</v>
      </c>
      <c r="C38" s="28"/>
      <c r="D38" s="28"/>
      <c r="E38" s="151">
        <v>2</v>
      </c>
      <c r="F38" s="28" t="s">
        <v>185</v>
      </c>
      <c r="G38" s="28"/>
      <c r="H38" s="28"/>
      <c r="I38" s="29"/>
    </row>
    <row r="39" spans="2:9" x14ac:dyDescent="0.25">
      <c r="B39" s="49" t="s">
        <v>186</v>
      </c>
      <c r="C39" s="152"/>
      <c r="D39" s="51"/>
      <c r="E39" s="131">
        <v>4</v>
      </c>
      <c r="F39" s="51" t="s">
        <v>185</v>
      </c>
      <c r="G39" s="51" t="s">
        <v>187</v>
      </c>
      <c r="H39" s="51"/>
      <c r="I39" s="75"/>
    </row>
    <row r="42" spans="2:9" x14ac:dyDescent="0.25">
      <c r="B42" t="s">
        <v>193</v>
      </c>
    </row>
    <row r="43" spans="2:9" x14ac:dyDescent="0.25">
      <c r="B43" s="16" t="s">
        <v>192</v>
      </c>
      <c r="C43" s="130">
        <v>3.5000000000000003E-2</v>
      </c>
    </row>
    <row r="44" spans="2:9" x14ac:dyDescent="0.25">
      <c r="B44" s="53" t="s">
        <v>191</v>
      </c>
      <c r="C44" s="39">
        <v>2.3E-2</v>
      </c>
    </row>
    <row r="45" spans="2:9" x14ac:dyDescent="0.25">
      <c r="B45" s="53" t="s">
        <v>296</v>
      </c>
      <c r="C45" s="39">
        <f>Projections!B13</f>
        <v>5.0000000000000001E-3</v>
      </c>
    </row>
    <row r="46" spans="2:9" x14ac:dyDescent="0.25">
      <c r="B46" s="53" t="s">
        <v>13</v>
      </c>
      <c r="C46" s="39">
        <v>0.14799999999999999</v>
      </c>
    </row>
    <row r="47" spans="2:9" x14ac:dyDescent="0.25">
      <c r="B47" s="53" t="s">
        <v>14</v>
      </c>
      <c r="C47" s="39">
        <v>0.08</v>
      </c>
    </row>
    <row r="48" spans="2:9" x14ac:dyDescent="0.25">
      <c r="B48" s="53" t="s">
        <v>15</v>
      </c>
      <c r="C48" s="39">
        <v>3.5999999999999997E-2</v>
      </c>
    </row>
    <row r="49" spans="2:22" x14ac:dyDescent="0.25">
      <c r="B49" s="53" t="s">
        <v>16</v>
      </c>
      <c r="C49" s="39">
        <v>1.2999999999999999E-2</v>
      </c>
      <c r="V49" s="135"/>
    </row>
    <row r="50" spans="2:22" x14ac:dyDescent="0.25">
      <c r="B50" s="53" t="s">
        <v>17</v>
      </c>
      <c r="C50" s="39">
        <v>4.0000000000000001E-3</v>
      </c>
    </row>
    <row r="51" spans="2:22" x14ac:dyDescent="0.25">
      <c r="B51" s="53" t="s">
        <v>18</v>
      </c>
      <c r="C51" s="39">
        <v>2E-3</v>
      </c>
    </row>
    <row r="52" spans="2:22" x14ac:dyDescent="0.25">
      <c r="B52" s="53" t="s">
        <v>19</v>
      </c>
      <c r="C52" s="39">
        <v>2E-3</v>
      </c>
    </row>
    <row r="53" spans="2:22" x14ac:dyDescent="0.25">
      <c r="B53" s="54" t="s">
        <v>20</v>
      </c>
      <c r="C53" s="39">
        <v>2E-3</v>
      </c>
    </row>
    <row r="54" spans="2:22" x14ac:dyDescent="0.25">
      <c r="B54" s="55" t="s">
        <v>21</v>
      </c>
      <c r="C54" s="40">
        <v>0</v>
      </c>
    </row>
    <row r="56" spans="2:22" x14ac:dyDescent="0.25">
      <c r="B56" t="s">
        <v>203</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E86"/>
  <sheetViews>
    <sheetView tabSelected="1" topLeftCell="A3" zoomScaleNormal="100" workbookViewId="0">
      <selection activeCell="U9" sqref="U9"/>
    </sheetView>
  </sheetViews>
  <sheetFormatPr defaultRowHeight="15" x14ac:dyDescent="0.25"/>
  <cols>
    <col min="1" max="1" width="44.28515625" customWidth="1"/>
    <col min="2" max="2" width="16.7109375" bestFit="1" customWidth="1"/>
    <col min="3" max="3" width="10.7109375" bestFit="1" customWidth="1"/>
    <col min="4" max="4" width="13.5703125" bestFit="1" customWidth="1"/>
    <col min="5" max="5" width="10.7109375" bestFit="1" customWidth="1"/>
    <col min="6" max="6" width="11.28515625" customWidth="1"/>
    <col min="7" max="7" width="10.7109375" customWidth="1"/>
    <col min="8" max="8" width="10.85546875" bestFit="1" customWidth="1"/>
    <col min="9" max="9" width="10.7109375" bestFit="1" customWidth="1"/>
    <col min="10" max="11" width="10.85546875" bestFit="1" customWidth="1"/>
    <col min="12" max="12" width="10.5703125" customWidth="1"/>
    <col min="13" max="13" width="11.28515625" bestFit="1" customWidth="1"/>
    <col min="14" max="14" width="11" customWidth="1"/>
    <col min="15" max="15" width="10.7109375" customWidth="1"/>
    <col min="16" max="17" width="10.85546875" bestFit="1" customWidth="1"/>
    <col min="18" max="18" width="10.85546875" customWidth="1"/>
    <col min="19" max="19" width="10.7109375" bestFit="1" customWidth="1"/>
    <col min="20" max="20" width="10.85546875" bestFit="1" customWidth="1"/>
    <col min="21" max="21" width="11.28515625" customWidth="1"/>
    <col min="22" max="23" width="10.7109375" bestFit="1" customWidth="1"/>
    <col min="24" max="24" width="10.7109375" customWidth="1"/>
    <col min="25" max="25" width="11.28515625" customWidth="1"/>
    <col min="26" max="26" width="10.85546875" bestFit="1" customWidth="1"/>
    <col min="27" max="27" width="11.28515625" bestFit="1" customWidth="1"/>
    <col min="28" max="28" width="10.5703125" style="81" bestFit="1" customWidth="1"/>
    <col min="29" max="29" width="11.140625" bestFit="1" customWidth="1"/>
    <col min="30" max="30" width="12.140625" bestFit="1" customWidth="1"/>
  </cols>
  <sheetData>
    <row r="1" spans="1:28" x14ac:dyDescent="0.25">
      <c r="D1" t="s">
        <v>224</v>
      </c>
    </row>
    <row r="2" spans="1:28" x14ac:dyDescent="0.25">
      <c r="D2" s="174">
        <v>43862</v>
      </c>
      <c r="E2" s="175" t="s">
        <v>271</v>
      </c>
      <c r="F2" s="174">
        <f>D2+14</f>
        <v>43876</v>
      </c>
    </row>
    <row r="3" spans="1:28" x14ac:dyDescent="0.25">
      <c r="F3" s="174">
        <v>43891</v>
      </c>
      <c r="G3" s="175" t="s">
        <v>272</v>
      </c>
      <c r="H3" s="175"/>
      <c r="I3" s="175"/>
      <c r="J3" s="174">
        <f>F3+14</f>
        <v>43905</v>
      </c>
    </row>
    <row r="4" spans="1:28" x14ac:dyDescent="0.25">
      <c r="G4" s="174">
        <v>43895</v>
      </c>
      <c r="H4" s="175" t="s">
        <v>273</v>
      </c>
      <c r="I4" s="175"/>
      <c r="J4" s="175"/>
      <c r="K4" s="174">
        <f>G4+14</f>
        <v>43909</v>
      </c>
    </row>
    <row r="5" spans="1:28" x14ac:dyDescent="0.25">
      <c r="A5" s="16" t="s">
        <v>0</v>
      </c>
      <c r="B5" s="170">
        <v>25634000</v>
      </c>
      <c r="C5" t="s">
        <v>151</v>
      </c>
      <c r="I5" s="174">
        <v>43901</v>
      </c>
      <c r="J5" s="175" t="s">
        <v>277</v>
      </c>
      <c r="K5" s="175"/>
      <c r="L5" s="175"/>
      <c r="M5" s="174">
        <f>I5+14</f>
        <v>43915</v>
      </c>
    </row>
    <row r="6" spans="1:28" x14ac:dyDescent="0.25">
      <c r="A6" s="16" t="s">
        <v>218</v>
      </c>
      <c r="B6" s="171">
        <v>0.81</v>
      </c>
      <c r="C6" t="s">
        <v>217</v>
      </c>
      <c r="J6" s="174">
        <v>43906</v>
      </c>
      <c r="K6" s="175" t="s">
        <v>274</v>
      </c>
      <c r="L6" s="175"/>
      <c r="M6" s="175"/>
      <c r="N6" s="174">
        <f>J6+14</f>
        <v>43920</v>
      </c>
    </row>
    <row r="7" spans="1:28" x14ac:dyDescent="0.25">
      <c r="A7" s="49" t="s">
        <v>220</v>
      </c>
      <c r="B7" s="129">
        <v>0.2</v>
      </c>
      <c r="K7" s="174">
        <v>43908</v>
      </c>
      <c r="L7" s="209" t="s">
        <v>275</v>
      </c>
      <c r="M7" s="209"/>
      <c r="N7" s="174">
        <f>K7+14</f>
        <v>43922</v>
      </c>
    </row>
    <row r="8" spans="1:28" x14ac:dyDescent="0.25">
      <c r="A8" s="53" t="s">
        <v>144</v>
      </c>
      <c r="B8" s="126">
        <v>2.6</v>
      </c>
      <c r="C8" s="76">
        <f>(B5/1000)*B8</f>
        <v>66648.400000000009</v>
      </c>
      <c r="L8" s="174">
        <v>43911</v>
      </c>
      <c r="M8" s="175" t="s">
        <v>276</v>
      </c>
      <c r="N8" s="174">
        <f>L8+14</f>
        <v>43925</v>
      </c>
    </row>
    <row r="9" spans="1:28" x14ac:dyDescent="0.25">
      <c r="A9" s="53" t="s">
        <v>145</v>
      </c>
      <c r="B9" s="126">
        <v>7.4</v>
      </c>
      <c r="C9" s="73">
        <f>(B5/100000)*B9</f>
        <v>1896.9159999999999</v>
      </c>
      <c r="L9" s="174">
        <v>43913</v>
      </c>
      <c r="M9" s="175" t="s">
        <v>221</v>
      </c>
      <c r="N9" s="174">
        <f>L9+14</f>
        <v>43927</v>
      </c>
      <c r="S9" s="177"/>
    </row>
    <row r="10" spans="1:28" x14ac:dyDescent="0.25">
      <c r="A10" s="16" t="s">
        <v>176</v>
      </c>
      <c r="B10" s="127">
        <v>0.92</v>
      </c>
      <c r="C10" s="2" t="s">
        <v>293</v>
      </c>
      <c r="M10" s="176">
        <v>43915</v>
      </c>
      <c r="N10" s="175" t="s">
        <v>222</v>
      </c>
      <c r="O10" s="174">
        <f>M10+14</f>
        <v>43929</v>
      </c>
    </row>
    <row r="11" spans="1:28" x14ac:dyDescent="0.25">
      <c r="A11" s="53" t="s">
        <v>177</v>
      </c>
      <c r="B11" s="128">
        <v>0.05</v>
      </c>
      <c r="C11" s="2" t="s">
        <v>292</v>
      </c>
      <c r="L11" s="28"/>
      <c r="N11" s="174">
        <v>43920</v>
      </c>
      <c r="O11" s="175" t="s">
        <v>223</v>
      </c>
      <c r="P11" s="174">
        <f>N11+14</f>
        <v>43934</v>
      </c>
      <c r="S11" s="177"/>
    </row>
    <row r="12" spans="1:28" x14ac:dyDescent="0.25">
      <c r="A12" s="49" t="s">
        <v>213</v>
      </c>
      <c r="B12" s="129">
        <v>0.03</v>
      </c>
      <c r="C12" s="2" t="s">
        <v>291</v>
      </c>
      <c r="D12" s="250" t="s">
        <v>285</v>
      </c>
      <c r="K12" s="28"/>
      <c r="L12" s="265" t="s">
        <v>164</v>
      </c>
      <c r="M12" s="266"/>
      <c r="N12" s="267"/>
      <c r="O12" s="81"/>
      <c r="Z12" s="192"/>
    </row>
    <row r="13" spans="1:28" x14ac:dyDescent="0.25">
      <c r="A13" s="49" t="s">
        <v>219</v>
      </c>
      <c r="B13" s="77">
        <v>5.0000000000000001E-3</v>
      </c>
      <c r="C13" s="2"/>
      <c r="D13" s="195" t="s">
        <v>270</v>
      </c>
      <c r="L13" s="268" t="s">
        <v>152</v>
      </c>
      <c r="M13" s="209"/>
      <c r="N13" s="269"/>
      <c r="O13" s="81"/>
      <c r="Y13" s="193"/>
    </row>
    <row r="14" spans="1:28" x14ac:dyDescent="0.25">
      <c r="A14" s="168" t="s">
        <v>206</v>
      </c>
      <c r="B14" s="169">
        <v>43855</v>
      </c>
      <c r="C14" s="2"/>
      <c r="D14" s="292">
        <f>(X17-G17)/(LOG(X18/G18)/LOG(2))</f>
        <v>25.117647058823529</v>
      </c>
      <c r="E14" s="192"/>
      <c r="J14" s="28"/>
      <c r="K14" s="28"/>
      <c r="L14" s="53"/>
      <c r="M14" s="209" t="s">
        <v>153</v>
      </c>
      <c r="N14" s="269"/>
      <c r="O14" s="81"/>
    </row>
    <row r="15" spans="1:28" x14ac:dyDescent="0.25">
      <c r="A15" s="28"/>
      <c r="B15" s="62" t="s">
        <v>150</v>
      </c>
      <c r="C15" s="22"/>
      <c r="D15" s="28"/>
      <c r="E15" s="28"/>
      <c r="F15" s="28"/>
      <c r="G15" s="28"/>
      <c r="H15" s="28"/>
      <c r="I15" s="28"/>
      <c r="J15" s="28"/>
      <c r="K15" s="28"/>
      <c r="L15" s="53"/>
      <c r="M15" s="28"/>
      <c r="N15" s="269" t="s">
        <v>154</v>
      </c>
      <c r="O15" s="59"/>
      <c r="P15" s="28"/>
      <c r="Q15" s="28"/>
      <c r="R15" s="28"/>
      <c r="S15" s="28"/>
      <c r="T15" s="28"/>
      <c r="U15" s="28"/>
      <c r="V15" s="28"/>
      <c r="W15" s="28"/>
      <c r="X15" s="28"/>
      <c r="Y15" s="250" t="s">
        <v>287</v>
      </c>
      <c r="AB15" s="167"/>
    </row>
    <row r="16" spans="1:28" x14ac:dyDescent="0.25">
      <c r="A16" s="65" t="s">
        <v>133</v>
      </c>
      <c r="B16" s="207">
        <v>43892</v>
      </c>
      <c r="C16" s="207">
        <v>43908</v>
      </c>
      <c r="D16" s="207">
        <v>43914</v>
      </c>
      <c r="E16" s="207">
        <v>43919</v>
      </c>
      <c r="F16" s="207"/>
      <c r="G16" s="208" t="s">
        <v>165</v>
      </c>
      <c r="H16" s="28"/>
      <c r="I16" s="28"/>
      <c r="J16" s="28"/>
      <c r="K16" s="28"/>
      <c r="L16" s="49"/>
      <c r="M16" s="51"/>
      <c r="N16" s="75"/>
      <c r="O16" s="101" t="s">
        <v>288</v>
      </c>
      <c r="P16" s="198" t="s">
        <v>286</v>
      </c>
      <c r="Q16" s="28"/>
      <c r="R16" s="28"/>
      <c r="S16" s="28"/>
      <c r="U16" s="28"/>
      <c r="V16" s="28"/>
      <c r="W16" s="28"/>
      <c r="X16" s="28"/>
      <c r="AB16" s="280" t="s">
        <v>294</v>
      </c>
    </row>
    <row r="17" spans="1:31" x14ac:dyDescent="0.25">
      <c r="A17" s="16" t="s">
        <v>12</v>
      </c>
      <c r="B17" s="172">
        <v>4</v>
      </c>
      <c r="C17" s="173">
        <v>3</v>
      </c>
      <c r="D17" s="96">
        <v>5</v>
      </c>
      <c r="E17" s="21">
        <v>40</v>
      </c>
      <c r="F17" s="21"/>
      <c r="G17" s="247">
        <v>43892</v>
      </c>
      <c r="H17" s="248">
        <f>G17+HLOOKUP(G17+1, $B$16:$F$17,2,TRUE)</f>
        <v>43896</v>
      </c>
      <c r="I17" s="248">
        <f t="shared" ref="I17:X17" si="0">H17+HLOOKUP(H17+1, $B$16:$F$17,2,TRUE)</f>
        <v>43900</v>
      </c>
      <c r="J17" s="248">
        <f t="shared" si="0"/>
        <v>43904</v>
      </c>
      <c r="K17" s="248">
        <f t="shared" si="0"/>
        <v>43908</v>
      </c>
      <c r="L17" s="252">
        <f t="shared" si="0"/>
        <v>43911</v>
      </c>
      <c r="M17" s="253">
        <f t="shared" si="0"/>
        <v>43914</v>
      </c>
      <c r="N17" s="254">
        <f t="shared" si="0"/>
        <v>43919</v>
      </c>
      <c r="O17" s="255">
        <f t="shared" si="0"/>
        <v>43959</v>
      </c>
      <c r="P17" s="308">
        <f t="shared" si="0"/>
        <v>43999</v>
      </c>
      <c r="Q17" s="309">
        <f t="shared" si="0"/>
        <v>44039</v>
      </c>
      <c r="R17" s="309">
        <f t="shared" si="0"/>
        <v>44079</v>
      </c>
      <c r="S17" s="309">
        <f t="shared" si="0"/>
        <v>44119</v>
      </c>
      <c r="T17" s="309">
        <f t="shared" si="0"/>
        <v>44159</v>
      </c>
      <c r="U17" s="309">
        <f t="shared" si="0"/>
        <v>44199</v>
      </c>
      <c r="V17" s="309">
        <f t="shared" si="0"/>
        <v>44239</v>
      </c>
      <c r="W17" s="309">
        <f t="shared" si="0"/>
        <v>44279</v>
      </c>
      <c r="X17" s="309">
        <f t="shared" si="0"/>
        <v>44319</v>
      </c>
      <c r="Y17" s="309">
        <f>X17+HLOOKUP(X17+1, $B$16:$F$17,2,TRUE)</f>
        <v>44359</v>
      </c>
      <c r="Z17" s="254">
        <f>Y17+HLOOKUP(Y17+1, $B$16:$F$17,2,TRUE)</f>
        <v>44399</v>
      </c>
      <c r="AA17" s="249">
        <f>Z17+HLOOKUP(Z17+1, $B$16:$F$17,2,TRUE)</f>
        <v>44439</v>
      </c>
      <c r="AB17" s="281">
        <f>AA17+(7*8)</f>
        <v>44495</v>
      </c>
      <c r="AC17" s="82"/>
      <c r="AD17" s="82"/>
      <c r="AE17" s="81"/>
    </row>
    <row r="18" spans="1:31" x14ac:dyDescent="0.25">
      <c r="A18" s="53" t="s">
        <v>211</v>
      </c>
      <c r="B18" s="28"/>
      <c r="C18" s="28"/>
      <c r="D18" s="28"/>
      <c r="E18" s="28"/>
      <c r="F18" s="28"/>
      <c r="G18" s="241">
        <v>31.25</v>
      </c>
      <c r="H18" s="242">
        <f>G18*2</f>
        <v>62.5</v>
      </c>
      <c r="I18" s="242">
        <f t="shared" ref="I18:W18" si="1">H18*2</f>
        <v>125</v>
      </c>
      <c r="J18" s="242">
        <f t="shared" si="1"/>
        <v>250</v>
      </c>
      <c r="K18" s="251">
        <f t="shared" si="1"/>
        <v>500</v>
      </c>
      <c r="L18" s="243">
        <f t="shared" si="1"/>
        <v>1000</v>
      </c>
      <c r="M18" s="242">
        <f t="shared" si="1"/>
        <v>2000</v>
      </c>
      <c r="N18" s="251">
        <f t="shared" si="1"/>
        <v>4000</v>
      </c>
      <c r="O18" s="244">
        <f t="shared" si="1"/>
        <v>8000</v>
      </c>
      <c r="P18" s="306">
        <f>O18*2</f>
        <v>16000</v>
      </c>
      <c r="Q18" s="307">
        <f>P18*2</f>
        <v>32000</v>
      </c>
      <c r="R18" s="307">
        <f>Q18*2</f>
        <v>64000</v>
      </c>
      <c r="S18" s="307">
        <f>R18*2</f>
        <v>128000</v>
      </c>
      <c r="T18" s="307">
        <f t="shared" si="1"/>
        <v>256000</v>
      </c>
      <c r="U18" s="307">
        <f t="shared" si="1"/>
        <v>512000</v>
      </c>
      <c r="V18" s="307">
        <f t="shared" si="1"/>
        <v>1024000</v>
      </c>
      <c r="W18" s="307">
        <f t="shared" si="1"/>
        <v>2048000</v>
      </c>
      <c r="X18" s="307">
        <f>W18*2</f>
        <v>4096000</v>
      </c>
      <c r="Y18" s="307">
        <f>X18*2</f>
        <v>8192000</v>
      </c>
      <c r="Z18" s="310">
        <f>Y18*2</f>
        <v>16384000</v>
      </c>
      <c r="AA18" s="230">
        <f>B5</f>
        <v>25634000</v>
      </c>
      <c r="AB18" s="274">
        <f>B5*AB19</f>
        <v>5126800</v>
      </c>
      <c r="AC18" s="57"/>
      <c r="AD18" s="57"/>
      <c r="AE18" s="81"/>
    </row>
    <row r="19" spans="1:31" x14ac:dyDescent="0.25">
      <c r="A19" s="53" t="s">
        <v>212</v>
      </c>
      <c r="B19" s="28"/>
      <c r="C19" s="28"/>
      <c r="D19" s="28"/>
      <c r="E19" s="28"/>
      <c r="F19" s="28"/>
      <c r="G19" s="212">
        <f t="shared" ref="G19:W19" si="2">G18/$B$5</f>
        <v>1.2190840290239525E-6</v>
      </c>
      <c r="H19" s="213">
        <f t="shared" si="2"/>
        <v>2.438168058047905E-6</v>
      </c>
      <c r="I19" s="78">
        <f t="shared" si="2"/>
        <v>4.87633611609581E-6</v>
      </c>
      <c r="J19" s="48">
        <f t="shared" si="2"/>
        <v>9.7526722321916199E-6</v>
      </c>
      <c r="K19" s="211">
        <f t="shared" si="2"/>
        <v>1.950534446438324E-5</v>
      </c>
      <c r="L19" s="102">
        <f t="shared" si="2"/>
        <v>3.901068892876648E-5</v>
      </c>
      <c r="M19" s="48">
        <f t="shared" si="2"/>
        <v>7.8021377857532959E-5</v>
      </c>
      <c r="N19" s="211">
        <f t="shared" si="2"/>
        <v>1.5604275571506592E-4</v>
      </c>
      <c r="O19" s="245">
        <f t="shared" si="2"/>
        <v>3.1208551143013184E-4</v>
      </c>
      <c r="P19" s="18">
        <f>P18/$B$5</f>
        <v>6.2417102286026367E-4</v>
      </c>
      <c r="Q19" s="26">
        <f>Q18/$B$5</f>
        <v>1.2483420457205273E-3</v>
      </c>
      <c r="R19" s="26">
        <f>R18/$B$5</f>
        <v>2.4966840914410547E-3</v>
      </c>
      <c r="S19" s="27">
        <f>S18/$B$5</f>
        <v>4.9933681828821094E-3</v>
      </c>
      <c r="T19" s="87">
        <f t="shared" si="2"/>
        <v>9.9867363657642188E-3</v>
      </c>
      <c r="U19" s="87">
        <f t="shared" si="2"/>
        <v>1.9973472731528438E-2</v>
      </c>
      <c r="V19" s="87">
        <f t="shared" si="2"/>
        <v>3.9946945463056875E-2</v>
      </c>
      <c r="W19" s="87">
        <f t="shared" si="2"/>
        <v>7.989389092611375E-2</v>
      </c>
      <c r="X19" s="87">
        <f>X18/$B$5</f>
        <v>0.1597877818522275</v>
      </c>
      <c r="Y19" s="87">
        <f>Y18/$B$5</f>
        <v>0.319575563704455</v>
      </c>
      <c r="Z19" s="311">
        <f>Z18/$B$5</f>
        <v>0.63915112740891</v>
      </c>
      <c r="AA19" s="194">
        <f>AA18/$B$5</f>
        <v>1</v>
      </c>
      <c r="AB19" s="275">
        <f>B7</f>
        <v>0.2</v>
      </c>
      <c r="AC19" s="37"/>
      <c r="AD19" s="37"/>
      <c r="AE19" s="81"/>
    </row>
    <row r="20" spans="1:31" x14ac:dyDescent="0.25">
      <c r="A20" s="53" t="s">
        <v>266</v>
      </c>
      <c r="B20" s="28"/>
      <c r="C20" s="28"/>
      <c r="D20" s="28"/>
      <c r="E20" s="28"/>
      <c r="F20" s="28"/>
      <c r="G20" s="293">
        <f t="shared" ref="G20:P20" si="3">MAX(G18-(G26-G27)-(G28-G29)-(G30-G31),0)</f>
        <v>23.164089590657923</v>
      </c>
      <c r="H20" s="294">
        <f t="shared" si="3"/>
        <v>50.699712342982444</v>
      </c>
      <c r="I20" s="294">
        <f t="shared" si="3"/>
        <v>107.77908340074089</v>
      </c>
      <c r="J20" s="294">
        <f t="shared" si="3"/>
        <v>224.86841192873166</v>
      </c>
      <c r="K20" s="295">
        <f t="shared" si="3"/>
        <v>464.13626956465896</v>
      </c>
      <c r="L20" s="293">
        <f t="shared" si="3"/>
        <v>933.37965322963009</v>
      </c>
      <c r="M20" s="294">
        <f t="shared" si="3"/>
        <v>1895.6439393939395</v>
      </c>
      <c r="N20" s="295">
        <f t="shared" si="3"/>
        <v>3736.0594121267809</v>
      </c>
      <c r="O20" s="296">
        <f>MAX(O18-(O26-O27)-(O28-O29)-(O30-O31),0)</f>
        <v>0</v>
      </c>
      <c r="P20" s="293">
        <f t="shared" si="3"/>
        <v>0</v>
      </c>
      <c r="Q20" s="294">
        <f>MAX(Q18-(Q26-Q27)-(Q28-Q29)-(Q30-Q31),0)</f>
        <v>0</v>
      </c>
      <c r="R20" s="294">
        <f t="shared" ref="R20:AA20" si="4">MAX(R18-(R26-R27)-(R28-R29)-(R30-R31),0)</f>
        <v>0</v>
      </c>
      <c r="S20" s="294">
        <f t="shared" si="4"/>
        <v>0</v>
      </c>
      <c r="T20" s="294">
        <f t="shared" si="4"/>
        <v>0</v>
      </c>
      <c r="U20" s="294">
        <f t="shared" si="4"/>
        <v>0</v>
      </c>
      <c r="V20" s="294">
        <f t="shared" si="4"/>
        <v>5620.9133615605388</v>
      </c>
      <c r="W20" s="294">
        <f t="shared" si="4"/>
        <v>20659.122036985864</v>
      </c>
      <c r="X20" s="294">
        <f t="shared" si="4"/>
        <v>78392.290038083287</v>
      </c>
      <c r="Y20" s="294">
        <f t="shared" si="4"/>
        <v>379083.02406340197</v>
      </c>
      <c r="Z20" s="312">
        <f t="shared" si="4"/>
        <v>1116639.2797459597</v>
      </c>
      <c r="AA20" s="218">
        <f t="shared" si="4"/>
        <v>72952.291786333313</v>
      </c>
      <c r="AB20" s="276"/>
      <c r="AC20" s="57"/>
      <c r="AD20" s="57"/>
      <c r="AE20" s="81"/>
    </row>
    <row r="21" spans="1:31" x14ac:dyDescent="0.25">
      <c r="A21" s="53" t="s">
        <v>289</v>
      </c>
      <c r="B21" s="28"/>
      <c r="C21" s="28"/>
      <c r="D21" s="28"/>
      <c r="E21" s="28"/>
      <c r="F21" s="28"/>
      <c r="G21" s="98">
        <f>G18-G20</f>
        <v>8.0859104093420768</v>
      </c>
      <c r="H21" s="99">
        <f t="shared" ref="H21:AA21" si="5">H18-H20</f>
        <v>11.800287657017556</v>
      </c>
      <c r="I21" s="99">
        <f t="shared" si="5"/>
        <v>17.220916599259112</v>
      </c>
      <c r="J21" s="99">
        <f t="shared" si="5"/>
        <v>25.131588071268339</v>
      </c>
      <c r="K21" s="137">
        <f t="shared" si="5"/>
        <v>35.86373043534104</v>
      </c>
      <c r="L21" s="270">
        <f t="shared" si="5"/>
        <v>66.620346770369906</v>
      </c>
      <c r="M21" s="271">
        <f t="shared" si="5"/>
        <v>104.35606060606051</v>
      </c>
      <c r="N21" s="272">
        <f t="shared" si="5"/>
        <v>263.9405878732191</v>
      </c>
      <c r="O21" s="263">
        <f>O18-O20</f>
        <v>8000</v>
      </c>
      <c r="P21" s="270">
        <f t="shared" si="5"/>
        <v>16000</v>
      </c>
      <c r="Q21" s="271">
        <f t="shared" si="5"/>
        <v>32000</v>
      </c>
      <c r="R21" s="271">
        <f t="shared" si="5"/>
        <v>64000</v>
      </c>
      <c r="S21" s="271">
        <f t="shared" si="5"/>
        <v>128000</v>
      </c>
      <c r="T21" s="271">
        <f t="shared" si="5"/>
        <v>256000</v>
      </c>
      <c r="U21" s="271">
        <f t="shared" si="5"/>
        <v>512000</v>
      </c>
      <c r="V21" s="271">
        <f t="shared" si="5"/>
        <v>1018379.0866384394</v>
      </c>
      <c r="W21" s="271">
        <f t="shared" si="5"/>
        <v>2027340.8779630142</v>
      </c>
      <c r="X21" s="271">
        <f t="shared" si="5"/>
        <v>4017607.7099619168</v>
      </c>
      <c r="Y21" s="271">
        <f t="shared" si="5"/>
        <v>7812916.9759365981</v>
      </c>
      <c r="Z21" s="313">
        <f t="shared" si="5"/>
        <v>15267360.720254041</v>
      </c>
      <c r="AA21" s="256">
        <f t="shared" si="5"/>
        <v>25561047.708213668</v>
      </c>
      <c r="AB21" s="277"/>
      <c r="AC21" s="37"/>
      <c r="AD21" s="37"/>
      <c r="AE21" s="81"/>
    </row>
    <row r="22" spans="1:31" x14ac:dyDescent="0.25">
      <c r="A22" s="16" t="s">
        <v>280</v>
      </c>
      <c r="B22" s="21"/>
      <c r="C22" s="21"/>
      <c r="D22" s="21"/>
      <c r="E22" s="21"/>
      <c r="F22" s="21"/>
      <c r="G22" s="215">
        <f t="shared" ref="G22:Y22" si="6">G18/$B$6</f>
        <v>38.580246913580247</v>
      </c>
      <c r="H22" s="216">
        <f t="shared" si="6"/>
        <v>77.160493827160494</v>
      </c>
      <c r="I22" s="216">
        <f t="shared" si="6"/>
        <v>154.32098765432099</v>
      </c>
      <c r="J22" s="216">
        <f t="shared" si="6"/>
        <v>308.64197530864197</v>
      </c>
      <c r="K22" s="216">
        <f t="shared" si="6"/>
        <v>617.28395061728395</v>
      </c>
      <c r="L22" s="239">
        <f t="shared" si="6"/>
        <v>1234.5679012345679</v>
      </c>
      <c r="M22" s="240">
        <f t="shared" si="6"/>
        <v>2469.1358024691358</v>
      </c>
      <c r="N22" s="273">
        <f t="shared" si="6"/>
        <v>4938.2716049382716</v>
      </c>
      <c r="O22" s="216">
        <f t="shared" si="6"/>
        <v>9876.5432098765432</v>
      </c>
      <c r="P22" s="239">
        <f t="shared" si="6"/>
        <v>19753.086419753086</v>
      </c>
      <c r="Q22" s="240">
        <f t="shared" si="6"/>
        <v>39506.172839506173</v>
      </c>
      <c r="R22" s="240">
        <f t="shared" si="6"/>
        <v>79012.345679012345</v>
      </c>
      <c r="S22" s="240">
        <f t="shared" si="6"/>
        <v>158024.69135802469</v>
      </c>
      <c r="T22" s="240">
        <f t="shared" si="6"/>
        <v>316049.38271604938</v>
      </c>
      <c r="U22" s="240">
        <f t="shared" si="6"/>
        <v>632098.76543209876</v>
      </c>
      <c r="V22" s="240">
        <f t="shared" si="6"/>
        <v>1264197.5308641975</v>
      </c>
      <c r="W22" s="240">
        <f t="shared" si="6"/>
        <v>2528395.0617283951</v>
      </c>
      <c r="X22" s="240">
        <f t="shared" si="6"/>
        <v>5056790.1234567901</v>
      </c>
      <c r="Y22" s="240">
        <f t="shared" si="6"/>
        <v>10113580.24691358</v>
      </c>
      <c r="Z22" s="312">
        <f>Z18/$B$6</f>
        <v>20227160.49382716</v>
      </c>
      <c r="AA22" s="218">
        <f>AA18</f>
        <v>25634000</v>
      </c>
      <c r="AB22" s="276">
        <f>($B$5*$B$7)/$B$6</f>
        <v>6329382.7160493825</v>
      </c>
      <c r="AC22" s="37"/>
      <c r="AD22" s="37"/>
      <c r="AE22" s="81"/>
    </row>
    <row r="23" spans="1:31" x14ac:dyDescent="0.25">
      <c r="A23" s="53" t="s">
        <v>216</v>
      </c>
      <c r="B23" s="28"/>
      <c r="C23" s="28"/>
      <c r="D23" s="28"/>
      <c r="E23" s="28"/>
      <c r="F23" s="28"/>
      <c r="G23" s="212">
        <f>G22/$B$5</f>
        <v>1.5050420111406822E-6</v>
      </c>
      <c r="H23" s="78">
        <f t="shared" ref="H23:Y23" si="7">H22/$B$5</f>
        <v>3.0100840222813645E-6</v>
      </c>
      <c r="I23" s="78">
        <f t="shared" si="7"/>
        <v>6.020168044562729E-6</v>
      </c>
      <c r="J23" s="48">
        <f t="shared" si="7"/>
        <v>1.2040336089125458E-5</v>
      </c>
      <c r="K23" s="48">
        <f t="shared" si="7"/>
        <v>2.4080672178250916E-5</v>
      </c>
      <c r="L23" s="102">
        <f t="shared" si="7"/>
        <v>4.8161344356501832E-5</v>
      </c>
      <c r="M23" s="48">
        <f t="shared" si="7"/>
        <v>9.6322688713003664E-5</v>
      </c>
      <c r="N23" s="214">
        <f t="shared" si="7"/>
        <v>1.9264537742600733E-4</v>
      </c>
      <c r="O23" s="27">
        <f t="shared" si="7"/>
        <v>3.8529075485201465E-4</v>
      </c>
      <c r="P23" s="20">
        <f t="shared" si="7"/>
        <v>7.7058150970402931E-4</v>
      </c>
      <c r="Q23" s="27">
        <f t="shared" si="7"/>
        <v>1.5411630194080586E-3</v>
      </c>
      <c r="R23" s="27">
        <f t="shared" si="7"/>
        <v>3.0823260388161172E-3</v>
      </c>
      <c r="S23" s="27">
        <f t="shared" si="7"/>
        <v>6.1646520776322345E-3</v>
      </c>
      <c r="T23" s="87">
        <f t="shared" si="7"/>
        <v>1.2329304155264469E-2</v>
      </c>
      <c r="U23" s="87">
        <f t="shared" si="7"/>
        <v>2.4658608310528938E-2</v>
      </c>
      <c r="V23" s="87">
        <f t="shared" si="7"/>
        <v>4.9317216621057876E-2</v>
      </c>
      <c r="W23" s="87">
        <f t="shared" si="7"/>
        <v>9.8634433242115752E-2</v>
      </c>
      <c r="X23" s="87">
        <f t="shared" si="7"/>
        <v>0.1972688664842315</v>
      </c>
      <c r="Y23" s="87">
        <f t="shared" si="7"/>
        <v>0.39453773296846301</v>
      </c>
      <c r="Z23" s="311">
        <f>Z22/$B$5</f>
        <v>0.78907546593692601</v>
      </c>
      <c r="AA23" s="194">
        <v>1</v>
      </c>
      <c r="AB23" s="275">
        <f>AB22/B5</f>
        <v>0.24691358024691357</v>
      </c>
      <c r="AC23" s="37"/>
      <c r="AD23" s="37"/>
      <c r="AE23" s="81"/>
    </row>
    <row r="24" spans="1:31" x14ac:dyDescent="0.25">
      <c r="A24" s="53" t="s">
        <v>278</v>
      </c>
      <c r="B24" s="28"/>
      <c r="C24" s="28"/>
      <c r="D24" s="28"/>
      <c r="E24" s="28"/>
      <c r="F24" s="28"/>
      <c r="G24" s="215">
        <f t="shared" ref="G24:Y24" si="8">G22-G18</f>
        <v>7.3302469135802468</v>
      </c>
      <c r="H24" s="216">
        <f t="shared" si="8"/>
        <v>14.660493827160494</v>
      </c>
      <c r="I24" s="216">
        <f t="shared" si="8"/>
        <v>29.320987654320987</v>
      </c>
      <c r="J24" s="216">
        <f t="shared" si="8"/>
        <v>58.641975308641975</v>
      </c>
      <c r="K24" s="216">
        <f t="shared" si="8"/>
        <v>117.28395061728395</v>
      </c>
      <c r="L24" s="215">
        <f t="shared" si="8"/>
        <v>234.5679012345679</v>
      </c>
      <c r="M24" s="216">
        <f t="shared" si="8"/>
        <v>469.1358024691358</v>
      </c>
      <c r="N24" s="217">
        <f t="shared" si="8"/>
        <v>938.27160493827159</v>
      </c>
      <c r="O24" s="216">
        <f t="shared" si="8"/>
        <v>1876.5432098765432</v>
      </c>
      <c r="P24" s="215">
        <f t="shared" si="8"/>
        <v>3753.0864197530864</v>
      </c>
      <c r="Q24" s="216">
        <f t="shared" si="8"/>
        <v>7506.1728395061727</v>
      </c>
      <c r="R24" s="216">
        <f t="shared" si="8"/>
        <v>15012.345679012345</v>
      </c>
      <c r="S24" s="216">
        <f>S22-S18</f>
        <v>30024.691358024691</v>
      </c>
      <c r="T24" s="216">
        <f t="shared" si="8"/>
        <v>60049.382716049382</v>
      </c>
      <c r="U24" s="216">
        <f t="shared" si="8"/>
        <v>120098.76543209876</v>
      </c>
      <c r="V24" s="216">
        <f t="shared" si="8"/>
        <v>240197.53086419753</v>
      </c>
      <c r="W24" s="216">
        <f t="shared" si="8"/>
        <v>480395.06172839506</v>
      </c>
      <c r="X24" s="216">
        <f t="shared" si="8"/>
        <v>960790.12345679011</v>
      </c>
      <c r="Y24" s="216">
        <f t="shared" si="8"/>
        <v>1921580.2469135802</v>
      </c>
      <c r="Z24" s="312">
        <f>Z22</f>
        <v>20227160.49382716</v>
      </c>
      <c r="AA24" s="218">
        <f>AA22</f>
        <v>25634000</v>
      </c>
      <c r="AB24" s="278">
        <f>AB22-AB18</f>
        <v>1202582.7160493825</v>
      </c>
      <c r="AC24" s="37"/>
      <c r="AD24" s="37"/>
      <c r="AE24" s="81"/>
    </row>
    <row r="25" spans="1:31" x14ac:dyDescent="0.25">
      <c r="A25" s="49" t="s">
        <v>279</v>
      </c>
      <c r="B25" s="51"/>
      <c r="C25" s="51"/>
      <c r="D25" s="51"/>
      <c r="E25" s="51"/>
      <c r="F25" s="51"/>
      <c r="G25" s="228">
        <f>MIN((1/$B$6)*(2^(((G17 - 14) - $B$14)/$G$43)),G24)</f>
        <v>7.3302469135802468</v>
      </c>
      <c r="H25" s="229">
        <f>MIN((1/$B$6)*(2^(((H17 - 14) - $B$14)/$G$43)),H24)</f>
        <v>14.660493827160494</v>
      </c>
      <c r="I25" s="229">
        <f t="shared" ref="I25:J25" si="9">MIN((1/$B$6)*(2^(((I17 - 14) - $B$14)/$G$43)),I24)</f>
        <v>23.10912050356831</v>
      </c>
      <c r="J25" s="229">
        <f t="shared" si="9"/>
        <v>33.72462167373638</v>
      </c>
      <c r="K25" s="216">
        <f>MIN(($G$18/$B$6)*(2^(((K17 - 14) - $G$17)/HLOOKUP((K17-14)-$B$14,$G$41:$AB$43,3,TRUE))),K24)</f>
        <v>46.606537277896066</v>
      </c>
      <c r="L25" s="223">
        <f t="shared" ref="L25:X25" si="10">MIN(($G$18/$B$6)*(2^(((L17 - 14) - $G$17)/HLOOKUP((L17-14)-$B$14,$G$41:$AB$43,3,TRUE))),L24)</f>
        <v>86.576149149278706</v>
      </c>
      <c r="M25" s="222">
        <f t="shared" si="10"/>
        <v>135.61541339319115</v>
      </c>
      <c r="N25" s="221">
        <f t="shared" si="10"/>
        <v>343.00271328553481</v>
      </c>
      <c r="O25" s="216">
        <f t="shared" si="10"/>
        <v>1876.5432098765432</v>
      </c>
      <c r="P25" s="223">
        <f t="shared" si="10"/>
        <v>3753.0864197530864</v>
      </c>
      <c r="Q25" s="222">
        <f t="shared" si="10"/>
        <v>7506.1728395061727</v>
      </c>
      <c r="R25" s="222">
        <f t="shared" si="10"/>
        <v>15012.345679012345</v>
      </c>
      <c r="S25" s="222">
        <f t="shared" si="10"/>
        <v>30024.691358024691</v>
      </c>
      <c r="T25" s="222">
        <f t="shared" si="10"/>
        <v>60049.382716049382</v>
      </c>
      <c r="U25" s="222">
        <f t="shared" si="10"/>
        <v>120098.76543209876</v>
      </c>
      <c r="V25" s="222">
        <f t="shared" si="10"/>
        <v>240197.53086419753</v>
      </c>
      <c r="W25" s="222">
        <f t="shared" si="10"/>
        <v>480395.06172839506</v>
      </c>
      <c r="X25" s="222">
        <f t="shared" si="10"/>
        <v>960790.12345679011</v>
      </c>
      <c r="Y25" s="222">
        <f>MIN(($G$18/$B$6)*(2^(((Y17 - 14) - $G$17)/HLOOKUP((Y17-14)-$B$14,$G$41:$AB$43,3,TRUE))),Y24)</f>
        <v>1921580.2469135802</v>
      </c>
      <c r="Z25" s="312">
        <f>MIN(($G$18/$B$6)*(2^(((Z17 - 14) - $G$17)/HLOOKUP((Z17-14)-$B$14,$G$41:$AB$43,3,TRUE))),Z24)</f>
        <v>19124854.01785152</v>
      </c>
      <c r="AA25" s="224">
        <f>MIN(($G$18/$B$6)*(2^(((AA17 - 14) - $G$17)/HLOOKUP((AA17-14)-$B$14,$G$41:$AB$43,3,TRUE))),AA24)</f>
        <v>25634000</v>
      </c>
      <c r="AB25" s="278"/>
      <c r="AC25" s="37"/>
      <c r="AD25" s="37"/>
      <c r="AE25" s="81"/>
    </row>
    <row r="26" spans="1:31" x14ac:dyDescent="0.25">
      <c r="A26" s="53" t="s">
        <v>269</v>
      </c>
      <c r="B26" s="28"/>
      <c r="C26" s="28"/>
      <c r="D26" s="28"/>
      <c r="E26" s="28"/>
      <c r="F26" s="28"/>
      <c r="G26" s="258">
        <f t="shared" ref="G26:AA26" si="11">G18*$B$10</f>
        <v>28.75</v>
      </c>
      <c r="H26" s="259">
        <f t="shared" si="11"/>
        <v>57.5</v>
      </c>
      <c r="I26" s="259">
        <f t="shared" si="11"/>
        <v>115</v>
      </c>
      <c r="J26" s="259">
        <f t="shared" si="11"/>
        <v>230</v>
      </c>
      <c r="K26" s="259">
        <f t="shared" si="11"/>
        <v>460</v>
      </c>
      <c r="L26" s="225">
        <f t="shared" si="11"/>
        <v>920</v>
      </c>
      <c r="M26" s="226">
        <f t="shared" si="11"/>
        <v>1840</v>
      </c>
      <c r="N26" s="227">
        <f t="shared" si="11"/>
        <v>3680</v>
      </c>
      <c r="O26" s="259">
        <f t="shared" si="11"/>
        <v>7360</v>
      </c>
      <c r="P26" s="225">
        <f t="shared" si="11"/>
        <v>14720</v>
      </c>
      <c r="Q26" s="226">
        <f t="shared" si="11"/>
        <v>29440</v>
      </c>
      <c r="R26" s="226">
        <f t="shared" si="11"/>
        <v>58880</v>
      </c>
      <c r="S26" s="226">
        <f t="shared" si="11"/>
        <v>117760</v>
      </c>
      <c r="T26" s="226">
        <f t="shared" si="11"/>
        <v>235520</v>
      </c>
      <c r="U26" s="226">
        <f t="shared" si="11"/>
        <v>471040</v>
      </c>
      <c r="V26" s="226">
        <f t="shared" si="11"/>
        <v>942080</v>
      </c>
      <c r="W26" s="226">
        <f t="shared" si="11"/>
        <v>1884160</v>
      </c>
      <c r="X26" s="226">
        <f t="shared" si="11"/>
        <v>3768320</v>
      </c>
      <c r="Y26" s="226">
        <f t="shared" si="11"/>
        <v>7536640</v>
      </c>
      <c r="Z26" s="310">
        <f t="shared" si="11"/>
        <v>15073280</v>
      </c>
      <c r="AA26" s="218">
        <f t="shared" si="11"/>
        <v>23583280</v>
      </c>
      <c r="AB26" s="278">
        <f>AB18*B10</f>
        <v>4716656</v>
      </c>
      <c r="AC26" s="37"/>
      <c r="AD26" s="37"/>
      <c r="AE26" s="81"/>
    </row>
    <row r="27" spans="1:31" x14ac:dyDescent="0.25">
      <c r="A27" s="53" t="s">
        <v>290</v>
      </c>
      <c r="B27" s="28"/>
      <c r="C27" s="28"/>
      <c r="D27" s="28"/>
      <c r="E27" s="28"/>
      <c r="F27" s="28"/>
      <c r="G27" s="219">
        <f>G26-(1*$B$10)*(2^(((G17 - 14) - $B$14)/$G$43))</f>
        <v>20.664089590657923</v>
      </c>
      <c r="H27" s="220">
        <f>H26-(1*$B$10)*(2^(((H17 - 14) - $B$14)/$G$43))</f>
        <v>45.699712342982444</v>
      </c>
      <c r="I27" s="220">
        <f>I26-(1*$B$10)*(2^(((I17 - 14) - $B$14)/$G$43))</f>
        <v>97.779083400740888</v>
      </c>
      <c r="J27" s="220">
        <f>J26-(1*$B$10)*(2^(((J17 - 14) - $B$14)/$G$43))</f>
        <v>204.86841192873166</v>
      </c>
      <c r="K27" s="231">
        <f t="shared" ref="K27:N27" si="12">MAX(K26-(($G$18*$B$10)*(2^(((K17 -14) - $G$17)/HLOOKUP((K17-14)-$B$14,$G$41:$AB$43,3,TRUE)))),0)</f>
        <v>425.26880842051185</v>
      </c>
      <c r="L27" s="232">
        <f t="shared" si="12"/>
        <v>855.48345365395755</v>
      </c>
      <c r="M27" s="231">
        <f t="shared" si="12"/>
        <v>1738.939393939394</v>
      </c>
      <c r="N27" s="260">
        <f t="shared" si="12"/>
        <v>3424.3943780596196</v>
      </c>
      <c r="O27" s="231">
        <f>MAX(O26-(($G$18*$B$10)*(2^(((O17 -14) - $G$17)/HLOOKUP((O17-14)-$B$14,$G$41:$AB$43,3,TRUE)))),0)</f>
        <v>0</v>
      </c>
      <c r="P27" s="232">
        <f t="shared" ref="P27" si="13">MAX(P26-(($G$18*$B$10)*(2^(((P17 -14) - $G$17)/HLOOKUP((P17-14)-$B$14,$G$41:$AB$43,3,TRUE)))),0)</f>
        <v>0</v>
      </c>
      <c r="Q27" s="231">
        <f t="shared" ref="Q27" si="14">MAX(Q26-(($G$18*$B$10)*(2^(((Q17 -14) - $G$17)/HLOOKUP((Q17-14)-$B$14,$G$41:$AB$43,3,TRUE)))),0)</f>
        <v>0</v>
      </c>
      <c r="R27" s="231">
        <f t="shared" ref="R27" si="15">MAX(R26-(($G$18*$B$10)*(2^(((R17 -14) - $G$17)/HLOOKUP((R17-14)-$B$14,$G$41:$AB$43,3,TRUE)))),0)</f>
        <v>0</v>
      </c>
      <c r="S27" s="231">
        <f t="shared" ref="S27:T27" si="16">MAX(S26-(($G$18*$B$10)*(2^(((S17 -14) - $G$17)/HLOOKUP((S17-14)-$B$14,$G$41:$AB$43,3,TRUE)))),0)</f>
        <v>0</v>
      </c>
      <c r="T27" s="231">
        <f t="shared" si="16"/>
        <v>0</v>
      </c>
      <c r="U27" s="231">
        <f t="shared" ref="U27" si="17">MAX(U26-(($G$18*$B$10)*(2^(((U17 -14) - $G$17)/HLOOKUP((U17-14)-$B$14,$G$41:$AB$43,3,TRUE)))),0)</f>
        <v>0</v>
      </c>
      <c r="V27" s="231">
        <f t="shared" ref="V27" si="18">MAX(V26-(($G$18*$B$10)*(2^(((V17 -14) - $G$17)/HLOOKUP((V17-14)-$B$14,$G$41:$AB$43,3,TRUE)))),0)</f>
        <v>0</v>
      </c>
      <c r="W27" s="231">
        <f t="shared" ref="W27" si="19">MAX(W26-(($G$18*$B$10)*(2^(((W17 -14) - $G$17)/HLOOKUP((W17-14)-$B$14,$G$41:$AB$43,3,TRUE)))),0)</f>
        <v>0</v>
      </c>
      <c r="X27" s="231">
        <f t="shared" ref="X27:Y27" si="20">MAX(X26-(($G$18*$B$10)*(2^(((X17 -14) - $G$17)/HLOOKUP((X17-14)-$B$14,$G$41:$AB$43,3,TRUE)))),0)</f>
        <v>23319.875730534084</v>
      </c>
      <c r="Y27" s="231">
        <f t="shared" si="20"/>
        <v>247978.475278317</v>
      </c>
      <c r="Z27" s="314">
        <f t="shared" ref="Z27" si="21">MAX(Z26-(($G$18*$B$10)*(2^(((Z17 -14) - $G$17)/HLOOKUP((Z17-14)-$B$14,$G$41:$AB$43,3,TRUE)))),0)</f>
        <v>821438.78589704633</v>
      </c>
      <c r="AA27" s="224">
        <f t="shared" ref="AA27" si="22">MAX(AA26-(($G$18*$B$10)*(2^(((AA17 -14) - $G$17)/HLOOKUP((AA17-14)-$B$14,$G$41:$AB$43,3,TRUE)))),0)</f>
        <v>0</v>
      </c>
      <c r="AB27" s="276"/>
      <c r="AC27" s="37"/>
      <c r="AD27" s="37"/>
      <c r="AE27" s="81"/>
    </row>
    <row r="28" spans="1:31" x14ac:dyDescent="0.25">
      <c r="A28" s="74" t="s">
        <v>214</v>
      </c>
      <c r="B28" s="21"/>
      <c r="C28" s="21"/>
      <c r="D28" s="21"/>
      <c r="E28" s="21"/>
      <c r="F28" s="21"/>
      <c r="G28" s="228">
        <f>(1*($B$11+$B$12))*(2^(((G17 - 7) - $B$14)/$G$43))</f>
        <v>1.3624403770173663</v>
      </c>
      <c r="H28" s="229">
        <f>(1*($B$11+$B$12))*(2^(((H17 - 7) - $B$14)/$G$43))</f>
        <v>1.9882966234408881</v>
      </c>
      <c r="I28" s="216">
        <f t="shared" ref="I28:Z28" si="23">($G$18*($B$11+$B$12))*(2^(((I17-7)-$G$17)/HLOOKUP((I17-7)-$B$14,$G$41:$AB$43,3,TRUE)))</f>
        <v>2.7477734693782825</v>
      </c>
      <c r="J28" s="216">
        <f t="shared" si="23"/>
        <v>5.6101344648732603</v>
      </c>
      <c r="K28" s="216">
        <f t="shared" si="23"/>
        <v>10.283171151388096</v>
      </c>
      <c r="L28" s="215">
        <f t="shared" si="23"/>
        <v>18.787878787878775</v>
      </c>
      <c r="M28" s="216">
        <f t="shared" si="23"/>
        <v>31.107290494170176</v>
      </c>
      <c r="N28" s="217">
        <f t="shared" si="23"/>
        <v>97.540056745390302</v>
      </c>
      <c r="O28" s="262">
        <f t="shared" si="23"/>
        <v>116570.84490517293</v>
      </c>
      <c r="P28" s="239">
        <f t="shared" si="23"/>
        <v>9057.5081963083667</v>
      </c>
      <c r="Q28" s="240">
        <f t="shared" si="23"/>
        <v>8162.3849707971704</v>
      </c>
      <c r="R28" s="240">
        <f t="shared" si="23"/>
        <v>11351.293732410088</v>
      </c>
      <c r="S28" s="240">
        <f t="shared" si="23"/>
        <v>18440.912269418528</v>
      </c>
      <c r="T28" s="240">
        <f t="shared" si="23"/>
        <v>32235.970347824928</v>
      </c>
      <c r="U28" s="240">
        <f t="shared" si="23"/>
        <v>58670.35133906277</v>
      </c>
      <c r="V28" s="240">
        <f t="shared" si="23"/>
        <v>109438.00698642089</v>
      </c>
      <c r="W28" s="240">
        <f t="shared" si="23"/>
        <v>207442.98783323367</v>
      </c>
      <c r="X28" s="240">
        <f t="shared" si="23"/>
        <v>397599.43500971043</v>
      </c>
      <c r="Y28" s="240">
        <f t="shared" si="23"/>
        <v>768166.9440733128</v>
      </c>
      <c r="Z28" s="310">
        <f t="shared" si="23"/>
        <v>1492926.7982694027</v>
      </c>
      <c r="AA28" s="230">
        <f>($G$18*($B$11+$B$12))*(2^(((AA17 - 7) - $G$17)/AA43))</f>
        <v>1632539.9094647132</v>
      </c>
      <c r="AB28" s="276">
        <f>AB18*(B11+B12)</f>
        <v>410144</v>
      </c>
      <c r="AC28" s="57"/>
      <c r="AD28" s="57"/>
      <c r="AE28" s="81"/>
    </row>
    <row r="29" spans="1:31" x14ac:dyDescent="0.25">
      <c r="A29" s="49" t="s">
        <v>267</v>
      </c>
      <c r="B29" s="50"/>
      <c r="C29" s="51"/>
      <c r="D29" s="51"/>
      <c r="E29" s="51"/>
      <c r="F29" s="51"/>
      <c r="G29" s="219">
        <f t="shared" ref="G29:J29" si="24">G28</f>
        <v>1.3624403770173663</v>
      </c>
      <c r="H29" s="220">
        <f t="shared" si="24"/>
        <v>1.9882966234408881</v>
      </c>
      <c r="I29" s="222">
        <f t="shared" si="24"/>
        <v>2.7477734693782825</v>
      </c>
      <c r="J29" s="222">
        <f t="shared" si="24"/>
        <v>5.6101344648732603</v>
      </c>
      <c r="K29" s="222">
        <f>K28-K31</f>
        <v>9.1506322955352211</v>
      </c>
      <c r="L29" s="223">
        <f t="shared" ref="L29:M29" si="25">L28-L31</f>
        <v>16.684078363551301</v>
      </c>
      <c r="M29" s="222">
        <f t="shared" si="25"/>
        <v>27.811835948715633</v>
      </c>
      <c r="N29" s="221">
        <f>N28-N31</f>
        <v>89.205090812551802</v>
      </c>
      <c r="O29" s="246">
        <f t="shared" ref="O29:P29" si="26">MAX(O28-($G$18*$B$11)*(2^(((O17 - 42) - $G$17)/HLOOKUP((O17-42)-$B$14,$G$41:$AB$43,3,TRUE)))-O31,0)</f>
        <v>104192.36638629014</v>
      </c>
      <c r="P29" s="223">
        <f t="shared" si="26"/>
        <v>0</v>
      </c>
      <c r="Q29" s="222">
        <f>MAX(Q28-($G$18*$B$11)*(2^(((Q17 - 42) - $G$17)/HLOOKUP((Q17-42)-$B$14,$G$41:$AB$43,3,TRUE)))-Q31,0)</f>
        <v>0</v>
      </c>
      <c r="R29" s="222">
        <f t="shared" ref="R29:AA29" si="27">MAX(R28-($G$18*$B$11)*(2^(((R17 - 42) - $G$17)/HLOOKUP((R17-42)-$B$14,$G$41:$AB$43,3,TRUE)))-R31,0)</f>
        <v>2621.2407195397427</v>
      </c>
      <c r="S29" s="222">
        <f t="shared" si="27"/>
        <v>6493.9014459446153</v>
      </c>
      <c r="T29" s="222">
        <f t="shared" si="27"/>
        <v>13117.615291342416</v>
      </c>
      <c r="U29" s="222">
        <f t="shared" si="27"/>
        <v>25704.777309381287</v>
      </c>
      <c r="V29" s="222">
        <f t="shared" si="27"/>
        <v>50159.747165007109</v>
      </c>
      <c r="W29" s="222">
        <f t="shared" si="27"/>
        <v>98028.173506334526</v>
      </c>
      <c r="X29" s="222">
        <f t="shared" si="27"/>
        <v>192089.91127790738</v>
      </c>
      <c r="Y29" s="222">
        <f t="shared" si="27"/>
        <v>377406.24497356027</v>
      </c>
      <c r="Z29" s="314">
        <f t="shared" si="27"/>
        <v>743239.90818622056</v>
      </c>
      <c r="AA29" s="224">
        <f t="shared" si="27"/>
        <v>184496.52938017296</v>
      </c>
      <c r="AB29" s="278"/>
      <c r="AC29" s="57"/>
      <c r="AD29" s="57"/>
      <c r="AE29" s="81"/>
    </row>
    <row r="30" spans="1:31" x14ac:dyDescent="0.25">
      <c r="A30" s="60" t="s">
        <v>215</v>
      </c>
      <c r="C30" s="21"/>
      <c r="D30" s="21"/>
      <c r="E30" s="21"/>
      <c r="F30" s="21"/>
      <c r="G30" s="228">
        <f>(1*$B$12)*(2^(((G17 - 14) -$B$14)/$G$43))</f>
        <v>0.26367099160898083</v>
      </c>
      <c r="H30" s="229">
        <f>(1*$B$12)*(2^(((H17 - 14) -$B$14)/$G$43))</f>
        <v>0.38479198881578991</v>
      </c>
      <c r="I30" s="229">
        <f>(1*$B$12)*(2^(((I17 - 14) -$B$14)/$G$43))</f>
        <v>0.5615516282367099</v>
      </c>
      <c r="J30" s="229">
        <f>(1*$B$12)*(2^(((J17 - 14) -$B$14)/$G$43))</f>
        <v>0.81950830667179397</v>
      </c>
      <c r="K30" s="217">
        <f t="shared" ref="K30:AA30" si="28">($G$18*$B$12)*(2^(((K17 - 14) - $G$17)/HLOOKUP((K17-14)-$B$14,$G$41:$AB$43,3,TRUE)))</f>
        <v>1.1325388558528744</v>
      </c>
      <c r="L30" s="216">
        <f t="shared" si="28"/>
        <v>2.1038004243274724</v>
      </c>
      <c r="M30" s="216">
        <f t="shared" si="28"/>
        <v>3.295454545454545</v>
      </c>
      <c r="N30" s="217">
        <f t="shared" si="28"/>
        <v>8.3349659328384966</v>
      </c>
      <c r="O30" s="262">
        <f t="shared" si="28"/>
        <v>12472.266618632359</v>
      </c>
      <c r="P30" s="239">
        <f t="shared" si="28"/>
        <v>1913.8380842801873</v>
      </c>
      <c r="Q30" s="240">
        <f t="shared" si="28"/>
        <v>2042.4643666114639</v>
      </c>
      <c r="R30" s="240">
        <f t="shared" si="28"/>
        <v>3068.0036069208973</v>
      </c>
      <c r="S30" s="240">
        <f t="shared" si="28"/>
        <v>5208.8992443005154</v>
      </c>
      <c r="T30" s="240">
        <f t="shared" si="28"/>
        <v>9369.3050700890672</v>
      </c>
      <c r="U30" s="240">
        <f t="shared" si="28"/>
        <v>17396.910162871503</v>
      </c>
      <c r="V30" s="240">
        <f t="shared" si="28"/>
        <v>32934.020048316466</v>
      </c>
      <c r="W30" s="240">
        <f t="shared" si="28"/>
        <v>63141.897473641264</v>
      </c>
      <c r="X30" s="240">
        <f t="shared" si="28"/>
        <v>122119.56926965649</v>
      </c>
      <c r="Y30" s="240">
        <f t="shared" si="28"/>
        <v>237673.74537135923</v>
      </c>
      <c r="Z30" s="310">
        <f t="shared" si="28"/>
        <v>464733.95263379195</v>
      </c>
      <c r="AA30" s="230">
        <f t="shared" si="28"/>
        <v>911958.38199291565</v>
      </c>
      <c r="AB30" s="276">
        <f>AB18*B12</f>
        <v>153804</v>
      </c>
      <c r="AC30" s="57"/>
      <c r="AD30" s="57"/>
      <c r="AE30" s="81"/>
    </row>
    <row r="31" spans="1:31" x14ac:dyDescent="0.25">
      <c r="A31" s="53" t="s">
        <v>268</v>
      </c>
      <c r="B31" s="27"/>
      <c r="C31" s="28"/>
      <c r="D31" s="28"/>
      <c r="E31" s="28"/>
      <c r="F31" s="28"/>
      <c r="G31" s="219">
        <f t="shared" ref="G31:J31" si="29">G30</f>
        <v>0.26367099160898083</v>
      </c>
      <c r="H31" s="220">
        <f t="shared" si="29"/>
        <v>0.38479198881578991</v>
      </c>
      <c r="I31" s="220">
        <f t="shared" si="29"/>
        <v>0.5615516282367099</v>
      </c>
      <c r="J31" s="220">
        <f t="shared" si="29"/>
        <v>0.81950830667179397</v>
      </c>
      <c r="K31" s="221">
        <f>K30</f>
        <v>1.1325388558528744</v>
      </c>
      <c r="L31" s="222">
        <f t="shared" ref="L31:N31" si="30">L30</f>
        <v>2.1038004243274724</v>
      </c>
      <c r="M31" s="222">
        <f t="shared" si="30"/>
        <v>3.295454545454545</v>
      </c>
      <c r="N31" s="221">
        <f t="shared" si="30"/>
        <v>8.3349659328384966</v>
      </c>
      <c r="O31" s="261">
        <f t="shared" ref="O31:P31" si="31">MAX(O30-($G$18*$B$12)*(2^(((O17 - 35) - $G$17)/HLOOKUP((O17-35)-$B$14,$G$41:$AB$43,3,TRUE))),0)</f>
        <v>12182.587020909108</v>
      </c>
      <c r="P31" s="232">
        <f t="shared" si="31"/>
        <v>1571.4640976178259</v>
      </c>
      <c r="Q31" s="231">
        <f>MAX(Q30-($G$18*$B$12)*(2^(((Q17 - 35) - $G$17)/HLOOKUP((Q17-35)-$B$14,$G$41:$AB$43,3,TRUE))),0)</f>
        <v>1435.6261426155031</v>
      </c>
      <c r="R31" s="231">
        <f t="shared" ref="R31:AA31" si="32">MAX(R30-($G$18*$B$12)*(2^(((R17 - 35) - $G$17)/HLOOKUP((R17-35)-$B$14,$G$41:$AB$43,3,TRUE))),0)</f>
        <v>1919.3381139017681</v>
      </c>
      <c r="S31" s="231">
        <f t="shared" si="32"/>
        <v>2982.8087280375726</v>
      </c>
      <c r="T31" s="231">
        <f t="shared" si="32"/>
        <v>5007.0257109798486</v>
      </c>
      <c r="U31" s="231">
        <f t="shared" si="32"/>
        <v>8796.1148302922647</v>
      </c>
      <c r="V31" s="231">
        <f t="shared" si="32"/>
        <v>15913.193231290788</v>
      </c>
      <c r="W31" s="231">
        <f t="shared" si="32"/>
        <v>29375.833837526268</v>
      </c>
      <c r="X31" s="231">
        <f t="shared" si="32"/>
        <v>55021.507309008754</v>
      </c>
      <c r="Y31" s="231">
        <f t="shared" si="32"/>
        <v>104178.99325619673</v>
      </c>
      <c r="Z31" s="314">
        <f t="shared" si="32"/>
        <v>198901.33656588756</v>
      </c>
      <c r="AA31" s="224">
        <f t="shared" si="32"/>
        <v>382234.05386378919</v>
      </c>
      <c r="AB31" s="276"/>
      <c r="AC31" s="57"/>
      <c r="AD31" s="57"/>
      <c r="AE31" s="81"/>
    </row>
    <row r="32" spans="1:31" x14ac:dyDescent="0.25">
      <c r="A32" s="16" t="s">
        <v>156</v>
      </c>
      <c r="B32" s="97"/>
      <c r="C32" s="21"/>
      <c r="D32" s="21"/>
      <c r="E32" s="21"/>
      <c r="F32" s="21"/>
      <c r="G32" s="233">
        <f t="shared" ref="G32:AA32" si="33">G18*$B$13</f>
        <v>0.15625</v>
      </c>
      <c r="H32" s="234">
        <f t="shared" si="33"/>
        <v>0.3125</v>
      </c>
      <c r="I32" s="234">
        <f t="shared" si="33"/>
        <v>0.625</v>
      </c>
      <c r="J32" s="234">
        <f t="shared" si="33"/>
        <v>1.25</v>
      </c>
      <c r="K32" s="234">
        <f t="shared" si="33"/>
        <v>2.5</v>
      </c>
      <c r="L32" s="233">
        <f t="shared" si="33"/>
        <v>5</v>
      </c>
      <c r="M32" s="234">
        <f t="shared" si="33"/>
        <v>10</v>
      </c>
      <c r="N32" s="235">
        <f t="shared" si="33"/>
        <v>20</v>
      </c>
      <c r="O32" s="234">
        <f t="shared" si="33"/>
        <v>40</v>
      </c>
      <c r="P32" s="233">
        <f t="shared" si="33"/>
        <v>80</v>
      </c>
      <c r="Q32" s="234">
        <f t="shared" si="33"/>
        <v>160</v>
      </c>
      <c r="R32" s="234">
        <f t="shared" si="33"/>
        <v>320</v>
      </c>
      <c r="S32" s="234">
        <f t="shared" si="33"/>
        <v>640</v>
      </c>
      <c r="T32" s="234">
        <f t="shared" si="33"/>
        <v>1280</v>
      </c>
      <c r="U32" s="234">
        <f t="shared" si="33"/>
        <v>2560</v>
      </c>
      <c r="V32" s="234">
        <f t="shared" si="33"/>
        <v>5120</v>
      </c>
      <c r="W32" s="234">
        <f t="shared" si="33"/>
        <v>10240</v>
      </c>
      <c r="X32" s="234">
        <f t="shared" si="33"/>
        <v>20480</v>
      </c>
      <c r="Y32" s="234">
        <f t="shared" si="33"/>
        <v>40960</v>
      </c>
      <c r="Z32" s="312">
        <f t="shared" si="33"/>
        <v>81920</v>
      </c>
      <c r="AA32" s="230">
        <f t="shared" si="33"/>
        <v>128170</v>
      </c>
      <c r="AB32" s="276">
        <f>AB18*B13</f>
        <v>25634</v>
      </c>
      <c r="AC32" s="57"/>
      <c r="AD32" s="57"/>
      <c r="AE32" s="81"/>
    </row>
    <row r="33" spans="1:31" x14ac:dyDescent="0.25">
      <c r="A33" s="49" t="s">
        <v>155</v>
      </c>
      <c r="B33" s="50"/>
      <c r="C33" s="51"/>
      <c r="D33" s="51"/>
      <c r="E33" s="51"/>
      <c r="F33" s="51"/>
      <c r="G33" s="219"/>
      <c r="H33" s="220"/>
      <c r="I33" s="220"/>
      <c r="J33" s="220"/>
      <c r="K33" s="220"/>
      <c r="L33" s="219"/>
      <c r="M33" s="220"/>
      <c r="N33" s="236">
        <f>($G$18*$B$13)*(2^(((N17-35)-$G$17)/$G$43))</f>
        <v>7.3365636154004502E-2</v>
      </c>
      <c r="O33" s="237">
        <f>($G$18*$B$13)*(2^(((O17-35)-$G$17)/HLOOKUP((O17-35)-$B$14,$G$41:$AB$43,3,TRUE)))</f>
        <v>48.27993295387521</v>
      </c>
      <c r="P33" s="238">
        <f t="shared" ref="P33:AA33" si="34">($G$18*$B$13)*(2^(((P17-35)-$G$17)/HLOOKUP((P17-35)-$B$14,$G$41:$AB$43,3,TRUE)))</f>
        <v>57.062331110393558</v>
      </c>
      <c r="Q33" s="237">
        <f t="shared" si="34"/>
        <v>101.1397039993268</v>
      </c>
      <c r="R33" s="237">
        <f t="shared" si="34"/>
        <v>191.44424883652152</v>
      </c>
      <c r="S33" s="237">
        <f t="shared" si="34"/>
        <v>371.01508604382383</v>
      </c>
      <c r="T33" s="237">
        <f t="shared" si="34"/>
        <v>727.04655985153647</v>
      </c>
      <c r="U33" s="237">
        <f t="shared" si="34"/>
        <v>1433.4658887632065</v>
      </c>
      <c r="V33" s="237">
        <f t="shared" si="34"/>
        <v>2836.8044695042795</v>
      </c>
      <c r="W33" s="237">
        <f t="shared" si="34"/>
        <v>5627.6772726858326</v>
      </c>
      <c r="X33" s="237">
        <f t="shared" si="34"/>
        <v>11183.010326774624</v>
      </c>
      <c r="Y33" s="237">
        <f t="shared" si="34"/>
        <v>22249.125352527084</v>
      </c>
      <c r="Z33" s="314">
        <f t="shared" si="34"/>
        <v>44305.436011317397</v>
      </c>
      <c r="AA33" s="224">
        <f t="shared" si="34"/>
        <v>88287.388021521067</v>
      </c>
      <c r="AB33" s="279">
        <f>($G$18*$B$13)*(2^(((AB17 - 35) - $G$17)/AB43))</f>
        <v>55237.109971798236</v>
      </c>
      <c r="AC33" s="57"/>
      <c r="AD33" s="57"/>
      <c r="AE33" s="81"/>
    </row>
    <row r="34" spans="1:31" s="81" customFormat="1" hidden="1" x14ac:dyDescent="0.25">
      <c r="A34" s="60" t="s">
        <v>209</v>
      </c>
      <c r="B34" s="37"/>
      <c r="C34" s="59"/>
      <c r="D34" s="59"/>
      <c r="E34" s="59"/>
      <c r="F34" s="59"/>
      <c r="G34" s="165">
        <f t="shared" ref="G34:AA34" si="35">G17-7</f>
        <v>43885</v>
      </c>
      <c r="H34" s="165">
        <f t="shared" si="35"/>
        <v>43889</v>
      </c>
      <c r="I34" s="165">
        <f t="shared" si="35"/>
        <v>43893</v>
      </c>
      <c r="J34" s="165">
        <f t="shared" si="35"/>
        <v>43897</v>
      </c>
      <c r="K34" s="165">
        <f t="shared" si="35"/>
        <v>43901</v>
      </c>
      <c r="L34" s="165">
        <f t="shared" si="35"/>
        <v>43904</v>
      </c>
      <c r="M34" s="165">
        <f t="shared" si="35"/>
        <v>43907</v>
      </c>
      <c r="N34" s="165">
        <f t="shared" si="35"/>
        <v>43912</v>
      </c>
      <c r="O34" s="165">
        <f t="shared" si="35"/>
        <v>43952</v>
      </c>
      <c r="P34" s="165">
        <f t="shared" si="35"/>
        <v>43992</v>
      </c>
      <c r="Q34" s="165">
        <f t="shared" si="35"/>
        <v>44032</v>
      </c>
      <c r="R34" s="165">
        <f t="shared" si="35"/>
        <v>44072</v>
      </c>
      <c r="S34" s="165">
        <f t="shared" si="35"/>
        <v>44112</v>
      </c>
      <c r="T34" s="165">
        <f t="shared" si="35"/>
        <v>44152</v>
      </c>
      <c r="U34" s="165">
        <f t="shared" si="35"/>
        <v>44192</v>
      </c>
      <c r="V34" s="165">
        <f t="shared" si="35"/>
        <v>44232</v>
      </c>
      <c r="W34" s="165">
        <f t="shared" si="35"/>
        <v>44272</v>
      </c>
      <c r="X34" s="165">
        <f t="shared" si="35"/>
        <v>44312</v>
      </c>
      <c r="Y34" s="165">
        <f t="shared" si="35"/>
        <v>44352</v>
      </c>
      <c r="Z34" s="165">
        <f t="shared" si="35"/>
        <v>44392</v>
      </c>
      <c r="AA34" s="165">
        <f t="shared" si="35"/>
        <v>44432</v>
      </c>
      <c r="AB34" s="165"/>
      <c r="AC34" s="57"/>
      <c r="AD34" s="57"/>
    </row>
    <row r="35" spans="1:31" s="81" customFormat="1" hidden="1" x14ac:dyDescent="0.25">
      <c r="A35" s="60" t="s">
        <v>207</v>
      </c>
      <c r="B35" s="37"/>
      <c r="C35" s="59"/>
      <c r="D35" s="59"/>
      <c r="E35" s="59"/>
      <c r="F35" s="59"/>
      <c r="G35" s="165">
        <f t="shared" ref="G35:AA35" si="36">G17-14</f>
        <v>43878</v>
      </c>
      <c r="H35" s="165">
        <f t="shared" si="36"/>
        <v>43882</v>
      </c>
      <c r="I35" s="165">
        <f t="shared" si="36"/>
        <v>43886</v>
      </c>
      <c r="J35" s="165">
        <f t="shared" si="36"/>
        <v>43890</v>
      </c>
      <c r="K35" s="165">
        <f t="shared" si="36"/>
        <v>43894</v>
      </c>
      <c r="L35" s="165">
        <f t="shared" si="36"/>
        <v>43897</v>
      </c>
      <c r="M35" s="165">
        <f t="shared" si="36"/>
        <v>43900</v>
      </c>
      <c r="N35" s="165">
        <f t="shared" si="36"/>
        <v>43905</v>
      </c>
      <c r="O35" s="165">
        <f t="shared" si="36"/>
        <v>43945</v>
      </c>
      <c r="P35" s="165">
        <f t="shared" si="36"/>
        <v>43985</v>
      </c>
      <c r="Q35" s="165">
        <f t="shared" si="36"/>
        <v>44025</v>
      </c>
      <c r="R35" s="165">
        <f t="shared" si="36"/>
        <v>44065</v>
      </c>
      <c r="S35" s="165">
        <f t="shared" si="36"/>
        <v>44105</v>
      </c>
      <c r="T35" s="165">
        <f t="shared" si="36"/>
        <v>44145</v>
      </c>
      <c r="U35" s="165">
        <f t="shared" si="36"/>
        <v>44185</v>
      </c>
      <c r="V35" s="165">
        <f t="shared" si="36"/>
        <v>44225</v>
      </c>
      <c r="W35" s="165">
        <f t="shared" si="36"/>
        <v>44265</v>
      </c>
      <c r="X35" s="165">
        <f t="shared" si="36"/>
        <v>44305</v>
      </c>
      <c r="Y35" s="165">
        <f t="shared" si="36"/>
        <v>44345</v>
      </c>
      <c r="Z35" s="165">
        <f t="shared" si="36"/>
        <v>44385</v>
      </c>
      <c r="AA35" s="165">
        <f t="shared" si="36"/>
        <v>44425</v>
      </c>
      <c r="AB35" s="165"/>
      <c r="AC35" s="57"/>
      <c r="AD35" s="57"/>
    </row>
    <row r="36" spans="1:31" s="81" customFormat="1" hidden="1" x14ac:dyDescent="0.25">
      <c r="A36" s="60" t="s">
        <v>210</v>
      </c>
      <c r="B36" s="37"/>
      <c r="C36" s="59"/>
      <c r="D36" s="59"/>
      <c r="E36" s="59"/>
      <c r="F36" s="59"/>
      <c r="G36" s="165">
        <f t="shared" ref="G36:AA36" si="37">G17-(7*5)</f>
        <v>43857</v>
      </c>
      <c r="H36" s="165">
        <f t="shared" si="37"/>
        <v>43861</v>
      </c>
      <c r="I36" s="165">
        <f t="shared" si="37"/>
        <v>43865</v>
      </c>
      <c r="J36" s="165">
        <f t="shared" si="37"/>
        <v>43869</v>
      </c>
      <c r="K36" s="165">
        <f t="shared" si="37"/>
        <v>43873</v>
      </c>
      <c r="L36" s="165">
        <f t="shared" si="37"/>
        <v>43876</v>
      </c>
      <c r="M36" s="165">
        <f t="shared" si="37"/>
        <v>43879</v>
      </c>
      <c r="N36" s="165">
        <f t="shared" si="37"/>
        <v>43884</v>
      </c>
      <c r="O36" s="165">
        <f t="shared" si="37"/>
        <v>43924</v>
      </c>
      <c r="P36" s="165">
        <f t="shared" si="37"/>
        <v>43964</v>
      </c>
      <c r="Q36" s="165">
        <f t="shared" si="37"/>
        <v>44004</v>
      </c>
      <c r="R36" s="165">
        <f t="shared" si="37"/>
        <v>44044</v>
      </c>
      <c r="S36" s="165">
        <f t="shared" si="37"/>
        <v>44084</v>
      </c>
      <c r="T36" s="165">
        <f t="shared" si="37"/>
        <v>44124</v>
      </c>
      <c r="U36" s="165">
        <f t="shared" si="37"/>
        <v>44164</v>
      </c>
      <c r="V36" s="165">
        <f t="shared" si="37"/>
        <v>44204</v>
      </c>
      <c r="W36" s="165">
        <f t="shared" si="37"/>
        <v>44244</v>
      </c>
      <c r="X36" s="165">
        <f t="shared" si="37"/>
        <v>44284</v>
      </c>
      <c r="Y36" s="165">
        <f t="shared" si="37"/>
        <v>44324</v>
      </c>
      <c r="Z36" s="165">
        <f t="shared" si="37"/>
        <v>44364</v>
      </c>
      <c r="AA36" s="165">
        <f t="shared" si="37"/>
        <v>44404</v>
      </c>
      <c r="AB36" s="165"/>
      <c r="AC36" s="57"/>
      <c r="AD36" s="57"/>
    </row>
    <row r="37" spans="1:31" s="81" customFormat="1" hidden="1" x14ac:dyDescent="0.25">
      <c r="A37" s="60" t="s">
        <v>208</v>
      </c>
      <c r="B37" s="37"/>
      <c r="C37" s="59"/>
      <c r="D37" s="59"/>
      <c r="E37" s="59"/>
      <c r="F37" s="59"/>
      <c r="G37" s="165">
        <f t="shared" ref="G37:AA37" si="38">G17-(6*7)</f>
        <v>43850</v>
      </c>
      <c r="H37" s="165">
        <f t="shared" si="38"/>
        <v>43854</v>
      </c>
      <c r="I37" s="165">
        <f t="shared" si="38"/>
        <v>43858</v>
      </c>
      <c r="J37" s="165">
        <f t="shared" si="38"/>
        <v>43862</v>
      </c>
      <c r="K37" s="165">
        <f t="shared" si="38"/>
        <v>43866</v>
      </c>
      <c r="L37" s="165">
        <f t="shared" si="38"/>
        <v>43869</v>
      </c>
      <c r="M37" s="165">
        <f t="shared" si="38"/>
        <v>43872</v>
      </c>
      <c r="N37" s="165">
        <f t="shared" si="38"/>
        <v>43877</v>
      </c>
      <c r="O37" s="165">
        <f t="shared" si="38"/>
        <v>43917</v>
      </c>
      <c r="P37" s="165">
        <f t="shared" si="38"/>
        <v>43957</v>
      </c>
      <c r="Q37" s="165">
        <f t="shared" si="38"/>
        <v>43997</v>
      </c>
      <c r="R37" s="165">
        <f t="shared" si="38"/>
        <v>44037</v>
      </c>
      <c r="S37" s="165">
        <f t="shared" si="38"/>
        <v>44077</v>
      </c>
      <c r="T37" s="165">
        <f t="shared" si="38"/>
        <v>44117</v>
      </c>
      <c r="U37" s="165">
        <f t="shared" si="38"/>
        <v>44157</v>
      </c>
      <c r="V37" s="165">
        <f t="shared" si="38"/>
        <v>44197</v>
      </c>
      <c r="W37" s="165">
        <f t="shared" si="38"/>
        <v>44237</v>
      </c>
      <c r="X37" s="165">
        <f t="shared" si="38"/>
        <v>44277</v>
      </c>
      <c r="Y37" s="165">
        <f t="shared" si="38"/>
        <v>44317</v>
      </c>
      <c r="Z37" s="165">
        <f t="shared" si="38"/>
        <v>44357</v>
      </c>
      <c r="AA37" s="165">
        <f t="shared" si="38"/>
        <v>44397</v>
      </c>
      <c r="AB37" s="165"/>
      <c r="AC37" s="57"/>
      <c r="AD37" s="57"/>
    </row>
    <row r="39" spans="1:31" x14ac:dyDescent="0.25">
      <c r="A39" s="65" t="s">
        <v>140</v>
      </c>
      <c r="B39" s="27"/>
      <c r="C39" s="28"/>
      <c r="D39" s="28"/>
      <c r="E39" s="28"/>
      <c r="F39" s="28"/>
    </row>
    <row r="40" spans="1:31" s="81" customFormat="1" x14ac:dyDescent="0.25">
      <c r="A40" s="158" t="s">
        <v>205</v>
      </c>
      <c r="B40" s="37"/>
      <c r="C40" s="59"/>
      <c r="D40" s="59"/>
      <c r="E40" s="59"/>
      <c r="F40" s="59"/>
      <c r="G40" s="159">
        <f t="shared" ref="G40:AB40" si="39">(G17-$B$14)/7</f>
        <v>5.2857142857142856</v>
      </c>
      <c r="H40" s="156">
        <f t="shared" si="39"/>
        <v>5.8571428571428568</v>
      </c>
      <c r="I40" s="157">
        <f t="shared" si="39"/>
        <v>6.4285714285714288</v>
      </c>
      <c r="J40" s="159">
        <f t="shared" si="39"/>
        <v>7</v>
      </c>
      <c r="K40" s="156">
        <f t="shared" si="39"/>
        <v>7.5714285714285712</v>
      </c>
      <c r="L40" s="160">
        <f t="shared" si="39"/>
        <v>8</v>
      </c>
      <c r="M40" s="157">
        <f t="shared" si="39"/>
        <v>8.4285714285714288</v>
      </c>
      <c r="N40" s="159">
        <f t="shared" si="39"/>
        <v>9.1428571428571423</v>
      </c>
      <c r="O40" s="156">
        <f t="shared" si="39"/>
        <v>14.857142857142858</v>
      </c>
      <c r="P40" s="159">
        <f t="shared" si="39"/>
        <v>20.571428571428573</v>
      </c>
      <c r="Q40" s="157">
        <f t="shared" si="39"/>
        <v>26.285714285714285</v>
      </c>
      <c r="R40" s="159">
        <f t="shared" si="39"/>
        <v>32</v>
      </c>
      <c r="S40" s="159">
        <f t="shared" si="39"/>
        <v>37.714285714285715</v>
      </c>
      <c r="T40" s="157">
        <f t="shared" si="39"/>
        <v>43.428571428571431</v>
      </c>
      <c r="U40" s="159">
        <f t="shared" si="39"/>
        <v>49.142857142857146</v>
      </c>
      <c r="V40" s="159">
        <f t="shared" si="39"/>
        <v>54.857142857142854</v>
      </c>
      <c r="W40" s="159">
        <f t="shared" si="39"/>
        <v>60.571428571428569</v>
      </c>
      <c r="X40" s="157">
        <f t="shared" si="39"/>
        <v>66.285714285714292</v>
      </c>
      <c r="Y40" s="156">
        <f t="shared" si="39"/>
        <v>72</v>
      </c>
      <c r="Z40" s="159">
        <f t="shared" si="39"/>
        <v>77.714285714285708</v>
      </c>
      <c r="AA40" s="159">
        <f t="shared" si="39"/>
        <v>83.428571428571431</v>
      </c>
      <c r="AB40" s="159">
        <f t="shared" si="39"/>
        <v>91.428571428571431</v>
      </c>
    </row>
    <row r="41" spans="1:31" s="81" customFormat="1" x14ac:dyDescent="0.25">
      <c r="A41" s="158" t="s">
        <v>204</v>
      </c>
      <c r="B41" s="37"/>
      <c r="C41" s="59"/>
      <c r="D41" s="59"/>
      <c r="E41" s="59"/>
      <c r="F41" s="59"/>
      <c r="G41" s="300">
        <f>G17-B14</f>
        <v>37</v>
      </c>
      <c r="H41" s="301">
        <f t="shared" ref="H41:AB41" si="40">H17-$B$14</f>
        <v>41</v>
      </c>
      <c r="I41" s="301">
        <f t="shared" si="40"/>
        <v>45</v>
      </c>
      <c r="J41" s="301">
        <f t="shared" si="40"/>
        <v>49</v>
      </c>
      <c r="K41" s="301">
        <f t="shared" si="40"/>
        <v>53</v>
      </c>
      <c r="L41" s="301">
        <f t="shared" si="40"/>
        <v>56</v>
      </c>
      <c r="M41" s="301">
        <f t="shared" si="40"/>
        <v>59</v>
      </c>
      <c r="N41" s="301">
        <f t="shared" si="40"/>
        <v>64</v>
      </c>
      <c r="O41" s="301">
        <f t="shared" si="40"/>
        <v>104</v>
      </c>
      <c r="P41" s="301">
        <f t="shared" si="40"/>
        <v>144</v>
      </c>
      <c r="Q41" s="301">
        <f t="shared" si="40"/>
        <v>184</v>
      </c>
      <c r="R41" s="301">
        <f t="shared" si="40"/>
        <v>224</v>
      </c>
      <c r="S41" s="301">
        <f t="shared" si="40"/>
        <v>264</v>
      </c>
      <c r="T41" s="301">
        <f t="shared" si="40"/>
        <v>304</v>
      </c>
      <c r="U41" s="301">
        <f t="shared" si="40"/>
        <v>344</v>
      </c>
      <c r="V41" s="301">
        <f t="shared" si="40"/>
        <v>384</v>
      </c>
      <c r="W41" s="301">
        <f t="shared" si="40"/>
        <v>424</v>
      </c>
      <c r="X41" s="302">
        <f t="shared" si="40"/>
        <v>464</v>
      </c>
      <c r="Y41" s="301">
        <f t="shared" si="40"/>
        <v>504</v>
      </c>
      <c r="Z41" s="315">
        <f t="shared" si="40"/>
        <v>544</v>
      </c>
      <c r="AA41" s="299">
        <f t="shared" si="40"/>
        <v>584</v>
      </c>
      <c r="AB41" s="299">
        <f t="shared" si="40"/>
        <v>640</v>
      </c>
    </row>
    <row r="42" spans="1:31" x14ac:dyDescent="0.25">
      <c r="A42" s="53" t="s">
        <v>134</v>
      </c>
      <c r="B42" s="28"/>
      <c r="C42" s="28"/>
      <c r="D42" s="28"/>
      <c r="E42" s="28"/>
      <c r="F42" s="28"/>
      <c r="G42" s="161">
        <v>33</v>
      </c>
      <c r="H42" s="162">
        <v>63</v>
      </c>
      <c r="I42" s="163">
        <v>116</v>
      </c>
      <c r="J42" s="163">
        <v>248</v>
      </c>
      <c r="K42" s="163">
        <v>596</v>
      </c>
      <c r="L42" s="163">
        <v>1072</v>
      </c>
      <c r="M42" s="163">
        <v>2317</v>
      </c>
      <c r="N42" s="163">
        <v>4163</v>
      </c>
      <c r="O42" s="199">
        <v>8000</v>
      </c>
      <c r="P42" s="199">
        <f>O42*2</f>
        <v>16000</v>
      </c>
      <c r="Q42" s="199">
        <f t="shared" ref="Q42:Z42" si="41">P42*2</f>
        <v>32000</v>
      </c>
      <c r="R42" s="199">
        <f t="shared" si="41"/>
        <v>64000</v>
      </c>
      <c r="S42" s="199">
        <f t="shared" si="41"/>
        <v>128000</v>
      </c>
      <c r="T42" s="199">
        <f t="shared" si="41"/>
        <v>256000</v>
      </c>
      <c r="U42" s="199">
        <f t="shared" si="41"/>
        <v>512000</v>
      </c>
      <c r="V42" s="199">
        <f t="shared" si="41"/>
        <v>1024000</v>
      </c>
      <c r="W42" s="199">
        <f t="shared" si="41"/>
        <v>2048000</v>
      </c>
      <c r="X42" s="199">
        <f t="shared" si="41"/>
        <v>4096000</v>
      </c>
      <c r="Y42" s="199">
        <f t="shared" si="41"/>
        <v>8192000</v>
      </c>
      <c r="Z42" s="297">
        <f t="shared" si="41"/>
        <v>16384000</v>
      </c>
      <c r="AA42" s="203">
        <f>AA18</f>
        <v>25634000</v>
      </c>
      <c r="AB42" s="204">
        <f>AA42</f>
        <v>25634000</v>
      </c>
    </row>
    <row r="43" spans="1:31" x14ac:dyDescent="0.25">
      <c r="A43" s="53" t="s">
        <v>265</v>
      </c>
      <c r="B43" s="28"/>
      <c r="C43" s="28"/>
      <c r="D43" s="28"/>
      <c r="E43" s="28"/>
      <c r="F43" s="28"/>
      <c r="G43" s="210">
        <f>(G17-B14)/(LOG(G42/1)/LOG(2))</f>
        <v>7.3348749373107394</v>
      </c>
      <c r="H43" s="191">
        <f t="shared" ref="H43:AB43" si="42">(H17-$G$17)/(LOG(H42/$G$42)/LOG(2))</f>
        <v>4.287770252524326</v>
      </c>
      <c r="I43" s="191">
        <f t="shared" si="42"/>
        <v>4.4111479339015975</v>
      </c>
      <c r="J43" s="191">
        <f t="shared" si="42"/>
        <v>4.1239916709798061</v>
      </c>
      <c r="K43" s="191">
        <f t="shared" si="42"/>
        <v>3.8325424233151351</v>
      </c>
      <c r="L43" s="191">
        <f t="shared" si="42"/>
        <v>3.7835829796492675</v>
      </c>
      <c r="M43" s="191">
        <f t="shared" si="42"/>
        <v>3.5867723822019695</v>
      </c>
      <c r="N43" s="191">
        <f t="shared" si="42"/>
        <v>3.8687414968098568</v>
      </c>
      <c r="O43" s="200">
        <f t="shared" si="42"/>
        <v>8.4581113418028231</v>
      </c>
      <c r="P43" s="200">
        <f t="shared" si="42"/>
        <v>11.993646507708624</v>
      </c>
      <c r="Q43" s="200">
        <f t="shared" si="42"/>
        <v>14.816472041798916</v>
      </c>
      <c r="R43" s="200">
        <f t="shared" si="42"/>
        <v>17.122362370505154</v>
      </c>
      <c r="S43" s="200">
        <f t="shared" si="42"/>
        <v>19.041403464896863</v>
      </c>
      <c r="T43" s="200">
        <f t="shared" si="42"/>
        <v>20.663411334559441</v>
      </c>
      <c r="U43" s="200">
        <f t="shared" si="42"/>
        <v>22.052395368182264</v>
      </c>
      <c r="V43" s="200">
        <f t="shared" si="42"/>
        <v>23.255205859228258</v>
      </c>
      <c r="W43" s="200">
        <f t="shared" si="42"/>
        <v>24.306922698456436</v>
      </c>
      <c r="X43" s="200">
        <f t="shared" si="42"/>
        <v>25.234333339558571</v>
      </c>
      <c r="Y43" s="200">
        <f t="shared" si="42"/>
        <v>26.058246357703123</v>
      </c>
      <c r="Z43" s="298">
        <f t="shared" si="42"/>
        <v>26.795071375341735</v>
      </c>
      <c r="AA43" s="205">
        <f t="shared" si="42"/>
        <v>27.955000494905821</v>
      </c>
      <c r="AB43" s="206">
        <f t="shared" si="42"/>
        <v>30.816938388351392</v>
      </c>
    </row>
    <row r="44" spans="1:31" x14ac:dyDescent="0.25">
      <c r="A44" s="53" t="s">
        <v>297</v>
      </c>
      <c r="B44" s="28"/>
      <c r="C44" s="28"/>
      <c r="D44" s="28"/>
      <c r="E44" s="28"/>
      <c r="F44" s="28"/>
      <c r="G44" s="303">
        <v>17</v>
      </c>
      <c r="H44" s="304">
        <v>39</v>
      </c>
      <c r="I44" s="304">
        <v>91</v>
      </c>
      <c r="J44" s="304">
        <v>218</v>
      </c>
      <c r="K44" s="304">
        <v>547</v>
      </c>
      <c r="L44" s="304">
        <v>1019</v>
      </c>
      <c r="M44" s="304">
        <v>2191</v>
      </c>
      <c r="N44" s="304">
        <v>3902</v>
      </c>
      <c r="O44" s="305"/>
      <c r="P44" s="305"/>
      <c r="Q44" s="305"/>
      <c r="R44" s="305"/>
      <c r="S44" s="305"/>
      <c r="T44" s="305"/>
      <c r="U44" s="305"/>
      <c r="V44" s="305"/>
      <c r="W44" s="305"/>
      <c r="X44" s="305"/>
      <c r="Y44" s="305"/>
      <c r="Z44" s="297"/>
      <c r="AA44" s="203"/>
      <c r="AB44" s="204"/>
    </row>
    <row r="45" spans="1:31" x14ac:dyDescent="0.25">
      <c r="A45" s="53" t="s">
        <v>163</v>
      </c>
      <c r="B45" s="28"/>
      <c r="C45" s="28"/>
      <c r="D45" s="28"/>
      <c r="E45" s="28"/>
      <c r="F45" s="28"/>
      <c r="G45" s="120">
        <f>G42-G44-G46</f>
        <v>15</v>
      </c>
      <c r="H45" s="121">
        <f>H42-H44-H46</f>
        <v>22</v>
      </c>
      <c r="I45" s="121">
        <f t="shared" ref="I45:J45" si="43">I42-I44-I46</f>
        <v>22</v>
      </c>
      <c r="J45" s="121">
        <f t="shared" si="43"/>
        <v>25</v>
      </c>
      <c r="K45" s="164">
        <f>K42-K44-K46</f>
        <v>43</v>
      </c>
      <c r="L45" s="164">
        <f t="shared" ref="L45:N45" si="44">L42-L44-L46</f>
        <v>46</v>
      </c>
      <c r="M45" s="164">
        <f t="shared" si="44"/>
        <v>118</v>
      </c>
      <c r="N45" s="164">
        <f t="shared" si="44"/>
        <v>245</v>
      </c>
      <c r="O45" s="282">
        <v>3338</v>
      </c>
      <c r="P45" s="201"/>
      <c r="Q45" s="201"/>
      <c r="R45" s="201"/>
      <c r="S45" s="201"/>
      <c r="T45" s="201"/>
      <c r="U45" s="201"/>
      <c r="V45" s="201"/>
      <c r="W45" s="201"/>
      <c r="X45" s="201"/>
      <c r="Y45" s="201"/>
      <c r="Z45" s="297"/>
      <c r="AA45" s="203"/>
      <c r="AB45" s="204"/>
    </row>
    <row r="46" spans="1:31" x14ac:dyDescent="0.25">
      <c r="A46" s="61" t="s">
        <v>135</v>
      </c>
      <c r="B46" s="50"/>
      <c r="C46" s="51"/>
      <c r="D46" s="51"/>
      <c r="E46" s="51"/>
      <c r="F46" s="51"/>
      <c r="G46" s="79">
        <v>1</v>
      </c>
      <c r="H46" s="80">
        <v>2</v>
      </c>
      <c r="I46" s="64">
        <v>3</v>
      </c>
      <c r="J46" s="64">
        <v>5</v>
      </c>
      <c r="K46" s="64">
        <v>6</v>
      </c>
      <c r="L46" s="64">
        <v>7</v>
      </c>
      <c r="M46" s="64">
        <v>8</v>
      </c>
      <c r="N46" s="64">
        <v>16</v>
      </c>
      <c r="O46" s="283">
        <v>61</v>
      </c>
      <c r="P46" s="202"/>
      <c r="Q46" s="202"/>
      <c r="R46" s="202"/>
      <c r="S46" s="202"/>
      <c r="T46" s="202"/>
      <c r="U46" s="202"/>
      <c r="V46" s="202"/>
      <c r="W46" s="202"/>
      <c r="X46" s="202"/>
      <c r="Y46" s="202"/>
      <c r="Z46" s="264"/>
      <c r="AA46" s="256"/>
      <c r="AB46" s="257"/>
    </row>
    <row r="47" spans="1:31" x14ac:dyDescent="0.25">
      <c r="B47" s="3"/>
      <c r="G47" s="47"/>
      <c r="H47" s="47"/>
      <c r="I47" s="47"/>
      <c r="J47" s="47"/>
      <c r="K47" s="47"/>
      <c r="L47" s="47"/>
      <c r="M47" s="47"/>
      <c r="N47" s="47"/>
      <c r="O47" s="47"/>
      <c r="P47" s="47"/>
      <c r="Q47" s="47"/>
      <c r="R47" s="47"/>
      <c r="S47" s="47"/>
      <c r="T47" s="47"/>
      <c r="U47" s="47"/>
      <c r="V47" s="47"/>
      <c r="W47" s="47"/>
      <c r="X47" s="47"/>
    </row>
    <row r="48" spans="1:31" x14ac:dyDescent="0.25">
      <c r="A48" s="86" t="s">
        <v>141</v>
      </c>
      <c r="X48" s="28"/>
    </row>
    <row r="49" spans="1:28" x14ac:dyDescent="0.25">
      <c r="A49" s="16" t="s">
        <v>1</v>
      </c>
      <c r="B49" s="69" t="s">
        <v>147</v>
      </c>
      <c r="C49" s="17" t="s">
        <v>4</v>
      </c>
      <c r="D49" s="69" t="s">
        <v>143</v>
      </c>
      <c r="E49" s="70" t="s">
        <v>3</v>
      </c>
      <c r="F49" s="21" t="s">
        <v>4</v>
      </c>
      <c r="G49" s="21"/>
      <c r="H49" s="21"/>
      <c r="I49" s="21"/>
      <c r="J49" s="21"/>
      <c r="K49" s="21"/>
      <c r="L49" s="21"/>
      <c r="M49" s="21"/>
      <c r="N49" s="21"/>
      <c r="O49" s="21"/>
      <c r="P49" s="21"/>
      <c r="Q49" s="21"/>
      <c r="R49" s="21"/>
      <c r="S49" s="21"/>
      <c r="T49" s="21"/>
      <c r="U49" s="21"/>
      <c r="V49" s="21"/>
      <c r="W49" s="21"/>
      <c r="X49" s="21"/>
      <c r="Y49" s="21"/>
      <c r="Z49" s="21"/>
      <c r="AA49" s="17"/>
      <c r="AB49" s="59"/>
    </row>
    <row r="50" spans="1:28" x14ac:dyDescent="0.25">
      <c r="A50" s="53" t="s">
        <v>13</v>
      </c>
      <c r="B50" s="25">
        <f>'ABS Population by Age Range'!D107</f>
        <v>4.0260989985204748E-2</v>
      </c>
      <c r="C50" s="24">
        <f>$B$5*B50</f>
        <v>1032050.2172807385</v>
      </c>
      <c r="D50" s="34">
        <f>'AU Infection Rate by Age'!C4</f>
        <v>2.8856063208519408E-2</v>
      </c>
      <c r="E50" s="17"/>
      <c r="F50" s="28"/>
      <c r="G50" s="30">
        <f t="shared" ref="G50:AA50" si="45">G$18*$D$50</f>
        <v>0.90175197526623152</v>
      </c>
      <c r="H50" s="31">
        <f t="shared" si="45"/>
        <v>1.803503950532463</v>
      </c>
      <c r="I50" s="31">
        <f t="shared" si="45"/>
        <v>3.6070079010649261</v>
      </c>
      <c r="J50" s="31">
        <f t="shared" si="45"/>
        <v>7.2140158021298522</v>
      </c>
      <c r="K50" s="31">
        <f t="shared" si="45"/>
        <v>14.428031604259704</v>
      </c>
      <c r="L50" s="31">
        <f t="shared" si="45"/>
        <v>28.856063208519409</v>
      </c>
      <c r="M50" s="31">
        <f t="shared" si="45"/>
        <v>57.712126417038817</v>
      </c>
      <c r="N50" s="31">
        <f t="shared" si="45"/>
        <v>115.42425283407763</v>
      </c>
      <c r="O50" s="31">
        <f t="shared" si="45"/>
        <v>230.84850566815527</v>
      </c>
      <c r="P50" s="31">
        <f t="shared" si="45"/>
        <v>461.69701133631054</v>
      </c>
      <c r="Q50" s="31">
        <f t="shared" si="45"/>
        <v>923.39402267262108</v>
      </c>
      <c r="R50" s="31">
        <f t="shared" si="45"/>
        <v>1846.7880453452422</v>
      </c>
      <c r="S50" s="31">
        <f t="shared" si="45"/>
        <v>3693.5760906904843</v>
      </c>
      <c r="T50" s="31">
        <f t="shared" si="45"/>
        <v>7387.1521813809686</v>
      </c>
      <c r="U50" s="31">
        <f t="shared" si="45"/>
        <v>14774.304362761937</v>
      </c>
      <c r="V50" s="31">
        <f t="shared" si="45"/>
        <v>29548.608725523874</v>
      </c>
      <c r="W50" s="31">
        <f t="shared" si="45"/>
        <v>59097.217451047749</v>
      </c>
      <c r="X50" s="31">
        <f t="shared" si="45"/>
        <v>118194.4349020955</v>
      </c>
      <c r="Y50" s="30">
        <f t="shared" si="45"/>
        <v>236388.869804191</v>
      </c>
      <c r="Z50" s="31">
        <f t="shared" si="45"/>
        <v>472777.73960838199</v>
      </c>
      <c r="AA50" s="72">
        <f t="shared" si="45"/>
        <v>739696.32428718649</v>
      </c>
      <c r="AB50" s="57"/>
    </row>
    <row r="51" spans="1:28" x14ac:dyDescent="0.25">
      <c r="A51" s="53"/>
      <c r="B51" s="18"/>
      <c r="C51" s="22"/>
      <c r="D51" s="20"/>
      <c r="E51" s="39">
        <v>0.14799999999999999</v>
      </c>
      <c r="F51" s="22"/>
      <c r="G51" s="41">
        <f t="shared" ref="G51:AA51" si="46">G$18*$D$50*$E$51</f>
        <v>0.13345929233940226</v>
      </c>
      <c r="H51" s="42">
        <f t="shared" si="46"/>
        <v>0.26691858467880453</v>
      </c>
      <c r="I51" s="42">
        <f t="shared" si="46"/>
        <v>0.53383716935760905</v>
      </c>
      <c r="J51" s="42">
        <f t="shared" si="46"/>
        <v>1.0676743387152181</v>
      </c>
      <c r="K51" s="42">
        <f t="shared" si="46"/>
        <v>2.1353486774304362</v>
      </c>
      <c r="L51" s="42">
        <f t="shared" si="46"/>
        <v>4.2706973548608724</v>
      </c>
      <c r="M51" s="42">
        <f t="shared" si="46"/>
        <v>8.5413947097217449</v>
      </c>
      <c r="N51" s="42">
        <f t="shared" si="46"/>
        <v>17.08278941944349</v>
      </c>
      <c r="O51" s="42">
        <f t="shared" si="46"/>
        <v>34.165578838886979</v>
      </c>
      <c r="P51" s="42">
        <f t="shared" si="46"/>
        <v>68.331157677773959</v>
      </c>
      <c r="Q51" s="42">
        <f t="shared" si="46"/>
        <v>136.66231535554792</v>
      </c>
      <c r="R51" s="42">
        <f t="shared" si="46"/>
        <v>273.32463071109584</v>
      </c>
      <c r="S51" s="42">
        <f t="shared" si="46"/>
        <v>546.64926142219167</v>
      </c>
      <c r="T51" s="42">
        <f t="shared" si="46"/>
        <v>1093.2985228443833</v>
      </c>
      <c r="U51" s="42">
        <f t="shared" si="46"/>
        <v>2186.5970456887667</v>
      </c>
      <c r="V51" s="42">
        <f t="shared" si="46"/>
        <v>4373.1940913775334</v>
      </c>
      <c r="W51" s="42">
        <f t="shared" si="46"/>
        <v>8746.3881827550667</v>
      </c>
      <c r="X51" s="42">
        <f t="shared" si="46"/>
        <v>17492.776365510133</v>
      </c>
      <c r="Y51" s="41">
        <f t="shared" si="46"/>
        <v>34985.552731020267</v>
      </c>
      <c r="Z51" s="42">
        <f t="shared" si="46"/>
        <v>69971.105462040534</v>
      </c>
      <c r="AA51" s="83">
        <f t="shared" si="46"/>
        <v>109475.05599450359</v>
      </c>
      <c r="AB51" s="57"/>
    </row>
    <row r="52" spans="1:28" x14ac:dyDescent="0.25">
      <c r="A52" s="53" t="s">
        <v>14</v>
      </c>
      <c r="B52" s="18">
        <f>'ABS Population by Age Range'!D97</f>
        <v>7.065336711718416E-2</v>
      </c>
      <c r="C52" s="22">
        <f t="shared" ref="C52:C66" si="47">$B$5*B52</f>
        <v>1811128.4126818988</v>
      </c>
      <c r="D52" s="35">
        <f>'AU Infection Rate by Age'!C5</f>
        <v>0.10700790106492614</v>
      </c>
      <c r="E52" s="29"/>
      <c r="F52" s="28"/>
      <c r="G52" s="32">
        <f t="shared" ref="G52:AA52" si="48">G$18*$D$52</f>
        <v>3.3439969082789416</v>
      </c>
      <c r="H52" s="33">
        <f t="shared" si="48"/>
        <v>6.6879938165578832</v>
      </c>
      <c r="I52" s="33">
        <f t="shared" si="48"/>
        <v>13.375987633115766</v>
      </c>
      <c r="J52" s="33">
        <f t="shared" si="48"/>
        <v>26.751975266231533</v>
      </c>
      <c r="K52" s="33">
        <f t="shared" si="48"/>
        <v>53.503950532463065</v>
      </c>
      <c r="L52" s="33">
        <f t="shared" si="48"/>
        <v>107.00790106492613</v>
      </c>
      <c r="M52" s="33">
        <f t="shared" si="48"/>
        <v>214.01580212985226</v>
      </c>
      <c r="N52" s="33">
        <f t="shared" si="48"/>
        <v>428.03160425970452</v>
      </c>
      <c r="O52" s="33">
        <f t="shared" si="48"/>
        <v>856.06320851940905</v>
      </c>
      <c r="P52" s="33">
        <f t="shared" si="48"/>
        <v>1712.1264170388181</v>
      </c>
      <c r="Q52" s="33">
        <f t="shared" si="48"/>
        <v>3424.2528340776362</v>
      </c>
      <c r="R52" s="33">
        <f t="shared" si="48"/>
        <v>6848.5056681552724</v>
      </c>
      <c r="S52" s="33">
        <f t="shared" si="48"/>
        <v>13697.011336310545</v>
      </c>
      <c r="T52" s="33">
        <f t="shared" si="48"/>
        <v>27394.022672621089</v>
      </c>
      <c r="U52" s="33">
        <f t="shared" si="48"/>
        <v>54788.045345242179</v>
      </c>
      <c r="V52" s="33">
        <f t="shared" si="48"/>
        <v>109576.09069048436</v>
      </c>
      <c r="W52" s="33">
        <f t="shared" si="48"/>
        <v>219152.18138096872</v>
      </c>
      <c r="X52" s="33">
        <f t="shared" si="48"/>
        <v>438304.36276193743</v>
      </c>
      <c r="Y52" s="32">
        <f t="shared" si="48"/>
        <v>876608.72552387486</v>
      </c>
      <c r="Z52" s="33">
        <f t="shared" si="48"/>
        <v>1753217.4510477497</v>
      </c>
      <c r="AA52" s="84">
        <f t="shared" si="48"/>
        <v>2743040.5358983167</v>
      </c>
      <c r="AB52" s="57"/>
    </row>
    <row r="53" spans="1:28" x14ac:dyDescent="0.25">
      <c r="A53" s="53"/>
      <c r="B53" s="18"/>
      <c r="C53" s="22"/>
      <c r="D53" s="20"/>
      <c r="E53" s="39">
        <v>0.08</v>
      </c>
      <c r="F53" s="22"/>
      <c r="G53" s="41">
        <f t="shared" ref="G53:AA53" si="49">G$18*$D$52*$E$53</f>
        <v>0.26751975266231531</v>
      </c>
      <c r="H53" s="42">
        <f t="shared" si="49"/>
        <v>0.53503950532463063</v>
      </c>
      <c r="I53" s="42">
        <f t="shared" si="49"/>
        <v>1.0700790106492613</v>
      </c>
      <c r="J53" s="42">
        <f t="shared" si="49"/>
        <v>2.1401580212985225</v>
      </c>
      <c r="K53" s="42">
        <f t="shared" si="49"/>
        <v>4.280316042597045</v>
      </c>
      <c r="L53" s="42">
        <f t="shared" si="49"/>
        <v>8.56063208519409</v>
      </c>
      <c r="M53" s="42">
        <f t="shared" si="49"/>
        <v>17.12126417038818</v>
      </c>
      <c r="N53" s="42">
        <f t="shared" si="49"/>
        <v>34.24252834077636</v>
      </c>
      <c r="O53" s="42">
        <f t="shared" si="49"/>
        <v>68.48505668155272</v>
      </c>
      <c r="P53" s="42">
        <f t="shared" si="49"/>
        <v>136.97011336310544</v>
      </c>
      <c r="Q53" s="42">
        <f t="shared" si="49"/>
        <v>273.94022672621088</v>
      </c>
      <c r="R53" s="42">
        <f t="shared" si="49"/>
        <v>547.88045345242176</v>
      </c>
      <c r="S53" s="42">
        <f t="shared" si="49"/>
        <v>1095.7609069048435</v>
      </c>
      <c r="T53" s="42">
        <f t="shared" si="49"/>
        <v>2191.521813809687</v>
      </c>
      <c r="U53" s="42">
        <f t="shared" si="49"/>
        <v>4383.0436276193741</v>
      </c>
      <c r="V53" s="42">
        <f t="shared" si="49"/>
        <v>8766.0872552387482</v>
      </c>
      <c r="W53" s="42">
        <f t="shared" si="49"/>
        <v>17532.174510477496</v>
      </c>
      <c r="X53" s="42">
        <f t="shared" si="49"/>
        <v>35064.349020954993</v>
      </c>
      <c r="Y53" s="41">
        <f t="shared" si="49"/>
        <v>70128.698041909985</v>
      </c>
      <c r="Z53" s="42">
        <f t="shared" si="49"/>
        <v>140257.39608381997</v>
      </c>
      <c r="AA53" s="83">
        <f t="shared" si="49"/>
        <v>219443.24287186534</v>
      </c>
      <c r="AB53" s="57"/>
    </row>
    <row r="54" spans="1:28" x14ac:dyDescent="0.25">
      <c r="A54" s="53" t="s">
        <v>15</v>
      </c>
      <c r="B54" s="18">
        <f>'ABS Population by Age Range'!D85</f>
        <v>0.10301766910746854</v>
      </c>
      <c r="C54" s="22">
        <f t="shared" si="47"/>
        <v>2640754.9299008488</v>
      </c>
      <c r="D54" s="35">
        <f>'AU Infection Rate by Age'!C6</f>
        <v>0.1683270353830299</v>
      </c>
      <c r="E54" s="29"/>
      <c r="F54" s="22"/>
      <c r="G54" s="32">
        <f t="shared" ref="G54:AA54" si="50">G$18*$D$54</f>
        <v>5.2602198557196846</v>
      </c>
      <c r="H54" s="33">
        <f t="shared" si="50"/>
        <v>10.520439711439369</v>
      </c>
      <c r="I54" s="33">
        <f t="shared" si="50"/>
        <v>21.040879422878739</v>
      </c>
      <c r="J54" s="33">
        <f t="shared" si="50"/>
        <v>42.081758845757477</v>
      </c>
      <c r="K54" s="33">
        <f t="shared" si="50"/>
        <v>84.163517691514954</v>
      </c>
      <c r="L54" s="33">
        <f t="shared" si="50"/>
        <v>168.32703538302991</v>
      </c>
      <c r="M54" s="33">
        <f t="shared" si="50"/>
        <v>336.65407076605982</v>
      </c>
      <c r="N54" s="33">
        <f t="shared" si="50"/>
        <v>673.30814153211963</v>
      </c>
      <c r="O54" s="33">
        <f t="shared" si="50"/>
        <v>1346.6162830642393</v>
      </c>
      <c r="P54" s="33">
        <f t="shared" si="50"/>
        <v>2693.2325661284785</v>
      </c>
      <c r="Q54" s="33">
        <f t="shared" si="50"/>
        <v>5386.4651322569571</v>
      </c>
      <c r="R54" s="33">
        <f t="shared" si="50"/>
        <v>10772.930264513914</v>
      </c>
      <c r="S54" s="33">
        <f t="shared" si="50"/>
        <v>21545.860529027828</v>
      </c>
      <c r="T54" s="33">
        <f t="shared" si="50"/>
        <v>43091.721058055657</v>
      </c>
      <c r="U54" s="33">
        <f t="shared" si="50"/>
        <v>86183.442116111313</v>
      </c>
      <c r="V54" s="33">
        <f t="shared" si="50"/>
        <v>172366.88423222263</v>
      </c>
      <c r="W54" s="33">
        <f t="shared" si="50"/>
        <v>344733.76846444525</v>
      </c>
      <c r="X54" s="33">
        <f t="shared" si="50"/>
        <v>689467.53692889051</v>
      </c>
      <c r="Y54" s="32">
        <f t="shared" si="50"/>
        <v>1378935.073857781</v>
      </c>
      <c r="Z54" s="33">
        <f t="shared" si="50"/>
        <v>2757870.147715562</v>
      </c>
      <c r="AA54" s="84">
        <f t="shared" si="50"/>
        <v>4314895.2250085883</v>
      </c>
      <c r="AB54" s="57"/>
    </row>
    <row r="55" spans="1:28" x14ac:dyDescent="0.25">
      <c r="A55" s="53"/>
      <c r="B55" s="18"/>
      <c r="C55" s="22"/>
      <c r="D55" s="20"/>
      <c r="E55" s="39">
        <v>3.5999999999999997E-2</v>
      </c>
      <c r="F55" s="22"/>
      <c r="G55" s="41">
        <f t="shared" ref="G55:AA55" si="51">G$18*$D$54*$E$55</f>
        <v>0.18936791480590864</v>
      </c>
      <c r="H55" s="42">
        <f t="shared" si="51"/>
        <v>0.37873582961181729</v>
      </c>
      <c r="I55" s="42">
        <f t="shared" si="51"/>
        <v>0.75747165922363457</v>
      </c>
      <c r="J55" s="42">
        <f t="shared" si="51"/>
        <v>1.5149433184472691</v>
      </c>
      <c r="K55" s="42">
        <f t="shared" si="51"/>
        <v>3.0298866368945383</v>
      </c>
      <c r="L55" s="42">
        <f t="shared" si="51"/>
        <v>6.0597732737890766</v>
      </c>
      <c r="M55" s="42">
        <f t="shared" si="51"/>
        <v>12.119546547578153</v>
      </c>
      <c r="N55" s="42">
        <f t="shared" si="51"/>
        <v>24.239093095156306</v>
      </c>
      <c r="O55" s="42">
        <f t="shared" si="51"/>
        <v>48.478186190312613</v>
      </c>
      <c r="P55" s="42">
        <f t="shared" si="51"/>
        <v>96.956372380625226</v>
      </c>
      <c r="Q55" s="42">
        <f t="shared" si="51"/>
        <v>193.91274476125045</v>
      </c>
      <c r="R55" s="42">
        <f t="shared" si="51"/>
        <v>387.8254895225009</v>
      </c>
      <c r="S55" s="42">
        <f t="shared" si="51"/>
        <v>775.6509790450018</v>
      </c>
      <c r="T55" s="42">
        <f t="shared" si="51"/>
        <v>1551.3019580900036</v>
      </c>
      <c r="U55" s="42">
        <f t="shared" si="51"/>
        <v>3102.6039161800072</v>
      </c>
      <c r="V55" s="42">
        <f t="shared" si="51"/>
        <v>6205.2078323600144</v>
      </c>
      <c r="W55" s="42">
        <f t="shared" si="51"/>
        <v>12410.415664720029</v>
      </c>
      <c r="X55" s="42">
        <f t="shared" si="51"/>
        <v>24820.831329440058</v>
      </c>
      <c r="Y55" s="41">
        <f t="shared" si="51"/>
        <v>49641.662658880115</v>
      </c>
      <c r="Z55" s="42">
        <f t="shared" si="51"/>
        <v>99283.325317760231</v>
      </c>
      <c r="AA55" s="83">
        <f t="shared" si="51"/>
        <v>155336.22810030918</v>
      </c>
      <c r="AB55" s="57"/>
    </row>
    <row r="56" spans="1:28" x14ac:dyDescent="0.25">
      <c r="A56" s="53" t="s">
        <v>16</v>
      </c>
      <c r="B56" s="18">
        <f>'ABS Population by Age Range'!D73</f>
        <v>0.12142789925761971</v>
      </c>
      <c r="C56" s="22">
        <f t="shared" si="47"/>
        <v>3112682.7695698235</v>
      </c>
      <c r="D56" s="35">
        <f>'AU Infection Rate by Age'!C7</f>
        <v>0.15527310202679492</v>
      </c>
      <c r="E56" s="29"/>
      <c r="F56" s="22"/>
      <c r="G56" s="32">
        <f t="shared" ref="G56:AA56" si="52">G$18*$D$56</f>
        <v>4.8522844383373416</v>
      </c>
      <c r="H56" s="33">
        <f t="shared" si="52"/>
        <v>9.7045688766746832</v>
      </c>
      <c r="I56" s="33">
        <f t="shared" si="52"/>
        <v>19.409137753349366</v>
      </c>
      <c r="J56" s="33">
        <f t="shared" si="52"/>
        <v>38.818275506698733</v>
      </c>
      <c r="K56" s="33">
        <f t="shared" si="52"/>
        <v>77.636551013397465</v>
      </c>
      <c r="L56" s="33">
        <f t="shared" si="52"/>
        <v>155.27310202679493</v>
      </c>
      <c r="M56" s="33">
        <f t="shared" si="52"/>
        <v>310.54620405358986</v>
      </c>
      <c r="N56" s="33">
        <f t="shared" si="52"/>
        <v>621.09240810717972</v>
      </c>
      <c r="O56" s="33">
        <f t="shared" si="52"/>
        <v>1242.1848162143594</v>
      </c>
      <c r="P56" s="33">
        <f t="shared" si="52"/>
        <v>2484.3696324287189</v>
      </c>
      <c r="Q56" s="33">
        <f t="shared" si="52"/>
        <v>4968.7392648574378</v>
      </c>
      <c r="R56" s="33">
        <f t="shared" si="52"/>
        <v>9937.4785297148755</v>
      </c>
      <c r="S56" s="33">
        <f t="shared" si="52"/>
        <v>19874.957059429751</v>
      </c>
      <c r="T56" s="33">
        <f t="shared" si="52"/>
        <v>39749.914118859502</v>
      </c>
      <c r="U56" s="33">
        <f t="shared" si="52"/>
        <v>79499.828237719004</v>
      </c>
      <c r="V56" s="33">
        <f t="shared" si="52"/>
        <v>158999.65647543801</v>
      </c>
      <c r="W56" s="33">
        <f t="shared" si="52"/>
        <v>317999.31295087602</v>
      </c>
      <c r="X56" s="33">
        <f t="shared" si="52"/>
        <v>635998.62590175204</v>
      </c>
      <c r="Y56" s="32">
        <f t="shared" si="52"/>
        <v>1271997.2518035041</v>
      </c>
      <c r="Z56" s="33">
        <f t="shared" si="52"/>
        <v>2543994.5036070081</v>
      </c>
      <c r="AA56" s="84">
        <f t="shared" si="52"/>
        <v>3980270.6973548611</v>
      </c>
      <c r="AB56" s="57"/>
    </row>
    <row r="57" spans="1:28" x14ac:dyDescent="0.25">
      <c r="A57" s="53"/>
      <c r="B57" s="18"/>
      <c r="C57" s="22"/>
      <c r="D57" s="20"/>
      <c r="E57" s="39">
        <v>1.2999999999999999E-2</v>
      </c>
      <c r="F57" s="22"/>
      <c r="G57" s="41">
        <f t="shared" ref="G57:AA57" si="53">G$18*$D$56*$E$57</f>
        <v>6.3079697698385437E-2</v>
      </c>
      <c r="H57" s="42">
        <f t="shared" si="53"/>
        <v>0.12615939539677087</v>
      </c>
      <c r="I57" s="42">
        <f t="shared" si="53"/>
        <v>0.25231879079354175</v>
      </c>
      <c r="J57" s="42">
        <f t="shared" si="53"/>
        <v>0.50463758158708349</v>
      </c>
      <c r="K57" s="42">
        <f t="shared" si="53"/>
        <v>1.009275163174167</v>
      </c>
      <c r="L57" s="42">
        <f t="shared" si="53"/>
        <v>2.018550326348334</v>
      </c>
      <c r="M57" s="42">
        <f t="shared" si="53"/>
        <v>4.037100652696668</v>
      </c>
      <c r="N57" s="42">
        <f t="shared" si="53"/>
        <v>8.0742013053933359</v>
      </c>
      <c r="O57" s="42">
        <f t="shared" si="53"/>
        <v>16.148402610786672</v>
      </c>
      <c r="P57" s="42">
        <f t="shared" si="53"/>
        <v>32.296805221573344</v>
      </c>
      <c r="Q57" s="42">
        <f t="shared" si="53"/>
        <v>64.593610443146687</v>
      </c>
      <c r="R57" s="42">
        <f t="shared" si="53"/>
        <v>129.18722088629337</v>
      </c>
      <c r="S57" s="42">
        <f t="shared" si="53"/>
        <v>258.37444177258675</v>
      </c>
      <c r="T57" s="42">
        <f t="shared" si="53"/>
        <v>516.7488835451735</v>
      </c>
      <c r="U57" s="42">
        <f t="shared" si="53"/>
        <v>1033.497767090347</v>
      </c>
      <c r="V57" s="42">
        <f t="shared" si="53"/>
        <v>2066.995534180694</v>
      </c>
      <c r="W57" s="42">
        <f t="shared" si="53"/>
        <v>4133.991068361388</v>
      </c>
      <c r="X57" s="42">
        <f t="shared" si="53"/>
        <v>8267.982136722776</v>
      </c>
      <c r="Y57" s="41">
        <f t="shared" si="53"/>
        <v>16535.964273445552</v>
      </c>
      <c r="Z57" s="42">
        <f t="shared" si="53"/>
        <v>33071.928546891104</v>
      </c>
      <c r="AA57" s="83">
        <f t="shared" si="53"/>
        <v>51743.519065613189</v>
      </c>
      <c r="AB57" s="57"/>
    </row>
    <row r="58" spans="1:28" x14ac:dyDescent="0.25">
      <c r="A58" s="53" t="s">
        <v>17</v>
      </c>
      <c r="B58" s="18">
        <f>'ABS Population by Age Range'!D61</f>
        <v>0.12908272398046944</v>
      </c>
      <c r="C58" s="22">
        <f t="shared" si="47"/>
        <v>3308906.5465153535</v>
      </c>
      <c r="D58" s="35">
        <f>'AU Infection Rate by Age'!C8</f>
        <v>0.1288217107523188</v>
      </c>
      <c r="E58" s="29"/>
      <c r="F58" s="22"/>
      <c r="G58" s="32">
        <f t="shared" ref="G58:AA58" si="54">G$18*$D$58</f>
        <v>4.0256784610099627</v>
      </c>
      <c r="H58" s="33">
        <f t="shared" si="54"/>
        <v>8.0513569220199255</v>
      </c>
      <c r="I58" s="33">
        <f t="shared" si="54"/>
        <v>16.102713844039851</v>
      </c>
      <c r="J58" s="33">
        <f t="shared" si="54"/>
        <v>32.205427688079702</v>
      </c>
      <c r="K58" s="33">
        <f t="shared" si="54"/>
        <v>64.410855376159404</v>
      </c>
      <c r="L58" s="33">
        <f t="shared" si="54"/>
        <v>128.82171075231881</v>
      </c>
      <c r="M58" s="33">
        <f t="shared" si="54"/>
        <v>257.64342150463762</v>
      </c>
      <c r="N58" s="33">
        <f t="shared" si="54"/>
        <v>515.28684300927523</v>
      </c>
      <c r="O58" s="33">
        <f t="shared" si="54"/>
        <v>1030.5736860185505</v>
      </c>
      <c r="P58" s="33">
        <f t="shared" si="54"/>
        <v>2061.1473720371009</v>
      </c>
      <c r="Q58" s="33">
        <f t="shared" si="54"/>
        <v>4122.2947440742018</v>
      </c>
      <c r="R58" s="33">
        <f t="shared" si="54"/>
        <v>8244.5894881484037</v>
      </c>
      <c r="S58" s="33">
        <f t="shared" si="54"/>
        <v>16489.178976296807</v>
      </c>
      <c r="T58" s="33">
        <f t="shared" si="54"/>
        <v>32978.357952593615</v>
      </c>
      <c r="U58" s="33">
        <f t="shared" si="54"/>
        <v>65956.71590518723</v>
      </c>
      <c r="V58" s="33">
        <f t="shared" si="54"/>
        <v>131913.43181037446</v>
      </c>
      <c r="W58" s="33">
        <f t="shared" si="54"/>
        <v>263826.86362074892</v>
      </c>
      <c r="X58" s="33">
        <f t="shared" si="54"/>
        <v>527653.72724149784</v>
      </c>
      <c r="Y58" s="32">
        <f t="shared" si="54"/>
        <v>1055307.4544829957</v>
      </c>
      <c r="Z58" s="33">
        <f t="shared" si="54"/>
        <v>2110614.9089659913</v>
      </c>
      <c r="AA58" s="84">
        <f t="shared" si="54"/>
        <v>3302215.7334249401</v>
      </c>
      <c r="AB58" s="57"/>
    </row>
    <row r="59" spans="1:28" x14ac:dyDescent="0.25">
      <c r="A59" s="53"/>
      <c r="B59" s="18"/>
      <c r="C59" s="22"/>
      <c r="D59" s="20"/>
      <c r="E59" s="39">
        <v>4.0000000000000001E-3</v>
      </c>
      <c r="F59" s="22"/>
      <c r="G59" s="41">
        <f t="shared" ref="G59:AA59" si="55">G$18*$D$58*$E$59</f>
        <v>1.610271384403985E-2</v>
      </c>
      <c r="H59" s="42">
        <f t="shared" si="55"/>
        <v>3.2205427688079699E-2</v>
      </c>
      <c r="I59" s="42">
        <f t="shared" si="55"/>
        <v>6.4410855376159398E-2</v>
      </c>
      <c r="J59" s="42">
        <f t="shared" si="55"/>
        <v>0.1288217107523188</v>
      </c>
      <c r="K59" s="42">
        <f t="shared" si="55"/>
        <v>0.25764342150463759</v>
      </c>
      <c r="L59" s="42">
        <f t="shared" si="55"/>
        <v>0.51528684300927519</v>
      </c>
      <c r="M59" s="42">
        <f t="shared" si="55"/>
        <v>1.0305736860185504</v>
      </c>
      <c r="N59" s="42">
        <f t="shared" si="55"/>
        <v>2.0611473720371007</v>
      </c>
      <c r="O59" s="42">
        <f t="shared" si="55"/>
        <v>4.1222947440742015</v>
      </c>
      <c r="P59" s="42">
        <f t="shared" si="55"/>
        <v>8.244589488148403</v>
      </c>
      <c r="Q59" s="42">
        <f t="shared" si="55"/>
        <v>16.489178976296806</v>
      </c>
      <c r="R59" s="42">
        <f t="shared" si="55"/>
        <v>32.978357952593612</v>
      </c>
      <c r="S59" s="42">
        <f t="shared" si="55"/>
        <v>65.956715905187224</v>
      </c>
      <c r="T59" s="42">
        <f t="shared" si="55"/>
        <v>131.91343181037445</v>
      </c>
      <c r="U59" s="42">
        <f t="shared" si="55"/>
        <v>263.8268636207489</v>
      </c>
      <c r="V59" s="42">
        <f t="shared" si="55"/>
        <v>527.65372724149779</v>
      </c>
      <c r="W59" s="42">
        <f t="shared" si="55"/>
        <v>1055.3074544829956</v>
      </c>
      <c r="X59" s="42">
        <f t="shared" si="55"/>
        <v>2110.6149089659912</v>
      </c>
      <c r="Y59" s="41">
        <f t="shared" si="55"/>
        <v>4221.2298179319823</v>
      </c>
      <c r="Z59" s="42">
        <f t="shared" si="55"/>
        <v>8442.4596358639646</v>
      </c>
      <c r="AA59" s="83">
        <f t="shared" si="55"/>
        <v>13208.86293369976</v>
      </c>
      <c r="AB59" s="57"/>
    </row>
    <row r="60" spans="1:28" x14ac:dyDescent="0.25">
      <c r="A60" s="53" t="s">
        <v>18</v>
      </c>
      <c r="B60" s="18">
        <f>'ABS Population by Age Range'!D49</f>
        <v>0.14481341657950456</v>
      </c>
      <c r="C60" s="22">
        <f t="shared" si="47"/>
        <v>3712147.1205990198</v>
      </c>
      <c r="D60" s="35">
        <f>'AU Infection Rate by Age'!C9</f>
        <v>0.15802129852284438</v>
      </c>
      <c r="E60" s="29"/>
      <c r="F60" s="22"/>
      <c r="G60" s="32">
        <f t="shared" ref="G60:AA60" si="56">G$18*$D$60</f>
        <v>4.9381655788388867</v>
      </c>
      <c r="H60" s="33">
        <f t="shared" si="56"/>
        <v>9.8763311576777735</v>
      </c>
      <c r="I60" s="33">
        <f t="shared" si="56"/>
        <v>19.752662315355547</v>
      </c>
      <c r="J60" s="33">
        <f t="shared" si="56"/>
        <v>39.505324630711094</v>
      </c>
      <c r="K60" s="33">
        <f t="shared" si="56"/>
        <v>79.010649261422188</v>
      </c>
      <c r="L60" s="33">
        <f t="shared" si="56"/>
        <v>158.02129852284438</v>
      </c>
      <c r="M60" s="33">
        <f t="shared" si="56"/>
        <v>316.04259704568875</v>
      </c>
      <c r="N60" s="33">
        <f t="shared" si="56"/>
        <v>632.0851940913775</v>
      </c>
      <c r="O60" s="33">
        <f t="shared" si="56"/>
        <v>1264.170388182755</v>
      </c>
      <c r="P60" s="33">
        <f t="shared" si="56"/>
        <v>2528.34077636551</v>
      </c>
      <c r="Q60" s="33">
        <f t="shared" si="56"/>
        <v>5056.68155273102</v>
      </c>
      <c r="R60" s="33">
        <f t="shared" si="56"/>
        <v>10113.36310546204</v>
      </c>
      <c r="S60" s="33">
        <f t="shared" si="56"/>
        <v>20226.72621092408</v>
      </c>
      <c r="T60" s="33">
        <f t="shared" si="56"/>
        <v>40453.45242184816</v>
      </c>
      <c r="U60" s="33">
        <f t="shared" si="56"/>
        <v>80906.90484369632</v>
      </c>
      <c r="V60" s="33">
        <f t="shared" si="56"/>
        <v>161813.80968739264</v>
      </c>
      <c r="W60" s="33">
        <f t="shared" si="56"/>
        <v>323627.61937478528</v>
      </c>
      <c r="X60" s="33">
        <f t="shared" si="56"/>
        <v>647255.23874957056</v>
      </c>
      <c r="Y60" s="32">
        <f t="shared" si="56"/>
        <v>1294510.4774991411</v>
      </c>
      <c r="Z60" s="33">
        <f t="shared" si="56"/>
        <v>2589020.9549982823</v>
      </c>
      <c r="AA60" s="84">
        <f t="shared" si="56"/>
        <v>4050717.966334593</v>
      </c>
      <c r="AB60" s="57"/>
    </row>
    <row r="61" spans="1:28" x14ac:dyDescent="0.25">
      <c r="A61" s="53"/>
      <c r="B61" s="18"/>
      <c r="C61" s="22"/>
      <c r="D61" s="20"/>
      <c r="E61" s="39">
        <v>2E-3</v>
      </c>
      <c r="F61" s="22"/>
      <c r="G61" s="41">
        <f t="shared" ref="G61:AA61" si="57">G$18*$D$60*$E$61</f>
        <v>9.876331157677774E-3</v>
      </c>
      <c r="H61" s="42">
        <f t="shared" si="57"/>
        <v>1.9752662315355548E-2</v>
      </c>
      <c r="I61" s="42">
        <f t="shared" si="57"/>
        <v>3.9505324630711096E-2</v>
      </c>
      <c r="J61" s="42">
        <f t="shared" si="57"/>
        <v>7.9010649261422192E-2</v>
      </c>
      <c r="K61" s="42">
        <f t="shared" si="57"/>
        <v>0.15802129852284438</v>
      </c>
      <c r="L61" s="42">
        <f t="shared" si="57"/>
        <v>0.31604259704568877</v>
      </c>
      <c r="M61" s="42">
        <f t="shared" si="57"/>
        <v>0.63208519409137753</v>
      </c>
      <c r="N61" s="42">
        <f t="shared" si="57"/>
        <v>1.2641703881827551</v>
      </c>
      <c r="O61" s="42">
        <f t="shared" si="57"/>
        <v>2.5283407763655101</v>
      </c>
      <c r="P61" s="42">
        <f t="shared" si="57"/>
        <v>5.0566815527310203</v>
      </c>
      <c r="Q61" s="42">
        <f t="shared" si="57"/>
        <v>10.113363105462041</v>
      </c>
      <c r="R61" s="42">
        <f t="shared" si="57"/>
        <v>20.226726210924081</v>
      </c>
      <c r="S61" s="42">
        <f t="shared" si="57"/>
        <v>40.453452421848162</v>
      </c>
      <c r="T61" s="42">
        <f t="shared" si="57"/>
        <v>80.906904843696324</v>
      </c>
      <c r="U61" s="42">
        <f t="shared" si="57"/>
        <v>161.81380968739265</v>
      </c>
      <c r="V61" s="42">
        <f t="shared" si="57"/>
        <v>323.6276193747853</v>
      </c>
      <c r="W61" s="42">
        <f t="shared" si="57"/>
        <v>647.25523874957059</v>
      </c>
      <c r="X61" s="42">
        <f t="shared" si="57"/>
        <v>1294.5104774991412</v>
      </c>
      <c r="Y61" s="41">
        <f t="shared" si="57"/>
        <v>2589.0209549982824</v>
      </c>
      <c r="Z61" s="42">
        <f t="shared" si="57"/>
        <v>5178.0419099965648</v>
      </c>
      <c r="AA61" s="83">
        <f t="shared" si="57"/>
        <v>8101.4359326691865</v>
      </c>
      <c r="AB61" s="57"/>
    </row>
    <row r="62" spans="1:28" x14ac:dyDescent="0.25">
      <c r="A62" s="53" t="s">
        <v>19</v>
      </c>
      <c r="B62" s="18">
        <f>'ABS Population by Age Range'!D37</f>
        <v>0.14458334093878666</v>
      </c>
      <c r="C62" s="22">
        <f t="shared" si="47"/>
        <v>3706249.3616248574</v>
      </c>
      <c r="D62" s="35">
        <f>'AU Infection Rate by Age'!C10</f>
        <v>0.21521813809687393</v>
      </c>
      <c r="E62" s="29"/>
      <c r="F62" s="22"/>
      <c r="G62" s="32">
        <f t="shared" ref="G62:AA62" si="58">G$18*$D$62</f>
        <v>6.7255668155273103</v>
      </c>
      <c r="H62" s="33">
        <f t="shared" si="58"/>
        <v>13.451133631054621</v>
      </c>
      <c r="I62" s="33">
        <f t="shared" si="58"/>
        <v>26.902267262109241</v>
      </c>
      <c r="J62" s="33">
        <f t="shared" si="58"/>
        <v>53.804534524218482</v>
      </c>
      <c r="K62" s="33">
        <f t="shared" si="58"/>
        <v>107.60906904843696</v>
      </c>
      <c r="L62" s="33">
        <f t="shared" si="58"/>
        <v>215.21813809687393</v>
      </c>
      <c r="M62" s="33">
        <f t="shared" si="58"/>
        <v>430.43627619374786</v>
      </c>
      <c r="N62" s="33">
        <f t="shared" si="58"/>
        <v>860.87255238749572</v>
      </c>
      <c r="O62" s="33">
        <f t="shared" si="58"/>
        <v>1721.7451047749914</v>
      </c>
      <c r="P62" s="33">
        <f t="shared" si="58"/>
        <v>3443.4902095499829</v>
      </c>
      <c r="Q62" s="33">
        <f t="shared" si="58"/>
        <v>6886.9804190999657</v>
      </c>
      <c r="R62" s="33">
        <f t="shared" si="58"/>
        <v>13773.960838199931</v>
      </c>
      <c r="S62" s="33">
        <f t="shared" si="58"/>
        <v>27547.921676399863</v>
      </c>
      <c r="T62" s="33">
        <f t="shared" si="58"/>
        <v>55095.843352799726</v>
      </c>
      <c r="U62" s="33">
        <f t="shared" si="58"/>
        <v>110191.68670559945</v>
      </c>
      <c r="V62" s="33">
        <f t="shared" si="58"/>
        <v>220383.3734111989</v>
      </c>
      <c r="W62" s="33">
        <f t="shared" si="58"/>
        <v>440766.74682239781</v>
      </c>
      <c r="X62" s="33">
        <f t="shared" si="58"/>
        <v>881533.49364479561</v>
      </c>
      <c r="Y62" s="32">
        <f t="shared" si="58"/>
        <v>1763066.9872895912</v>
      </c>
      <c r="Z62" s="33">
        <f t="shared" si="58"/>
        <v>3526133.9745791825</v>
      </c>
      <c r="AA62" s="84">
        <f t="shared" si="58"/>
        <v>5516901.7519752663</v>
      </c>
      <c r="AB62" s="57"/>
    </row>
    <row r="63" spans="1:28" x14ac:dyDescent="0.25">
      <c r="A63" s="53"/>
      <c r="B63" s="18"/>
      <c r="C63" s="22"/>
      <c r="D63" s="20"/>
      <c r="E63" s="39">
        <v>2E-3</v>
      </c>
      <c r="F63" s="22"/>
      <c r="G63" s="41">
        <f t="shared" ref="G63:AA63" si="59">G$18*$D$62*$E$63</f>
        <v>1.3451133631054621E-2</v>
      </c>
      <c r="H63" s="42">
        <f t="shared" si="59"/>
        <v>2.6902267262109241E-2</v>
      </c>
      <c r="I63" s="42">
        <f t="shared" si="59"/>
        <v>5.3804534524218482E-2</v>
      </c>
      <c r="J63" s="42">
        <f t="shared" si="59"/>
        <v>0.10760906904843696</v>
      </c>
      <c r="K63" s="42">
        <f t="shared" si="59"/>
        <v>0.21521813809687393</v>
      </c>
      <c r="L63" s="42">
        <f t="shared" si="59"/>
        <v>0.43043627619374786</v>
      </c>
      <c r="M63" s="42">
        <f t="shared" si="59"/>
        <v>0.86087255238749572</v>
      </c>
      <c r="N63" s="42">
        <f t="shared" si="59"/>
        <v>1.7217451047749914</v>
      </c>
      <c r="O63" s="42">
        <f t="shared" si="59"/>
        <v>3.4434902095499829</v>
      </c>
      <c r="P63" s="42">
        <f t="shared" si="59"/>
        <v>6.8869804190999657</v>
      </c>
      <c r="Q63" s="42">
        <f t="shared" si="59"/>
        <v>13.773960838199931</v>
      </c>
      <c r="R63" s="42">
        <f t="shared" si="59"/>
        <v>27.547921676399863</v>
      </c>
      <c r="S63" s="42">
        <f t="shared" si="59"/>
        <v>55.095843352799726</v>
      </c>
      <c r="T63" s="42">
        <f t="shared" si="59"/>
        <v>110.19168670559945</v>
      </c>
      <c r="U63" s="42">
        <f t="shared" si="59"/>
        <v>220.3833734111989</v>
      </c>
      <c r="V63" s="42">
        <f t="shared" si="59"/>
        <v>440.76674682239781</v>
      </c>
      <c r="W63" s="42">
        <f t="shared" si="59"/>
        <v>881.53349364479561</v>
      </c>
      <c r="X63" s="42">
        <f t="shared" si="59"/>
        <v>1763.0669872895912</v>
      </c>
      <c r="Y63" s="41">
        <f t="shared" si="59"/>
        <v>3526.1339745791824</v>
      </c>
      <c r="Z63" s="42">
        <f t="shared" si="59"/>
        <v>7052.2679491583649</v>
      </c>
      <c r="AA63" s="83">
        <f t="shared" si="59"/>
        <v>11033.803503950532</v>
      </c>
      <c r="AB63" s="57"/>
    </row>
    <row r="64" spans="1:28" x14ac:dyDescent="0.25">
      <c r="A64" s="54" t="s">
        <v>20</v>
      </c>
      <c r="B64" s="18">
        <f>'ABS Population by Age Range'!D25</f>
        <v>0.12056476079328157</v>
      </c>
      <c r="C64" s="22">
        <f t="shared" si="47"/>
        <v>3090557.0781749799</v>
      </c>
      <c r="D64" s="35">
        <f>'AU Infection Rate by Age'!C11</f>
        <v>2.8684300927516317E-2</v>
      </c>
      <c r="E64" s="29"/>
      <c r="F64" s="22"/>
      <c r="G64" s="32">
        <f t="shared" ref="G64:AA64" si="60">G$18*$D$64</f>
        <v>0.89638440398488495</v>
      </c>
      <c r="H64" s="33">
        <f t="shared" si="60"/>
        <v>1.7927688079697699</v>
      </c>
      <c r="I64" s="33">
        <f t="shared" si="60"/>
        <v>3.5855376159395398</v>
      </c>
      <c r="J64" s="33">
        <f t="shared" si="60"/>
        <v>7.1710752318790796</v>
      </c>
      <c r="K64" s="33">
        <f t="shared" si="60"/>
        <v>14.342150463758159</v>
      </c>
      <c r="L64" s="33">
        <f t="shared" si="60"/>
        <v>28.684300927516318</v>
      </c>
      <c r="M64" s="33">
        <f t="shared" si="60"/>
        <v>57.368601855032637</v>
      </c>
      <c r="N64" s="33">
        <f t="shared" si="60"/>
        <v>114.73720371006527</v>
      </c>
      <c r="O64" s="33">
        <f t="shared" si="60"/>
        <v>229.47440742013055</v>
      </c>
      <c r="P64" s="33">
        <f t="shared" si="60"/>
        <v>458.94881484026109</v>
      </c>
      <c r="Q64" s="33">
        <f t="shared" si="60"/>
        <v>917.89762968052219</v>
      </c>
      <c r="R64" s="33">
        <f t="shared" si="60"/>
        <v>1835.7952593610444</v>
      </c>
      <c r="S64" s="33">
        <f t="shared" si="60"/>
        <v>3671.5905187220887</v>
      </c>
      <c r="T64" s="33">
        <f t="shared" si="60"/>
        <v>7343.1810374441775</v>
      </c>
      <c r="U64" s="33">
        <f t="shared" si="60"/>
        <v>14686.362074888355</v>
      </c>
      <c r="V64" s="33">
        <f t="shared" si="60"/>
        <v>29372.72414977671</v>
      </c>
      <c r="W64" s="33">
        <f t="shared" si="60"/>
        <v>58745.44829955342</v>
      </c>
      <c r="X64" s="33">
        <f t="shared" si="60"/>
        <v>117490.89659910684</v>
      </c>
      <c r="Y64" s="32">
        <f t="shared" si="60"/>
        <v>234981.79319821368</v>
      </c>
      <c r="Z64" s="33">
        <f t="shared" si="60"/>
        <v>469963.58639642736</v>
      </c>
      <c r="AA64" s="84">
        <f t="shared" si="60"/>
        <v>735293.36997595325</v>
      </c>
      <c r="AB64" s="57"/>
    </row>
    <row r="65" spans="1:28" x14ac:dyDescent="0.25">
      <c r="A65" s="54"/>
      <c r="B65" s="18"/>
      <c r="C65" s="22"/>
      <c r="D65" s="20"/>
      <c r="E65" s="39">
        <v>2E-3</v>
      </c>
      <c r="F65" s="22"/>
      <c r="G65" s="41">
        <f t="shared" ref="G65:AA65" si="61">G$18*$D$64*$E$65</f>
        <v>1.79276880796977E-3</v>
      </c>
      <c r="H65" s="42">
        <f t="shared" si="61"/>
        <v>3.58553761593954E-3</v>
      </c>
      <c r="I65" s="42">
        <f t="shared" si="61"/>
        <v>7.17107523187908E-3</v>
      </c>
      <c r="J65" s="42">
        <f t="shared" si="61"/>
        <v>1.434215046375816E-2</v>
      </c>
      <c r="K65" s="42">
        <f t="shared" si="61"/>
        <v>2.868430092751632E-2</v>
      </c>
      <c r="L65" s="42">
        <f t="shared" si="61"/>
        <v>5.736860185503264E-2</v>
      </c>
      <c r="M65" s="42">
        <f t="shared" si="61"/>
        <v>0.11473720371006528</v>
      </c>
      <c r="N65" s="42">
        <f t="shared" si="61"/>
        <v>0.22947440742013056</v>
      </c>
      <c r="O65" s="42">
        <f t="shared" si="61"/>
        <v>0.45894881484026112</v>
      </c>
      <c r="P65" s="42">
        <f t="shared" si="61"/>
        <v>0.91789762968052224</v>
      </c>
      <c r="Q65" s="42">
        <f t="shared" si="61"/>
        <v>1.8357952593610445</v>
      </c>
      <c r="R65" s="42">
        <f t="shared" si="61"/>
        <v>3.671590518722089</v>
      </c>
      <c r="S65" s="42">
        <f t="shared" si="61"/>
        <v>7.3431810374441779</v>
      </c>
      <c r="T65" s="42">
        <f t="shared" si="61"/>
        <v>14.686362074888356</v>
      </c>
      <c r="U65" s="42">
        <f t="shared" si="61"/>
        <v>29.372724149776712</v>
      </c>
      <c r="V65" s="42">
        <f t="shared" si="61"/>
        <v>58.745448299553424</v>
      </c>
      <c r="W65" s="42">
        <f t="shared" si="61"/>
        <v>117.49089659910685</v>
      </c>
      <c r="X65" s="42">
        <f t="shared" si="61"/>
        <v>234.98179319821369</v>
      </c>
      <c r="Y65" s="41">
        <f t="shared" si="61"/>
        <v>469.96358639642739</v>
      </c>
      <c r="Z65" s="42">
        <f t="shared" si="61"/>
        <v>939.92717279285478</v>
      </c>
      <c r="AA65" s="83">
        <f t="shared" si="61"/>
        <v>1470.5867399519066</v>
      </c>
      <c r="AB65" s="57"/>
    </row>
    <row r="66" spans="1:28" x14ac:dyDescent="0.25">
      <c r="A66" s="54" t="s">
        <v>21</v>
      </c>
      <c r="B66" s="18">
        <f>'ABS Population by Age Range'!D13</f>
        <v>0.1255958322404806</v>
      </c>
      <c r="C66" s="22">
        <f t="shared" si="47"/>
        <v>3219523.5636524796</v>
      </c>
      <c r="D66" s="35">
        <f>'AU Infection Rate by Age'!C12</f>
        <v>9.7904500171762283E-3</v>
      </c>
      <c r="E66" s="29"/>
      <c r="F66" s="22"/>
      <c r="G66" s="32">
        <f t="shared" ref="G66:AA66" si="62">G$18*$D$66</f>
        <v>0.30595156303675713</v>
      </c>
      <c r="H66" s="33">
        <f t="shared" si="62"/>
        <v>0.61190312607351427</v>
      </c>
      <c r="I66" s="33">
        <f t="shared" si="62"/>
        <v>1.2238062521470285</v>
      </c>
      <c r="J66" s="33">
        <f t="shared" si="62"/>
        <v>2.4476125042940571</v>
      </c>
      <c r="K66" s="33">
        <f t="shared" si="62"/>
        <v>4.8952250085881142</v>
      </c>
      <c r="L66" s="33">
        <f t="shared" si="62"/>
        <v>9.7904500171762283</v>
      </c>
      <c r="M66" s="33">
        <f t="shared" si="62"/>
        <v>19.580900034352457</v>
      </c>
      <c r="N66" s="33">
        <f t="shared" si="62"/>
        <v>39.161800068704913</v>
      </c>
      <c r="O66" s="33">
        <f t="shared" si="62"/>
        <v>78.323600137409827</v>
      </c>
      <c r="P66" s="33">
        <f t="shared" si="62"/>
        <v>156.64720027481965</v>
      </c>
      <c r="Q66" s="33">
        <f t="shared" si="62"/>
        <v>313.29440054963931</v>
      </c>
      <c r="R66" s="33">
        <f t="shared" si="62"/>
        <v>626.58880109927861</v>
      </c>
      <c r="S66" s="33">
        <f t="shared" si="62"/>
        <v>1253.1776021985572</v>
      </c>
      <c r="T66" s="33">
        <f t="shared" si="62"/>
        <v>2506.3552043971144</v>
      </c>
      <c r="U66" s="33">
        <f t="shared" si="62"/>
        <v>5012.7104087942289</v>
      </c>
      <c r="V66" s="33">
        <f t="shared" si="62"/>
        <v>10025.420817588458</v>
      </c>
      <c r="W66" s="33">
        <f t="shared" si="62"/>
        <v>20050.841635176916</v>
      </c>
      <c r="X66" s="33">
        <f t="shared" si="62"/>
        <v>40101.683270353831</v>
      </c>
      <c r="Y66" s="32">
        <f t="shared" si="62"/>
        <v>80203.366540707662</v>
      </c>
      <c r="Z66" s="33">
        <f t="shared" si="62"/>
        <v>160406.73308141532</v>
      </c>
      <c r="AA66" s="84">
        <f t="shared" si="62"/>
        <v>250968.39574029544</v>
      </c>
      <c r="AB66" s="57"/>
    </row>
    <row r="67" spans="1:28" x14ac:dyDescent="0.25">
      <c r="A67" s="54"/>
      <c r="B67" s="19"/>
      <c r="C67" s="23"/>
      <c r="D67" s="38"/>
      <c r="E67" s="40">
        <v>0</v>
      </c>
      <c r="F67" s="22"/>
      <c r="G67" s="43">
        <f t="shared" ref="G67:AA67" si="63">G$18*$D$66*$E$67</f>
        <v>0</v>
      </c>
      <c r="H67" s="44">
        <f t="shared" si="63"/>
        <v>0</v>
      </c>
      <c r="I67" s="44">
        <f t="shared" si="63"/>
        <v>0</v>
      </c>
      <c r="J67" s="44">
        <f t="shared" si="63"/>
        <v>0</v>
      </c>
      <c r="K67" s="44">
        <f t="shared" si="63"/>
        <v>0</v>
      </c>
      <c r="L67" s="44">
        <f t="shared" si="63"/>
        <v>0</v>
      </c>
      <c r="M67" s="44">
        <f t="shared" si="63"/>
        <v>0</v>
      </c>
      <c r="N67" s="44">
        <f t="shared" si="63"/>
        <v>0</v>
      </c>
      <c r="O67" s="44">
        <f t="shared" si="63"/>
        <v>0</v>
      </c>
      <c r="P67" s="44">
        <f t="shared" si="63"/>
        <v>0</v>
      </c>
      <c r="Q67" s="44">
        <f t="shared" si="63"/>
        <v>0</v>
      </c>
      <c r="R67" s="44">
        <f t="shared" si="63"/>
        <v>0</v>
      </c>
      <c r="S67" s="44">
        <f t="shared" si="63"/>
        <v>0</v>
      </c>
      <c r="T67" s="44">
        <f t="shared" si="63"/>
        <v>0</v>
      </c>
      <c r="U67" s="44">
        <f t="shared" si="63"/>
        <v>0</v>
      </c>
      <c r="V67" s="44">
        <f t="shared" si="63"/>
        <v>0</v>
      </c>
      <c r="W67" s="44">
        <f t="shared" si="63"/>
        <v>0</v>
      </c>
      <c r="X67" s="44">
        <f t="shared" si="63"/>
        <v>0</v>
      </c>
      <c r="Y67" s="43">
        <f t="shared" si="63"/>
        <v>0</v>
      </c>
      <c r="Z67" s="44">
        <f t="shared" si="63"/>
        <v>0</v>
      </c>
      <c r="AA67" s="85">
        <f t="shared" si="63"/>
        <v>0</v>
      </c>
      <c r="AB67" s="57"/>
    </row>
    <row r="68" spans="1:28" x14ac:dyDescent="0.25">
      <c r="A68" s="53" t="s">
        <v>131</v>
      </c>
      <c r="B68" s="26"/>
      <c r="C68" s="22"/>
      <c r="D68" s="22"/>
      <c r="E68" s="27"/>
      <c r="F68" s="22"/>
      <c r="G68" s="30">
        <f t="shared" ref="G68:W68" si="64">SUM(G50,G52,G54,G56,G58,G60,G62,G64,G66)</f>
        <v>31.250000000000004</v>
      </c>
      <c r="H68" s="31">
        <f t="shared" si="64"/>
        <v>62.500000000000007</v>
      </c>
      <c r="I68" s="31">
        <f t="shared" si="64"/>
        <v>125.00000000000001</v>
      </c>
      <c r="J68" s="31">
        <f t="shared" si="64"/>
        <v>250.00000000000003</v>
      </c>
      <c r="K68" s="31">
        <f t="shared" si="64"/>
        <v>500.00000000000006</v>
      </c>
      <c r="L68" s="31">
        <f>SUM(L50,L52,L54,L56,L58,L60,L62,L64,L66)</f>
        <v>1000.0000000000001</v>
      </c>
      <c r="M68" s="31">
        <f t="shared" si="64"/>
        <v>2000.0000000000002</v>
      </c>
      <c r="N68" s="31">
        <f t="shared" si="64"/>
        <v>4000.0000000000005</v>
      </c>
      <c r="O68" s="31">
        <f t="shared" si="64"/>
        <v>8000.0000000000009</v>
      </c>
      <c r="P68" s="31">
        <f t="shared" si="64"/>
        <v>16000.000000000002</v>
      </c>
      <c r="Q68" s="31">
        <f t="shared" si="64"/>
        <v>32000.000000000004</v>
      </c>
      <c r="R68" s="31">
        <f t="shared" si="64"/>
        <v>64000.000000000007</v>
      </c>
      <c r="S68" s="31">
        <f t="shared" si="64"/>
        <v>128000.00000000001</v>
      </c>
      <c r="T68" s="31">
        <f t="shared" si="64"/>
        <v>256000.00000000003</v>
      </c>
      <c r="U68" s="31">
        <f t="shared" si="64"/>
        <v>512000.00000000006</v>
      </c>
      <c r="V68" s="31">
        <f t="shared" si="64"/>
        <v>1024000.0000000001</v>
      </c>
      <c r="W68" s="31">
        <f t="shared" si="64"/>
        <v>2048000.0000000002</v>
      </c>
      <c r="X68" s="31">
        <f t="shared" ref="X68:AA69" si="65">SUM(X50,X52,X54,X56,X58,X60,X62,X64,X66)</f>
        <v>4096000.0000000005</v>
      </c>
      <c r="Y68" s="30">
        <f t="shared" si="65"/>
        <v>8192000.0000000009</v>
      </c>
      <c r="Z68" s="31">
        <f t="shared" si="65"/>
        <v>16384000.000000002</v>
      </c>
      <c r="AA68" s="72">
        <f t="shared" si="65"/>
        <v>25634000.000000004</v>
      </c>
      <c r="AB68" s="57"/>
    </row>
    <row r="69" spans="1:28" x14ac:dyDescent="0.25">
      <c r="A69" s="55" t="s">
        <v>130</v>
      </c>
      <c r="B69" s="56"/>
      <c r="C69" s="23"/>
      <c r="D69" s="23"/>
      <c r="E69" s="50"/>
      <c r="F69" s="23"/>
      <c r="G69" s="43">
        <f>SUM(G51,G53,G55,G57,G59,G61,G63,G65,G67)</f>
        <v>0.69464960494675354</v>
      </c>
      <c r="H69" s="44">
        <f>SUM(H51,H53,H55,H57,H59,H61,H63,H65,H67)</f>
        <v>1.3892992098935071</v>
      </c>
      <c r="I69" s="44">
        <f t="shared" ref="I69:W69" si="66">SUM(I51,I53,I55,I57,I59,I61,I63,I65,I67)</f>
        <v>2.7785984197870142</v>
      </c>
      <c r="J69" s="44">
        <f t="shared" si="66"/>
        <v>5.5571968395740283</v>
      </c>
      <c r="K69" s="44">
        <f t="shared" si="66"/>
        <v>11.114393679148057</v>
      </c>
      <c r="L69" s="44">
        <f t="shared" si="66"/>
        <v>22.228787358296113</v>
      </c>
      <c r="M69" s="44">
        <f t="shared" si="66"/>
        <v>44.457574716592227</v>
      </c>
      <c r="N69" s="44">
        <f t="shared" si="66"/>
        <v>88.915149433184453</v>
      </c>
      <c r="O69" s="44">
        <f t="shared" si="66"/>
        <v>177.83029886636891</v>
      </c>
      <c r="P69" s="44">
        <f t="shared" si="66"/>
        <v>355.66059773273781</v>
      </c>
      <c r="Q69" s="44">
        <f t="shared" si="66"/>
        <v>711.32119546547563</v>
      </c>
      <c r="R69" s="44">
        <f t="shared" si="66"/>
        <v>1422.6423909309513</v>
      </c>
      <c r="S69" s="44">
        <f t="shared" si="66"/>
        <v>2845.2847818619025</v>
      </c>
      <c r="T69" s="44">
        <f t="shared" si="66"/>
        <v>5690.569563723805</v>
      </c>
      <c r="U69" s="44">
        <f t="shared" si="66"/>
        <v>11381.13912744761</v>
      </c>
      <c r="V69" s="44">
        <f t="shared" si="66"/>
        <v>22762.27825489522</v>
      </c>
      <c r="W69" s="44">
        <f t="shared" si="66"/>
        <v>45524.55650979044</v>
      </c>
      <c r="X69" s="44">
        <f t="shared" si="65"/>
        <v>91049.11301958088</v>
      </c>
      <c r="Y69" s="43">
        <f t="shared" si="65"/>
        <v>182098.22603916176</v>
      </c>
      <c r="Z69" s="44">
        <f t="shared" si="65"/>
        <v>364196.45207832352</v>
      </c>
      <c r="AA69" s="85">
        <f t="shared" si="65"/>
        <v>569812.73514256254</v>
      </c>
      <c r="AB69" s="57"/>
    </row>
    <row r="70" spans="1:28" x14ac:dyDescent="0.25">
      <c r="A70" s="54"/>
      <c r="B70" s="26"/>
      <c r="C70" s="22"/>
      <c r="D70" s="22"/>
      <c r="E70" s="27"/>
      <c r="F70" s="22"/>
      <c r="G70" s="57"/>
      <c r="H70" s="57"/>
      <c r="I70" s="57"/>
      <c r="J70" s="57"/>
      <c r="K70" s="57"/>
      <c r="L70" s="57"/>
      <c r="M70" s="57"/>
      <c r="N70" s="57"/>
      <c r="O70" s="57"/>
      <c r="P70" s="57"/>
      <c r="Q70" s="57"/>
      <c r="R70" s="57"/>
      <c r="S70" s="57"/>
      <c r="T70" s="57"/>
      <c r="U70" s="57"/>
      <c r="V70" s="57"/>
      <c r="W70" s="57"/>
      <c r="X70" s="57"/>
    </row>
    <row r="71" spans="1:28" x14ac:dyDescent="0.25">
      <c r="A71" s="66" t="s">
        <v>142</v>
      </c>
      <c r="B71" s="26"/>
      <c r="C71" s="22"/>
      <c r="D71" s="22"/>
      <c r="E71" s="27"/>
      <c r="F71" s="22"/>
      <c r="G71" s="57"/>
      <c r="H71" s="57"/>
      <c r="I71" s="57"/>
      <c r="J71" s="57"/>
      <c r="K71" s="57"/>
      <c r="L71" s="57"/>
      <c r="M71" s="57"/>
      <c r="N71" s="57"/>
      <c r="O71" s="57"/>
      <c r="P71" s="57"/>
      <c r="Q71" s="57"/>
      <c r="R71" s="57"/>
      <c r="S71" s="57"/>
      <c r="T71" s="57"/>
      <c r="U71" s="57"/>
      <c r="V71" s="57"/>
      <c r="W71" s="57"/>
      <c r="X71" s="57"/>
    </row>
    <row r="72" spans="1:28" x14ac:dyDescent="0.25">
      <c r="A72" s="16"/>
      <c r="B72" s="21" t="s">
        <v>6</v>
      </c>
      <c r="C72" s="21" t="s">
        <v>4</v>
      </c>
      <c r="D72" s="21"/>
      <c r="E72" s="71" t="s">
        <v>3</v>
      </c>
      <c r="F72" s="21"/>
      <c r="G72" s="21"/>
      <c r="H72" s="21"/>
      <c r="I72" s="21"/>
      <c r="J72" s="21"/>
      <c r="K72" s="21"/>
      <c r="L72" s="21"/>
      <c r="M72" s="21"/>
      <c r="N72" s="21"/>
      <c r="O72" s="21"/>
      <c r="P72" s="21"/>
      <c r="Q72" s="21"/>
      <c r="R72" s="21"/>
      <c r="S72" s="21"/>
      <c r="T72" s="21"/>
      <c r="U72" s="21"/>
      <c r="V72" s="21"/>
      <c r="W72" s="21"/>
      <c r="X72" s="21"/>
      <c r="Y72" s="21"/>
      <c r="Z72" s="21"/>
      <c r="AA72" s="17"/>
      <c r="AB72" s="59"/>
    </row>
    <row r="73" spans="1:28" x14ac:dyDescent="0.25">
      <c r="A73" s="53" t="s">
        <v>2</v>
      </c>
      <c r="B73" s="36">
        <v>0.05</v>
      </c>
      <c r="C73" s="22">
        <f>$B$5 * B73</f>
        <v>1281700</v>
      </c>
      <c r="D73" s="28"/>
      <c r="E73" s="28"/>
      <c r="F73" s="28"/>
      <c r="G73" s="30">
        <f t="shared" ref="G73:AA73" si="67">G$18*$B$73</f>
        <v>1.5625</v>
      </c>
      <c r="H73" s="31">
        <f t="shared" si="67"/>
        <v>3.125</v>
      </c>
      <c r="I73" s="31">
        <f t="shared" si="67"/>
        <v>6.25</v>
      </c>
      <c r="J73" s="31">
        <f t="shared" si="67"/>
        <v>12.5</v>
      </c>
      <c r="K73" s="31">
        <f t="shared" si="67"/>
        <v>25</v>
      </c>
      <c r="L73" s="31">
        <f t="shared" si="67"/>
        <v>50</v>
      </c>
      <c r="M73" s="31">
        <f t="shared" si="67"/>
        <v>100</v>
      </c>
      <c r="N73" s="31">
        <f t="shared" si="67"/>
        <v>200</v>
      </c>
      <c r="O73" s="31">
        <f t="shared" si="67"/>
        <v>400</v>
      </c>
      <c r="P73" s="31">
        <f t="shared" si="67"/>
        <v>800</v>
      </c>
      <c r="Q73" s="31">
        <f t="shared" si="67"/>
        <v>1600</v>
      </c>
      <c r="R73" s="31">
        <f t="shared" si="67"/>
        <v>3200</v>
      </c>
      <c r="S73" s="31">
        <f t="shared" si="67"/>
        <v>6400</v>
      </c>
      <c r="T73" s="31">
        <f t="shared" si="67"/>
        <v>12800</v>
      </c>
      <c r="U73" s="31">
        <f t="shared" si="67"/>
        <v>25600</v>
      </c>
      <c r="V73" s="31">
        <f t="shared" si="67"/>
        <v>51200</v>
      </c>
      <c r="W73" s="31">
        <f t="shared" si="67"/>
        <v>102400</v>
      </c>
      <c r="X73" s="31">
        <f t="shared" si="67"/>
        <v>204800</v>
      </c>
      <c r="Y73" s="30">
        <f t="shared" si="67"/>
        <v>409600</v>
      </c>
      <c r="Z73" s="31">
        <f t="shared" si="67"/>
        <v>819200</v>
      </c>
      <c r="AA73" s="72">
        <f t="shared" si="67"/>
        <v>1281700</v>
      </c>
      <c r="AB73" s="57"/>
    </row>
    <row r="74" spans="1:28" x14ac:dyDescent="0.25">
      <c r="A74" s="53"/>
      <c r="B74" s="28"/>
      <c r="C74" s="28"/>
      <c r="D74" s="37"/>
      <c r="E74" s="58">
        <v>0.105</v>
      </c>
      <c r="F74" s="28"/>
      <c r="G74" s="41">
        <f>G73*$E$74</f>
        <v>0.1640625</v>
      </c>
      <c r="H74" s="42">
        <f t="shared" ref="H74:W74" si="68">H73*$E$74</f>
        <v>0.328125</v>
      </c>
      <c r="I74" s="42">
        <f t="shared" si="68"/>
        <v>0.65625</v>
      </c>
      <c r="J74" s="42">
        <f t="shared" si="68"/>
        <v>1.3125</v>
      </c>
      <c r="K74" s="42">
        <f t="shared" si="68"/>
        <v>2.625</v>
      </c>
      <c r="L74" s="42">
        <f t="shared" si="68"/>
        <v>5.25</v>
      </c>
      <c r="M74" s="42">
        <f t="shared" si="68"/>
        <v>10.5</v>
      </c>
      <c r="N74" s="42">
        <f t="shared" si="68"/>
        <v>21</v>
      </c>
      <c r="O74" s="42">
        <f t="shared" si="68"/>
        <v>42</v>
      </c>
      <c r="P74" s="42">
        <f t="shared" si="68"/>
        <v>84</v>
      </c>
      <c r="Q74" s="42">
        <f t="shared" si="68"/>
        <v>168</v>
      </c>
      <c r="R74" s="42">
        <f t="shared" si="68"/>
        <v>336</v>
      </c>
      <c r="S74" s="42">
        <f t="shared" si="68"/>
        <v>672</v>
      </c>
      <c r="T74" s="42">
        <f t="shared" si="68"/>
        <v>1344</v>
      </c>
      <c r="U74" s="42">
        <f t="shared" si="68"/>
        <v>2688</v>
      </c>
      <c r="V74" s="42">
        <f t="shared" si="68"/>
        <v>5376</v>
      </c>
      <c r="W74" s="42">
        <f t="shared" si="68"/>
        <v>10752</v>
      </c>
      <c r="X74" s="42">
        <f>X73*$E$74</f>
        <v>21504</v>
      </c>
      <c r="Y74" s="41">
        <f>Y73*$E$74</f>
        <v>43008</v>
      </c>
      <c r="Z74" s="42">
        <f>Z73*$E$74</f>
        <v>86016</v>
      </c>
      <c r="AA74" s="83">
        <f>AA73*$E$74</f>
        <v>134578.5</v>
      </c>
      <c r="AB74" s="57"/>
    </row>
    <row r="75" spans="1:28" x14ac:dyDescent="0.25">
      <c r="A75" s="53" t="s">
        <v>5</v>
      </c>
      <c r="B75" s="36">
        <v>4.5999999999999999E-2</v>
      </c>
      <c r="C75" s="22">
        <f>$B$5 * B75</f>
        <v>1179164</v>
      </c>
      <c r="D75" s="59"/>
      <c r="E75" s="28"/>
      <c r="F75" s="28"/>
      <c r="G75" s="32">
        <f t="shared" ref="G75:AA75" si="69">G$18*$B$75</f>
        <v>1.4375</v>
      </c>
      <c r="H75" s="33">
        <f t="shared" si="69"/>
        <v>2.875</v>
      </c>
      <c r="I75" s="33">
        <f t="shared" si="69"/>
        <v>5.75</v>
      </c>
      <c r="J75" s="33">
        <f t="shared" si="69"/>
        <v>11.5</v>
      </c>
      <c r="K75" s="33">
        <f t="shared" si="69"/>
        <v>23</v>
      </c>
      <c r="L75" s="33">
        <f t="shared" si="69"/>
        <v>46</v>
      </c>
      <c r="M75" s="33">
        <f t="shared" si="69"/>
        <v>92</v>
      </c>
      <c r="N75" s="33">
        <f t="shared" si="69"/>
        <v>184</v>
      </c>
      <c r="O75" s="33">
        <f t="shared" si="69"/>
        <v>368</v>
      </c>
      <c r="P75" s="33">
        <f t="shared" si="69"/>
        <v>736</v>
      </c>
      <c r="Q75" s="33">
        <f t="shared" si="69"/>
        <v>1472</v>
      </c>
      <c r="R75" s="33">
        <f t="shared" si="69"/>
        <v>2944</v>
      </c>
      <c r="S75" s="33">
        <f t="shared" si="69"/>
        <v>5888</v>
      </c>
      <c r="T75" s="33">
        <f t="shared" si="69"/>
        <v>11776</v>
      </c>
      <c r="U75" s="33">
        <f t="shared" si="69"/>
        <v>23552</v>
      </c>
      <c r="V75" s="33">
        <f t="shared" si="69"/>
        <v>47104</v>
      </c>
      <c r="W75" s="33">
        <f t="shared" si="69"/>
        <v>94208</v>
      </c>
      <c r="X75" s="33">
        <f t="shared" si="69"/>
        <v>188416</v>
      </c>
      <c r="Y75" s="32">
        <f t="shared" si="69"/>
        <v>376832</v>
      </c>
      <c r="Z75" s="33">
        <f t="shared" si="69"/>
        <v>753664</v>
      </c>
      <c r="AA75" s="84">
        <f t="shared" si="69"/>
        <v>1179164</v>
      </c>
      <c r="AB75" s="57"/>
    </row>
    <row r="76" spans="1:28" x14ac:dyDescent="0.25">
      <c r="A76" s="53"/>
      <c r="B76" s="28"/>
      <c r="C76" s="28"/>
      <c r="D76" s="37"/>
      <c r="E76" s="58">
        <v>7.2999999999999995E-2</v>
      </c>
      <c r="F76" s="28"/>
      <c r="G76" s="41">
        <f t="shared" ref="G76:W76" si="70">G75*$E$76</f>
        <v>0.10493749999999999</v>
      </c>
      <c r="H76" s="42">
        <f t="shared" si="70"/>
        <v>0.20987499999999998</v>
      </c>
      <c r="I76" s="42">
        <f t="shared" si="70"/>
        <v>0.41974999999999996</v>
      </c>
      <c r="J76" s="42">
        <f t="shared" si="70"/>
        <v>0.83949999999999991</v>
      </c>
      <c r="K76" s="42">
        <f t="shared" si="70"/>
        <v>1.6789999999999998</v>
      </c>
      <c r="L76" s="42">
        <f t="shared" si="70"/>
        <v>3.3579999999999997</v>
      </c>
      <c r="M76" s="42">
        <f t="shared" si="70"/>
        <v>6.7159999999999993</v>
      </c>
      <c r="N76" s="42">
        <f t="shared" si="70"/>
        <v>13.431999999999999</v>
      </c>
      <c r="O76" s="42">
        <f t="shared" si="70"/>
        <v>26.863999999999997</v>
      </c>
      <c r="P76" s="42">
        <f t="shared" si="70"/>
        <v>53.727999999999994</v>
      </c>
      <c r="Q76" s="42">
        <f t="shared" si="70"/>
        <v>107.45599999999999</v>
      </c>
      <c r="R76" s="42">
        <f t="shared" si="70"/>
        <v>214.91199999999998</v>
      </c>
      <c r="S76" s="42">
        <f t="shared" si="70"/>
        <v>429.82399999999996</v>
      </c>
      <c r="T76" s="42">
        <f t="shared" si="70"/>
        <v>859.64799999999991</v>
      </c>
      <c r="U76" s="42">
        <f t="shared" si="70"/>
        <v>1719.2959999999998</v>
      </c>
      <c r="V76" s="42">
        <f t="shared" si="70"/>
        <v>3438.5919999999996</v>
      </c>
      <c r="W76" s="42">
        <f t="shared" si="70"/>
        <v>6877.1839999999993</v>
      </c>
      <c r="X76" s="42">
        <f>X75*$E$76</f>
        <v>13754.367999999999</v>
      </c>
      <c r="Y76" s="41">
        <f>Y75*$E$76</f>
        <v>27508.735999999997</v>
      </c>
      <c r="Z76" s="42">
        <f>Z75*$E$76</f>
        <v>55017.471999999994</v>
      </c>
      <c r="AA76" s="83">
        <f>AA75*$E$76</f>
        <v>86078.971999999994</v>
      </c>
      <c r="AB76" s="57"/>
    </row>
    <row r="77" spans="1:28" x14ac:dyDescent="0.25">
      <c r="A77" s="53" t="s">
        <v>7</v>
      </c>
      <c r="B77" s="36">
        <v>0.31</v>
      </c>
      <c r="C77" s="22">
        <f>$B$5 * B77</f>
        <v>7946540</v>
      </c>
      <c r="D77" s="59"/>
      <c r="E77" s="28"/>
      <c r="F77" s="28"/>
      <c r="G77" s="32">
        <f t="shared" ref="G77:AA77" si="71">G$18*$B$77</f>
        <v>9.6875</v>
      </c>
      <c r="H77" s="33">
        <f t="shared" si="71"/>
        <v>19.375</v>
      </c>
      <c r="I77" s="33">
        <f t="shared" si="71"/>
        <v>38.75</v>
      </c>
      <c r="J77" s="33">
        <f t="shared" si="71"/>
        <v>77.5</v>
      </c>
      <c r="K77" s="33">
        <f t="shared" si="71"/>
        <v>155</v>
      </c>
      <c r="L77" s="33">
        <f t="shared" si="71"/>
        <v>310</v>
      </c>
      <c r="M77" s="33">
        <f t="shared" si="71"/>
        <v>620</v>
      </c>
      <c r="N77" s="33">
        <f t="shared" si="71"/>
        <v>1240</v>
      </c>
      <c r="O77" s="33">
        <f t="shared" si="71"/>
        <v>2480</v>
      </c>
      <c r="P77" s="33">
        <f t="shared" si="71"/>
        <v>4960</v>
      </c>
      <c r="Q77" s="33">
        <f t="shared" si="71"/>
        <v>9920</v>
      </c>
      <c r="R77" s="33">
        <f t="shared" si="71"/>
        <v>19840</v>
      </c>
      <c r="S77" s="33">
        <f t="shared" si="71"/>
        <v>39680</v>
      </c>
      <c r="T77" s="33">
        <f t="shared" si="71"/>
        <v>79360</v>
      </c>
      <c r="U77" s="33">
        <f t="shared" si="71"/>
        <v>158720</v>
      </c>
      <c r="V77" s="33">
        <f t="shared" si="71"/>
        <v>317440</v>
      </c>
      <c r="W77" s="33">
        <f t="shared" si="71"/>
        <v>634880</v>
      </c>
      <c r="X77" s="33">
        <f t="shared" si="71"/>
        <v>1269760</v>
      </c>
      <c r="Y77" s="32">
        <f t="shared" si="71"/>
        <v>2539520</v>
      </c>
      <c r="Z77" s="33">
        <f t="shared" si="71"/>
        <v>5079040</v>
      </c>
      <c r="AA77" s="84">
        <f t="shared" si="71"/>
        <v>7946540</v>
      </c>
      <c r="AB77" s="57"/>
    </row>
    <row r="78" spans="1:28" x14ac:dyDescent="0.25">
      <c r="A78" s="53"/>
      <c r="B78" s="28"/>
      <c r="C78" s="28"/>
      <c r="D78" s="37"/>
      <c r="E78" s="58">
        <v>6.3E-2</v>
      </c>
      <c r="F78" s="28"/>
      <c r="G78" s="41">
        <f t="shared" ref="G78:W78" si="72">G77*$E$78</f>
        <v>0.61031250000000004</v>
      </c>
      <c r="H78" s="42">
        <f t="shared" si="72"/>
        <v>1.2206250000000001</v>
      </c>
      <c r="I78" s="42">
        <f t="shared" si="72"/>
        <v>2.4412500000000001</v>
      </c>
      <c r="J78" s="42">
        <f t="shared" si="72"/>
        <v>4.8825000000000003</v>
      </c>
      <c r="K78" s="42">
        <f t="shared" si="72"/>
        <v>9.7650000000000006</v>
      </c>
      <c r="L78" s="42">
        <f t="shared" si="72"/>
        <v>19.53</v>
      </c>
      <c r="M78" s="42">
        <f t="shared" si="72"/>
        <v>39.06</v>
      </c>
      <c r="N78" s="42">
        <f t="shared" si="72"/>
        <v>78.12</v>
      </c>
      <c r="O78" s="42">
        <f t="shared" si="72"/>
        <v>156.24</v>
      </c>
      <c r="P78" s="42">
        <f t="shared" si="72"/>
        <v>312.48</v>
      </c>
      <c r="Q78" s="42">
        <f t="shared" si="72"/>
        <v>624.96</v>
      </c>
      <c r="R78" s="42">
        <f t="shared" si="72"/>
        <v>1249.92</v>
      </c>
      <c r="S78" s="42">
        <f t="shared" si="72"/>
        <v>2499.84</v>
      </c>
      <c r="T78" s="42">
        <f t="shared" si="72"/>
        <v>4999.68</v>
      </c>
      <c r="U78" s="42">
        <f t="shared" si="72"/>
        <v>9999.36</v>
      </c>
      <c r="V78" s="42">
        <f t="shared" si="72"/>
        <v>19998.72</v>
      </c>
      <c r="W78" s="42">
        <f t="shared" si="72"/>
        <v>39997.440000000002</v>
      </c>
      <c r="X78" s="42">
        <f>X77*$E$78</f>
        <v>79994.880000000005</v>
      </c>
      <c r="Y78" s="41">
        <f>Y77*$E$78</f>
        <v>159989.76000000001</v>
      </c>
      <c r="Z78" s="42">
        <f>Z77*$E$78</f>
        <v>319979.52000000002</v>
      </c>
      <c r="AA78" s="83">
        <f>AA77*$E$78</f>
        <v>500632.02</v>
      </c>
      <c r="AB78" s="57"/>
    </row>
    <row r="79" spans="1:28" x14ac:dyDescent="0.25">
      <c r="A79" s="53" t="s">
        <v>8</v>
      </c>
      <c r="B79" s="36">
        <v>0.33700000000000002</v>
      </c>
      <c r="C79" s="22">
        <f>$B$5 * B79</f>
        <v>8638658</v>
      </c>
      <c r="D79" s="59"/>
      <c r="E79" s="28"/>
      <c r="F79" s="28"/>
      <c r="G79" s="32">
        <f t="shared" ref="G79:AA79" si="73">G$18*$B$79</f>
        <v>10.53125</v>
      </c>
      <c r="H79" s="33">
        <f t="shared" si="73"/>
        <v>21.0625</v>
      </c>
      <c r="I79" s="33">
        <f t="shared" si="73"/>
        <v>42.125</v>
      </c>
      <c r="J79" s="33">
        <f t="shared" si="73"/>
        <v>84.25</v>
      </c>
      <c r="K79" s="33">
        <f t="shared" si="73"/>
        <v>168.5</v>
      </c>
      <c r="L79" s="33">
        <f t="shared" si="73"/>
        <v>337</v>
      </c>
      <c r="M79" s="33">
        <f t="shared" si="73"/>
        <v>674</v>
      </c>
      <c r="N79" s="33">
        <f t="shared" si="73"/>
        <v>1348</v>
      </c>
      <c r="O79" s="33">
        <f t="shared" si="73"/>
        <v>2696</v>
      </c>
      <c r="P79" s="33">
        <f t="shared" si="73"/>
        <v>5392</v>
      </c>
      <c r="Q79" s="33">
        <f t="shared" si="73"/>
        <v>10784</v>
      </c>
      <c r="R79" s="33">
        <f t="shared" si="73"/>
        <v>21568</v>
      </c>
      <c r="S79" s="33">
        <f t="shared" si="73"/>
        <v>43136</v>
      </c>
      <c r="T79" s="33">
        <f t="shared" si="73"/>
        <v>86272</v>
      </c>
      <c r="U79" s="33">
        <f t="shared" si="73"/>
        <v>172544</v>
      </c>
      <c r="V79" s="33">
        <f t="shared" si="73"/>
        <v>345088</v>
      </c>
      <c r="W79" s="33">
        <f t="shared" si="73"/>
        <v>690176</v>
      </c>
      <c r="X79" s="33">
        <f t="shared" si="73"/>
        <v>1380352</v>
      </c>
      <c r="Y79" s="32">
        <f t="shared" si="73"/>
        <v>2760704</v>
      </c>
      <c r="Z79" s="33">
        <f t="shared" si="73"/>
        <v>5521408</v>
      </c>
      <c r="AA79" s="84">
        <f t="shared" si="73"/>
        <v>8638658</v>
      </c>
      <c r="AB79" s="57"/>
    </row>
    <row r="80" spans="1:28" x14ac:dyDescent="0.25">
      <c r="A80" s="53"/>
      <c r="B80" s="28"/>
      <c r="C80" s="28"/>
      <c r="D80" s="37"/>
      <c r="E80" s="58">
        <v>0.06</v>
      </c>
      <c r="F80" s="28"/>
      <c r="G80" s="41">
        <f t="shared" ref="G80:W80" si="74">G79*$E$80</f>
        <v>0.63187499999999996</v>
      </c>
      <c r="H80" s="42">
        <f t="shared" si="74"/>
        <v>1.2637499999999999</v>
      </c>
      <c r="I80" s="42">
        <f t="shared" si="74"/>
        <v>2.5274999999999999</v>
      </c>
      <c r="J80" s="42">
        <f t="shared" si="74"/>
        <v>5.0549999999999997</v>
      </c>
      <c r="K80" s="42">
        <f t="shared" si="74"/>
        <v>10.11</v>
      </c>
      <c r="L80" s="42">
        <f t="shared" si="74"/>
        <v>20.22</v>
      </c>
      <c r="M80" s="42">
        <f t="shared" si="74"/>
        <v>40.44</v>
      </c>
      <c r="N80" s="42">
        <f t="shared" si="74"/>
        <v>80.88</v>
      </c>
      <c r="O80" s="42">
        <f t="shared" si="74"/>
        <v>161.76</v>
      </c>
      <c r="P80" s="42">
        <f t="shared" si="74"/>
        <v>323.52</v>
      </c>
      <c r="Q80" s="42">
        <f t="shared" si="74"/>
        <v>647.04</v>
      </c>
      <c r="R80" s="42">
        <f t="shared" si="74"/>
        <v>1294.08</v>
      </c>
      <c r="S80" s="42">
        <f t="shared" si="74"/>
        <v>2588.16</v>
      </c>
      <c r="T80" s="42">
        <f t="shared" si="74"/>
        <v>5176.32</v>
      </c>
      <c r="U80" s="42">
        <f t="shared" si="74"/>
        <v>10352.64</v>
      </c>
      <c r="V80" s="42">
        <f t="shared" si="74"/>
        <v>20705.28</v>
      </c>
      <c r="W80" s="42">
        <f t="shared" si="74"/>
        <v>41410.559999999998</v>
      </c>
      <c r="X80" s="42">
        <f>X79*$E$80</f>
        <v>82821.119999999995</v>
      </c>
      <c r="Y80" s="41">
        <f>Y79*$E$80</f>
        <v>165642.23999999999</v>
      </c>
      <c r="Z80" s="42">
        <f>Z79*$E$80</f>
        <v>331284.47999999998</v>
      </c>
      <c r="AA80" s="83">
        <f>AA79*$E$80</f>
        <v>518319.48</v>
      </c>
      <c r="AB80" s="57"/>
    </row>
    <row r="81" spans="1:28" x14ac:dyDescent="0.25">
      <c r="A81" s="53" t="s">
        <v>9</v>
      </c>
      <c r="B81" s="36">
        <v>1.4999999999999999E-2</v>
      </c>
      <c r="C81" s="22">
        <f>$B$5 * B81</f>
        <v>384510</v>
      </c>
      <c r="D81" s="59"/>
      <c r="E81" s="28"/>
      <c r="F81" s="28"/>
      <c r="G81" s="32">
        <f t="shared" ref="G81:AA81" si="75">G$18*$B$81</f>
        <v>0.46875</v>
      </c>
      <c r="H81" s="33">
        <f t="shared" si="75"/>
        <v>0.9375</v>
      </c>
      <c r="I81" s="33">
        <f t="shared" si="75"/>
        <v>1.875</v>
      </c>
      <c r="J81" s="33">
        <f t="shared" si="75"/>
        <v>3.75</v>
      </c>
      <c r="K81" s="33">
        <f t="shared" si="75"/>
        <v>7.5</v>
      </c>
      <c r="L81" s="33">
        <f t="shared" si="75"/>
        <v>15</v>
      </c>
      <c r="M81" s="33">
        <f t="shared" si="75"/>
        <v>30</v>
      </c>
      <c r="N81" s="33">
        <f t="shared" si="75"/>
        <v>60</v>
      </c>
      <c r="O81" s="33">
        <f t="shared" si="75"/>
        <v>120</v>
      </c>
      <c r="P81" s="33">
        <f t="shared" si="75"/>
        <v>240</v>
      </c>
      <c r="Q81" s="33">
        <f t="shared" si="75"/>
        <v>480</v>
      </c>
      <c r="R81" s="33">
        <f t="shared" si="75"/>
        <v>960</v>
      </c>
      <c r="S81" s="33">
        <f t="shared" si="75"/>
        <v>1920</v>
      </c>
      <c r="T81" s="33">
        <f t="shared" si="75"/>
        <v>3840</v>
      </c>
      <c r="U81" s="33">
        <f t="shared" si="75"/>
        <v>7680</v>
      </c>
      <c r="V81" s="33">
        <f t="shared" si="75"/>
        <v>15360</v>
      </c>
      <c r="W81" s="33">
        <f t="shared" si="75"/>
        <v>30720</v>
      </c>
      <c r="X81" s="33">
        <f t="shared" si="75"/>
        <v>61440</v>
      </c>
      <c r="Y81" s="32">
        <f t="shared" si="75"/>
        <v>122880</v>
      </c>
      <c r="Z81" s="33">
        <f t="shared" si="75"/>
        <v>245760</v>
      </c>
      <c r="AA81" s="84">
        <f t="shared" si="75"/>
        <v>384510</v>
      </c>
      <c r="AB81" s="57"/>
    </row>
    <row r="82" spans="1:28" x14ac:dyDescent="0.25">
      <c r="A82" s="53"/>
      <c r="B82" s="28"/>
      <c r="C82" s="28"/>
      <c r="D82" s="37"/>
      <c r="E82" s="58">
        <v>5.6000000000000001E-2</v>
      </c>
      <c r="F82" s="28"/>
      <c r="G82" s="41">
        <f t="shared" ref="G82:W82" si="76">G81*$E$82</f>
        <v>2.6249999999999999E-2</v>
      </c>
      <c r="H82" s="42">
        <f t="shared" si="76"/>
        <v>5.2499999999999998E-2</v>
      </c>
      <c r="I82" s="42">
        <f t="shared" si="76"/>
        <v>0.105</v>
      </c>
      <c r="J82" s="42">
        <f t="shared" si="76"/>
        <v>0.21</v>
      </c>
      <c r="K82" s="42">
        <f t="shared" si="76"/>
        <v>0.42</v>
      </c>
      <c r="L82" s="42">
        <f t="shared" si="76"/>
        <v>0.84</v>
      </c>
      <c r="M82" s="42">
        <f t="shared" si="76"/>
        <v>1.68</v>
      </c>
      <c r="N82" s="42">
        <f t="shared" si="76"/>
        <v>3.36</v>
      </c>
      <c r="O82" s="42">
        <f t="shared" si="76"/>
        <v>6.72</v>
      </c>
      <c r="P82" s="42">
        <f t="shared" si="76"/>
        <v>13.44</v>
      </c>
      <c r="Q82" s="42">
        <f t="shared" si="76"/>
        <v>26.88</v>
      </c>
      <c r="R82" s="42">
        <f t="shared" si="76"/>
        <v>53.76</v>
      </c>
      <c r="S82" s="42">
        <f t="shared" si="76"/>
        <v>107.52</v>
      </c>
      <c r="T82" s="42">
        <f t="shared" si="76"/>
        <v>215.04</v>
      </c>
      <c r="U82" s="42">
        <f t="shared" si="76"/>
        <v>430.08</v>
      </c>
      <c r="V82" s="42">
        <f t="shared" si="76"/>
        <v>860.16</v>
      </c>
      <c r="W82" s="42">
        <f t="shared" si="76"/>
        <v>1720.32</v>
      </c>
      <c r="X82" s="42">
        <f>X81*$E$82</f>
        <v>3440.64</v>
      </c>
      <c r="Y82" s="41">
        <f>Y81*$E$82</f>
        <v>6881.28</v>
      </c>
      <c r="Z82" s="42">
        <f>Z81*$E$82</f>
        <v>13762.56</v>
      </c>
      <c r="AA82" s="83">
        <f>AA81*$E$82</f>
        <v>21532.560000000001</v>
      </c>
      <c r="AB82" s="57"/>
    </row>
    <row r="83" spans="1:28" x14ac:dyDescent="0.25">
      <c r="A83" s="53" t="s">
        <v>10</v>
      </c>
      <c r="B83" s="36">
        <v>0.161</v>
      </c>
      <c r="C83" s="22">
        <f>$B$5 * B83</f>
        <v>4127074</v>
      </c>
      <c r="D83" s="59"/>
      <c r="E83" s="28"/>
      <c r="F83" s="28"/>
      <c r="G83" s="32">
        <f t="shared" ref="G83:AA83" si="77">G$18*$B$83</f>
        <v>5.03125</v>
      </c>
      <c r="H83" s="33">
        <f t="shared" si="77"/>
        <v>10.0625</v>
      </c>
      <c r="I83" s="33">
        <f t="shared" si="77"/>
        <v>20.125</v>
      </c>
      <c r="J83" s="33">
        <f t="shared" si="77"/>
        <v>40.25</v>
      </c>
      <c r="K83" s="33">
        <f t="shared" si="77"/>
        <v>80.5</v>
      </c>
      <c r="L83" s="33">
        <f t="shared" si="77"/>
        <v>161</v>
      </c>
      <c r="M83" s="33">
        <f t="shared" si="77"/>
        <v>322</v>
      </c>
      <c r="N83" s="33">
        <f t="shared" si="77"/>
        <v>644</v>
      </c>
      <c r="O83" s="33">
        <f t="shared" si="77"/>
        <v>1288</v>
      </c>
      <c r="P83" s="33">
        <f t="shared" si="77"/>
        <v>2576</v>
      </c>
      <c r="Q83" s="33">
        <f t="shared" si="77"/>
        <v>5152</v>
      </c>
      <c r="R83" s="33">
        <f t="shared" si="77"/>
        <v>10304</v>
      </c>
      <c r="S83" s="33">
        <f t="shared" si="77"/>
        <v>20608</v>
      </c>
      <c r="T83" s="33">
        <f t="shared" si="77"/>
        <v>41216</v>
      </c>
      <c r="U83" s="33">
        <f t="shared" si="77"/>
        <v>82432</v>
      </c>
      <c r="V83" s="33">
        <f t="shared" si="77"/>
        <v>164864</v>
      </c>
      <c r="W83" s="33">
        <f t="shared" si="77"/>
        <v>329728</v>
      </c>
      <c r="X83" s="33">
        <f t="shared" si="77"/>
        <v>659456</v>
      </c>
      <c r="Y83" s="32">
        <f t="shared" si="77"/>
        <v>1318912</v>
      </c>
      <c r="Z83" s="33">
        <f t="shared" si="77"/>
        <v>2637824</v>
      </c>
      <c r="AA83" s="84">
        <f t="shared" si="77"/>
        <v>4127074</v>
      </c>
      <c r="AB83" s="57"/>
    </row>
    <row r="84" spans="1:28" x14ac:dyDescent="0.25">
      <c r="A84" s="49"/>
      <c r="B84" s="51"/>
      <c r="C84" s="51"/>
      <c r="D84" s="67"/>
      <c r="E84" s="68" t="s">
        <v>11</v>
      </c>
      <c r="F84" s="51"/>
      <c r="G84" s="43" t="s">
        <v>11</v>
      </c>
      <c r="H84" s="44" t="s">
        <v>11</v>
      </c>
      <c r="I84" s="44" t="s">
        <v>11</v>
      </c>
      <c r="J84" s="44" t="s">
        <v>11</v>
      </c>
      <c r="K84" s="44" t="s">
        <v>11</v>
      </c>
      <c r="L84" s="44" t="s">
        <v>11</v>
      </c>
      <c r="M84" s="44" t="s">
        <v>11</v>
      </c>
      <c r="N84" s="44" t="s">
        <v>11</v>
      </c>
      <c r="O84" s="44" t="s">
        <v>11</v>
      </c>
      <c r="P84" s="44" t="s">
        <v>11</v>
      </c>
      <c r="Q84" s="44" t="s">
        <v>11</v>
      </c>
      <c r="R84" s="44" t="s">
        <v>11</v>
      </c>
      <c r="S84" s="44" t="s">
        <v>11</v>
      </c>
      <c r="T84" s="44" t="s">
        <v>11</v>
      </c>
      <c r="U84" s="44" t="s">
        <v>11</v>
      </c>
      <c r="V84" s="44" t="s">
        <v>11</v>
      </c>
      <c r="W84" s="44" t="s">
        <v>11</v>
      </c>
      <c r="X84" s="44" t="s">
        <v>11</v>
      </c>
      <c r="Y84" s="43" t="s">
        <v>11</v>
      </c>
      <c r="Z84" s="44" t="s">
        <v>11</v>
      </c>
      <c r="AA84" s="85" t="s">
        <v>11</v>
      </c>
      <c r="AB84" s="57"/>
    </row>
    <row r="85" spans="1:28" x14ac:dyDescent="0.25">
      <c r="A85" s="53"/>
      <c r="B85" s="28"/>
      <c r="C85" s="28"/>
      <c r="D85" s="59"/>
      <c r="E85" s="28"/>
      <c r="F85" s="28"/>
      <c r="G85" s="32">
        <f>SUM(G73,G75,G77,G79,G81,G83)</f>
        <v>28.71875</v>
      </c>
      <c r="H85" s="33">
        <f t="shared" ref="H85:W85" si="78">SUM(H73,H75,H77,H79,H81,H83)</f>
        <v>57.4375</v>
      </c>
      <c r="I85" s="33">
        <f t="shared" si="78"/>
        <v>114.875</v>
      </c>
      <c r="J85" s="33">
        <f t="shared" si="78"/>
        <v>229.75</v>
      </c>
      <c r="K85" s="33">
        <f t="shared" si="78"/>
        <v>459.5</v>
      </c>
      <c r="L85" s="33">
        <f t="shared" si="78"/>
        <v>919</v>
      </c>
      <c r="M85" s="33">
        <f>SUM(M73,M75,M77,M79,M81,M83)</f>
        <v>1838</v>
      </c>
      <c r="N85" s="33">
        <f t="shared" si="78"/>
        <v>3676</v>
      </c>
      <c r="O85" s="33">
        <f t="shared" si="78"/>
        <v>7352</v>
      </c>
      <c r="P85" s="33">
        <f t="shared" si="78"/>
        <v>14704</v>
      </c>
      <c r="Q85" s="33">
        <f t="shared" si="78"/>
        <v>29408</v>
      </c>
      <c r="R85" s="33">
        <f t="shared" si="78"/>
        <v>58816</v>
      </c>
      <c r="S85" s="33">
        <f t="shared" si="78"/>
        <v>117632</v>
      </c>
      <c r="T85" s="33">
        <f t="shared" si="78"/>
        <v>235264</v>
      </c>
      <c r="U85" s="33">
        <f t="shared" si="78"/>
        <v>470528</v>
      </c>
      <c r="V85" s="33">
        <f t="shared" si="78"/>
        <v>941056</v>
      </c>
      <c r="W85" s="33">
        <f t="shared" si="78"/>
        <v>1882112</v>
      </c>
      <c r="X85" s="33">
        <f t="shared" ref="X85:AA86" si="79">SUM(X73,X75,X77,X79,X81,X83)</f>
        <v>3764224</v>
      </c>
      <c r="Y85" s="32">
        <f t="shared" si="79"/>
        <v>7528448</v>
      </c>
      <c r="Z85" s="33">
        <f t="shared" si="79"/>
        <v>15056896</v>
      </c>
      <c r="AA85" s="84">
        <f t="shared" si="79"/>
        <v>23557646</v>
      </c>
      <c r="AB85" s="57"/>
    </row>
    <row r="86" spans="1:28" x14ac:dyDescent="0.25">
      <c r="A86" s="49" t="s">
        <v>132</v>
      </c>
      <c r="B86" s="51"/>
      <c r="C86" s="51"/>
      <c r="D86" s="51"/>
      <c r="E86" s="51"/>
      <c r="F86" s="51"/>
      <c r="G86" s="43">
        <f>SUM(G74,G76,G78,G80,G82,G84)</f>
        <v>1.5374375000000002</v>
      </c>
      <c r="H86" s="44">
        <f t="shared" ref="H86:W86" si="80">SUM(H74,H76,H78,H80,H82,H84)</f>
        <v>3.0748750000000005</v>
      </c>
      <c r="I86" s="44">
        <f t="shared" si="80"/>
        <v>6.1497500000000009</v>
      </c>
      <c r="J86" s="44">
        <f t="shared" si="80"/>
        <v>12.299500000000002</v>
      </c>
      <c r="K86" s="44">
        <f t="shared" si="80"/>
        <v>24.599000000000004</v>
      </c>
      <c r="L86" s="44">
        <f t="shared" si="80"/>
        <v>49.198000000000008</v>
      </c>
      <c r="M86" s="44">
        <f t="shared" si="80"/>
        <v>98.396000000000015</v>
      </c>
      <c r="N86" s="44">
        <f t="shared" si="80"/>
        <v>196.79200000000003</v>
      </c>
      <c r="O86" s="44">
        <f t="shared" si="80"/>
        <v>393.58400000000006</v>
      </c>
      <c r="P86" s="44">
        <f t="shared" si="80"/>
        <v>787.16800000000012</v>
      </c>
      <c r="Q86" s="44">
        <f t="shared" si="80"/>
        <v>1574.3360000000002</v>
      </c>
      <c r="R86" s="44">
        <f t="shared" si="80"/>
        <v>3148.6720000000005</v>
      </c>
      <c r="S86" s="44">
        <f t="shared" si="80"/>
        <v>6297.344000000001</v>
      </c>
      <c r="T86" s="44">
        <f t="shared" si="80"/>
        <v>12594.688000000002</v>
      </c>
      <c r="U86" s="44">
        <f t="shared" si="80"/>
        <v>25189.376000000004</v>
      </c>
      <c r="V86" s="44">
        <f t="shared" si="80"/>
        <v>50378.752000000008</v>
      </c>
      <c r="W86" s="44">
        <f t="shared" si="80"/>
        <v>100757.50400000002</v>
      </c>
      <c r="X86" s="44">
        <f t="shared" si="79"/>
        <v>201515.00800000003</v>
      </c>
      <c r="Y86" s="43">
        <f t="shared" si="79"/>
        <v>403030.01600000006</v>
      </c>
      <c r="Z86" s="44">
        <f t="shared" si="79"/>
        <v>806060.03200000012</v>
      </c>
      <c r="AA86" s="85">
        <f t="shared" si="79"/>
        <v>1261141.5320000001</v>
      </c>
      <c r="AB86" s="57"/>
    </row>
  </sheetData>
  <conditionalFormatting sqref="G29:X29 Z29:AB29">
    <cfRule type="cellIs" dxfId="28" priority="36" operator="greaterThan">
      <formula>$C$8</formula>
    </cfRule>
  </conditionalFormatting>
  <conditionalFormatting sqref="G31:X31 Z31:AA31">
    <cfRule type="cellIs" dxfId="27" priority="35" operator="greaterThan">
      <formula>$C$9</formula>
    </cfRule>
  </conditionalFormatting>
  <conditionalFormatting sqref="G50:AA50">
    <cfRule type="cellIs" dxfId="26" priority="34" operator="greaterThan">
      <formula>$C$50</formula>
    </cfRule>
  </conditionalFormatting>
  <conditionalFormatting sqref="G52:AA52">
    <cfRule type="cellIs" dxfId="25" priority="33" operator="greaterThan">
      <formula>$C$52</formula>
    </cfRule>
  </conditionalFormatting>
  <conditionalFormatting sqref="G54:AA54">
    <cfRule type="cellIs" dxfId="24" priority="32" operator="greaterThan">
      <formula>$C$54</formula>
    </cfRule>
  </conditionalFormatting>
  <conditionalFormatting sqref="G56:AA56">
    <cfRule type="cellIs" dxfId="23" priority="24" operator="greaterThan">
      <formula>$C$56</formula>
    </cfRule>
  </conditionalFormatting>
  <conditionalFormatting sqref="G58:AA58">
    <cfRule type="cellIs" dxfId="22" priority="23" operator="greaterThan">
      <formula>$C$58</formula>
    </cfRule>
  </conditionalFormatting>
  <conditionalFormatting sqref="G60:AA60">
    <cfRule type="cellIs" dxfId="21" priority="22" operator="greaterThan">
      <formula>$C$60</formula>
    </cfRule>
  </conditionalFormatting>
  <conditionalFormatting sqref="G62:AA62">
    <cfRule type="cellIs" dxfId="20" priority="21" operator="greaterThan">
      <formula>$C$62</formula>
    </cfRule>
  </conditionalFormatting>
  <conditionalFormatting sqref="G64:AA64">
    <cfRule type="cellIs" dxfId="19" priority="20" operator="greaterThan">
      <formula>$C$64</formula>
    </cfRule>
  </conditionalFormatting>
  <conditionalFormatting sqref="G66:AA66">
    <cfRule type="cellIs" dxfId="18" priority="19" operator="greaterThan">
      <formula>$C$66</formula>
    </cfRule>
  </conditionalFormatting>
  <conditionalFormatting sqref="G20:X20 Z20:AA20">
    <cfRule type="cellIs" dxfId="17" priority="18" operator="equal">
      <formula>0</formula>
    </cfRule>
  </conditionalFormatting>
  <conditionalFormatting sqref="G27:X27 Z27">
    <cfRule type="cellIs" dxfId="16" priority="17" operator="equal">
      <formula>0</formula>
    </cfRule>
  </conditionalFormatting>
  <conditionalFormatting sqref="G29:X29 Z29:AA29">
    <cfRule type="cellIs" dxfId="15" priority="16" operator="equal">
      <formula>0</formula>
    </cfRule>
  </conditionalFormatting>
  <conditionalFormatting sqref="H31:X31 Z31:AA31">
    <cfRule type="cellIs" dxfId="14" priority="15" operator="equal">
      <formula>0</formula>
    </cfRule>
  </conditionalFormatting>
  <conditionalFormatting sqref="D52">
    <cfRule type="cellIs" dxfId="13" priority="14" operator="greaterThan">
      <formula>$B$52</formula>
    </cfRule>
  </conditionalFormatting>
  <conditionalFormatting sqref="D54">
    <cfRule type="cellIs" dxfId="12" priority="13" operator="greaterThan">
      <formula>$B$54</formula>
    </cfRule>
  </conditionalFormatting>
  <conditionalFormatting sqref="D56">
    <cfRule type="cellIs" dxfId="11" priority="12" operator="greaterThan">
      <formula>$B$56</formula>
    </cfRule>
  </conditionalFormatting>
  <conditionalFormatting sqref="D58">
    <cfRule type="cellIs" dxfId="10" priority="11" operator="greaterThan">
      <formula>$B$58</formula>
    </cfRule>
  </conditionalFormatting>
  <conditionalFormatting sqref="D60">
    <cfRule type="cellIs" dxfId="9" priority="10" operator="greaterThan">
      <formula>$B$60</formula>
    </cfRule>
  </conditionalFormatting>
  <conditionalFormatting sqref="D62">
    <cfRule type="cellIs" dxfId="8" priority="9" operator="greaterThan">
      <formula>$B$62</formula>
    </cfRule>
  </conditionalFormatting>
  <conditionalFormatting sqref="D64">
    <cfRule type="cellIs" dxfId="7" priority="8" operator="greaterThan">
      <formula>$B$64</formula>
    </cfRule>
  </conditionalFormatting>
  <conditionalFormatting sqref="D66">
    <cfRule type="cellIs" dxfId="6" priority="7" operator="greaterThan">
      <formula>$B$66</formula>
    </cfRule>
  </conditionalFormatting>
  <conditionalFormatting sqref="Y29">
    <cfRule type="cellIs" dxfId="5" priority="6" operator="greaterThan">
      <formula>$C$8</formula>
    </cfRule>
  </conditionalFormatting>
  <conditionalFormatting sqref="Y31">
    <cfRule type="cellIs" dxfId="4" priority="5" operator="greaterThan">
      <formula>$C$9</formula>
    </cfRule>
  </conditionalFormatting>
  <conditionalFormatting sqref="Y20">
    <cfRule type="cellIs" dxfId="3" priority="4" operator="equal">
      <formula>0</formula>
    </cfRule>
  </conditionalFormatting>
  <conditionalFormatting sqref="Y27">
    <cfRule type="cellIs" dxfId="2" priority="3" operator="equal">
      <formula>0</formula>
    </cfRule>
  </conditionalFormatting>
  <conditionalFormatting sqref="Y29">
    <cfRule type="cellIs" dxfId="1" priority="2" operator="equal">
      <formula>0</formula>
    </cfRule>
  </conditionalFormatting>
  <conditionalFormatting sqref="Y31">
    <cfRule type="cellIs" dxfId="0" priority="1" operator="equal">
      <formula>0</formula>
    </cfRule>
  </conditionalFormatting>
  <hyperlinks>
    <hyperlink ref="D49" r:id="rId1" xr:uid="{98D6456F-EA03-4FCB-8D3D-1822F6B38CCF}"/>
    <hyperlink ref="E49" r:id="rId2" location="case-fatality-rate-of-covid-19-by-age" xr:uid="{0058192C-B05A-45D2-8597-C1F9B3D9241E}"/>
    <hyperlink ref="E72" r:id="rId3" location="case-fatality-rate-of-covid-19-by-preexisting-health-conditions" xr:uid="{110A2613-24A6-4768-B90C-571B307D13E2}"/>
    <hyperlink ref="B5" r:id="rId4" display="https://www.abs.gov.au/ausstats/abs@.nsf/0/1647509ef7e25faaca2568a900154b63?opendocument" xr:uid="{63727E5E-0850-4414-8DD8-E50A09A5AEE8}"/>
    <hyperlink ref="B49" r:id="rId5" xr:uid="{E432DB14-5D35-4B35-8F24-1C070D7F22B3}"/>
    <hyperlink ref="B6" r:id="rId6" display="https://cmmid.github.io/topics/covid19/severity/global_cfr_estimates.html" xr:uid="{49B36C88-7FC3-4DAA-BBA5-EABFD6685804}"/>
  </hyperlinks>
  <pageMargins left="0.7" right="0.7" top="0.75" bottom="0.75" header="0.3" footer="0.3"/>
  <pageSetup paperSize="9" orientation="portrait" horizontalDpi="0" verticalDpi="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H6" sqref="H6"/>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95" t="s">
        <v>225</v>
      </c>
      <c r="C3" s="180">
        <f>Projections!B5</f>
        <v>25634000</v>
      </c>
      <c r="J3" s="2"/>
    </row>
    <row r="4" spans="2:10" x14ac:dyDescent="0.25">
      <c r="B4" s="196" t="s">
        <v>243</v>
      </c>
      <c r="C4" s="180">
        <v>32</v>
      </c>
      <c r="J4" s="2"/>
    </row>
    <row r="5" spans="2:10" x14ac:dyDescent="0.25">
      <c r="B5" s="196" t="s">
        <v>244</v>
      </c>
      <c r="C5" s="178">
        <v>43892</v>
      </c>
      <c r="J5" s="2"/>
    </row>
    <row r="6" spans="2:10" x14ac:dyDescent="0.25">
      <c r="B6" s="196" t="s">
        <v>226</v>
      </c>
      <c r="C6" s="180">
        <v>6109</v>
      </c>
    </row>
    <row r="7" spans="2:10" x14ac:dyDescent="0.25">
      <c r="B7" s="196" t="s">
        <v>228</v>
      </c>
      <c r="C7" s="178">
        <f ca="1">NOW()</f>
        <v>43934.680232638886</v>
      </c>
    </row>
    <row r="8" spans="2:10" x14ac:dyDescent="0.25">
      <c r="B8" s="196" t="s">
        <v>245</v>
      </c>
      <c r="C8" s="179">
        <f ca="1">C7-C5</f>
        <v>42.680232638886082</v>
      </c>
    </row>
    <row r="9" spans="2:10" x14ac:dyDescent="0.25">
      <c r="B9" s="196" t="s">
        <v>227</v>
      </c>
      <c r="C9" s="181">
        <f ca="1">C8/(LOG(C6/C4)/LOG(2))</f>
        <v>5.6330746920923351</v>
      </c>
      <c r="D9" t="s">
        <v>201</v>
      </c>
      <c r="F9" t="s">
        <v>246</v>
      </c>
    </row>
    <row r="10" spans="2:10" x14ac:dyDescent="0.25">
      <c r="B10" s="196" t="s">
        <v>232</v>
      </c>
      <c r="C10" s="180">
        <f>Projections!C8</f>
        <v>66648.400000000009</v>
      </c>
    </row>
    <row r="11" spans="2:10" x14ac:dyDescent="0.25">
      <c r="B11" s="197" t="s">
        <v>233</v>
      </c>
      <c r="C11" s="185">
        <f>Projections!C9</f>
        <v>1896.9159999999999</v>
      </c>
    </row>
    <row r="12" spans="2:10" s="81" customFormat="1" x14ac:dyDescent="0.25">
      <c r="B12" s="74" t="s">
        <v>281</v>
      </c>
      <c r="C12" s="186">
        <f>C6/Projections!B6</f>
        <v>7541.9753086419751</v>
      </c>
    </row>
    <row r="13" spans="2:10" s="81" customFormat="1" x14ac:dyDescent="0.25">
      <c r="B13" s="60" t="s">
        <v>282</v>
      </c>
      <c r="C13" s="187">
        <f ca="1">(C4/Projections!B6)*(2^(((C7-21)-C5)/C9))</f>
        <v>569.1814758623226</v>
      </c>
    </row>
    <row r="14" spans="2:10" s="81" customFormat="1" x14ac:dyDescent="0.25">
      <c r="B14" s="61" t="s">
        <v>283</v>
      </c>
      <c r="C14" s="166">
        <f ca="1">C12-C13</f>
        <v>6972.7938327796528</v>
      </c>
      <c r="E14" s="183"/>
      <c r="F14" s="184" t="s">
        <v>250</v>
      </c>
      <c r="G14" s="182"/>
    </row>
    <row r="15" spans="2:10" x14ac:dyDescent="0.25">
      <c r="B15" s="16" t="s">
        <v>247</v>
      </c>
      <c r="C15" s="76">
        <f>C6*Projections!B10</f>
        <v>5620.2800000000007</v>
      </c>
      <c r="I15" s="177"/>
    </row>
    <row r="16" spans="2:10" x14ac:dyDescent="0.25">
      <c r="B16" s="53" t="s">
        <v>257</v>
      </c>
      <c r="C16" s="95">
        <f ca="1">(C4*Projections!B10)*(2^(((C7-21)-C5)/C9))</f>
        <v>424.15403581260284</v>
      </c>
      <c r="I16" s="177"/>
    </row>
    <row r="17" spans="2:9" x14ac:dyDescent="0.25">
      <c r="B17" s="53" t="s">
        <v>248</v>
      </c>
      <c r="C17" s="95">
        <f ca="1">C15-C16</f>
        <v>5196.1259641873976</v>
      </c>
      <c r="F17" t="s">
        <v>251</v>
      </c>
      <c r="I17" s="177"/>
    </row>
    <row r="18" spans="2:9" x14ac:dyDescent="0.25">
      <c r="B18" s="16" t="s">
        <v>253</v>
      </c>
      <c r="C18" s="76">
        <f>C6*Projections!B11</f>
        <v>305.45</v>
      </c>
    </row>
    <row r="19" spans="2:9" x14ac:dyDescent="0.25">
      <c r="B19" s="53" t="s">
        <v>258</v>
      </c>
      <c r="C19" s="95">
        <f ca="1">(C4*Projections!B11)*(2^(((C7-49)-C5)/C9))</f>
        <v>0.73517937646181775</v>
      </c>
    </row>
    <row r="20" spans="2:9" x14ac:dyDescent="0.25">
      <c r="B20" s="53" t="s">
        <v>252</v>
      </c>
      <c r="C20" s="95">
        <f ca="1">C18-C19</f>
        <v>304.71482062353817</v>
      </c>
      <c r="F20" t="s">
        <v>256</v>
      </c>
    </row>
    <row r="21" spans="2:9" x14ac:dyDescent="0.25">
      <c r="B21" s="16" t="s">
        <v>254</v>
      </c>
      <c r="C21" s="76">
        <f>C6*Projections!B12</f>
        <v>183.26999999999998</v>
      </c>
      <c r="I21" s="177"/>
    </row>
    <row r="22" spans="2:9" x14ac:dyDescent="0.25">
      <c r="B22" s="53" t="s">
        <v>259</v>
      </c>
      <c r="C22" s="95">
        <f ca="1">(C4*Projections!B12)*(2^(((C7-49)-C5)/C9))</f>
        <v>0.44110762587709063</v>
      </c>
      <c r="I22" s="177"/>
    </row>
    <row r="23" spans="2:9" x14ac:dyDescent="0.25">
      <c r="B23" s="53" t="s">
        <v>255</v>
      </c>
      <c r="C23" s="95">
        <f ca="1">C21-C22</f>
        <v>182.82889237412289</v>
      </c>
      <c r="I23" s="177"/>
    </row>
    <row r="24" spans="2:9" x14ac:dyDescent="0.25">
      <c r="B24" s="16" t="s">
        <v>260</v>
      </c>
      <c r="C24" s="76">
        <f>C6*Projections!B13</f>
        <v>30.545000000000002</v>
      </c>
    </row>
    <row r="25" spans="2:9" x14ac:dyDescent="0.25">
      <c r="B25" s="49" t="s">
        <v>261</v>
      </c>
      <c r="C25" s="73">
        <f ca="1">(C4*Projections!B13)*(2^(((C7-42)-C5)/C9))</f>
        <v>0.17396882564426505</v>
      </c>
      <c r="F25" t="s">
        <v>262</v>
      </c>
    </row>
    <row r="26" spans="2:9" x14ac:dyDescent="0.25">
      <c r="B26" s="53" t="s">
        <v>238</v>
      </c>
      <c r="C26" s="190">
        <f ca="1">C9*(LOG(C10/C21)/LOG(2))</f>
        <v>47.917500802347824</v>
      </c>
      <c r="D26" t="s">
        <v>201</v>
      </c>
      <c r="F26" s="81" t="s">
        <v>263</v>
      </c>
    </row>
    <row r="27" spans="2:9" x14ac:dyDescent="0.25">
      <c r="B27" s="49" t="s">
        <v>234</v>
      </c>
      <c r="C27" s="189">
        <f ca="1">C7+C26</f>
        <v>43982.597733441231</v>
      </c>
      <c r="F27" t="s">
        <v>264</v>
      </c>
    </row>
    <row r="28" spans="2:9" x14ac:dyDescent="0.25">
      <c r="B28" s="16" t="s">
        <v>239</v>
      </c>
      <c r="C28" s="188">
        <f ca="1">C9*(LOG(C11/C21)/LOG(2))</f>
        <v>18.992549229512601</v>
      </c>
      <c r="D28" t="s">
        <v>201</v>
      </c>
    </row>
    <row r="29" spans="2:9" x14ac:dyDescent="0.25">
      <c r="B29" s="49" t="s">
        <v>235</v>
      </c>
      <c r="C29" s="189">
        <f ca="1">C7+C28</f>
        <v>43953.672781868401</v>
      </c>
      <c r="F29" t="s">
        <v>264</v>
      </c>
    </row>
    <row r="30" spans="2:9" x14ac:dyDescent="0.25">
      <c r="B30" s="16" t="s">
        <v>240</v>
      </c>
      <c r="C30" s="188">
        <f ca="1">C9*(LOG((C3*0.6)/C12)/LOG(2))</f>
        <v>61.929251300579779</v>
      </c>
      <c r="D30" t="s">
        <v>201</v>
      </c>
    </row>
    <row r="31" spans="2:9" x14ac:dyDescent="0.25">
      <c r="B31" s="49" t="s">
        <v>237</v>
      </c>
      <c r="C31" s="189">
        <f ca="1">C7+C30</f>
        <v>43996.609483939465</v>
      </c>
    </row>
    <row r="34" spans="2:6" x14ac:dyDescent="0.25">
      <c r="B34" s="16" t="s">
        <v>241</v>
      </c>
      <c r="C34" s="178">
        <f ca="1">C7+30</f>
        <v>43964.680232638886</v>
      </c>
      <c r="F34" t="s">
        <v>284</v>
      </c>
    </row>
    <row r="35" spans="2:6" x14ac:dyDescent="0.25">
      <c r="B35" s="53" t="s">
        <v>242</v>
      </c>
      <c r="C35" s="95">
        <f ca="1">C6*(2^((C34-C7)/C9))</f>
        <v>244997.72523053508</v>
      </c>
      <c r="F35" t="s">
        <v>249</v>
      </c>
    </row>
    <row r="36" spans="2:6" x14ac:dyDescent="0.25">
      <c r="B36" s="53" t="s">
        <v>236</v>
      </c>
      <c r="C36" s="95">
        <f ca="1">C35/Projections!B6</f>
        <v>302466.32744510501</v>
      </c>
    </row>
    <row r="37" spans="2:6" x14ac:dyDescent="0.25">
      <c r="B37" s="53" t="s">
        <v>176</v>
      </c>
      <c r="C37" s="95">
        <f ca="1">C35*Projections!B10</f>
        <v>225397.90721209228</v>
      </c>
    </row>
    <row r="38" spans="2:6" x14ac:dyDescent="0.25">
      <c r="B38" s="53" t="s">
        <v>229</v>
      </c>
      <c r="C38" s="95">
        <f ca="1">C35*Projections!B11</f>
        <v>12249.886261526755</v>
      </c>
    </row>
    <row r="39" spans="2:6" x14ac:dyDescent="0.25">
      <c r="B39" s="53" t="s">
        <v>230</v>
      </c>
      <c r="C39" s="95">
        <f ca="1">C35*Projections!B12</f>
        <v>7349.9317569160521</v>
      </c>
    </row>
    <row r="40" spans="2:6" x14ac:dyDescent="0.25">
      <c r="B40" s="49" t="s">
        <v>231</v>
      </c>
      <c r="C40" s="73">
        <f ca="1">C35*Projections!B13</f>
        <v>1224.9886261526754</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L108"/>
  <sheetViews>
    <sheetView workbookViewId="0">
      <selection activeCell="K15" sqref="K15"/>
    </sheetView>
  </sheetViews>
  <sheetFormatPr defaultRowHeight="15" x14ac:dyDescent="0.25"/>
  <sheetData>
    <row r="1" spans="1:12" x14ac:dyDescent="0.25">
      <c r="A1" t="s">
        <v>129</v>
      </c>
      <c r="B1" t="s">
        <v>148</v>
      </c>
    </row>
    <row r="2" spans="1:12" x14ac:dyDescent="0.25">
      <c r="A2" s="6" t="s">
        <v>22</v>
      </c>
      <c r="B2" s="7">
        <v>302684</v>
      </c>
      <c r="L2" s="88"/>
    </row>
    <row r="3" spans="1:12" x14ac:dyDescent="0.25">
      <c r="A3" s="8" t="s">
        <v>23</v>
      </c>
      <c r="B3" s="9">
        <v>304818</v>
      </c>
      <c r="L3" s="88"/>
    </row>
    <row r="4" spans="1:12" x14ac:dyDescent="0.25">
      <c r="A4" s="8" t="s">
        <v>24</v>
      </c>
      <c r="B4" s="9">
        <v>311200</v>
      </c>
      <c r="L4" s="88"/>
    </row>
    <row r="5" spans="1:12" x14ac:dyDescent="0.25">
      <c r="A5" s="8" t="s">
        <v>25</v>
      </c>
      <c r="B5" s="9">
        <v>326896</v>
      </c>
      <c r="L5" s="88"/>
    </row>
    <row r="6" spans="1:12" x14ac:dyDescent="0.25">
      <c r="A6" s="8" t="s">
        <v>26</v>
      </c>
      <c r="B6" s="9">
        <v>321565</v>
      </c>
      <c r="L6" s="88"/>
    </row>
    <row r="7" spans="1:12" x14ac:dyDescent="0.25">
      <c r="A7" s="10" t="s">
        <v>27</v>
      </c>
      <c r="B7" s="11">
        <v>1567163</v>
      </c>
      <c r="L7" s="89"/>
    </row>
    <row r="8" spans="1:12" x14ac:dyDescent="0.25">
      <c r="A8" s="8" t="s">
        <v>28</v>
      </c>
      <c r="B8" s="9">
        <v>321643</v>
      </c>
      <c r="L8" s="88"/>
    </row>
    <row r="9" spans="1:12" x14ac:dyDescent="0.25">
      <c r="A9" s="8" t="s">
        <v>29</v>
      </c>
      <c r="B9" s="9">
        <v>326729</v>
      </c>
      <c r="L9" s="88"/>
    </row>
    <row r="10" spans="1:12" x14ac:dyDescent="0.25">
      <c r="A10" s="8" t="s">
        <v>30</v>
      </c>
      <c r="B10" s="9">
        <v>323562</v>
      </c>
      <c r="L10" s="88"/>
    </row>
    <row r="11" spans="1:12" x14ac:dyDescent="0.25">
      <c r="A11" s="8" t="s">
        <v>31</v>
      </c>
      <c r="B11" s="9">
        <v>322648</v>
      </c>
      <c r="L11" s="88"/>
    </row>
    <row r="12" spans="1:12" x14ac:dyDescent="0.25">
      <c r="A12" s="8" t="s">
        <v>32</v>
      </c>
      <c r="B12" s="9">
        <v>324065</v>
      </c>
      <c r="L12" s="88"/>
    </row>
    <row r="13" spans="1:12" x14ac:dyDescent="0.25">
      <c r="A13" s="12" t="s">
        <v>33</v>
      </c>
      <c r="B13" s="13">
        <v>1618647</v>
      </c>
      <c r="C13" s="2">
        <f>SUM(B7,B13)</f>
        <v>3185810</v>
      </c>
      <c r="D13" s="1">
        <f>C13/$B$108</f>
        <v>0.1255958322404806</v>
      </c>
      <c r="L13" s="89"/>
    </row>
    <row r="14" spans="1:12" x14ac:dyDescent="0.25">
      <c r="A14" s="6" t="s">
        <v>34</v>
      </c>
      <c r="B14" s="7">
        <v>319703</v>
      </c>
      <c r="L14" s="88"/>
    </row>
    <row r="15" spans="1:12" x14ac:dyDescent="0.25">
      <c r="A15" s="8" t="s">
        <v>35</v>
      </c>
      <c r="B15" s="9">
        <v>319972</v>
      </c>
      <c r="L15" s="88"/>
    </row>
    <row r="16" spans="1:12" x14ac:dyDescent="0.25">
      <c r="A16" s="8" t="s">
        <v>36</v>
      </c>
      <c r="B16" s="9">
        <v>316523</v>
      </c>
      <c r="L16" s="88"/>
    </row>
    <row r="17" spans="1:12" x14ac:dyDescent="0.25">
      <c r="A17" s="8" t="s">
        <v>37</v>
      </c>
      <c r="B17" s="9">
        <v>305472</v>
      </c>
      <c r="L17" s="88"/>
    </row>
    <row r="18" spans="1:12" x14ac:dyDescent="0.25">
      <c r="A18" s="8" t="s">
        <v>38</v>
      </c>
      <c r="B18" s="9">
        <v>294067</v>
      </c>
      <c r="L18" s="88"/>
    </row>
    <row r="19" spans="1:12" x14ac:dyDescent="0.25">
      <c r="A19" s="10" t="s">
        <v>39</v>
      </c>
      <c r="B19" s="11">
        <v>1555737</v>
      </c>
      <c r="L19" s="89"/>
    </row>
    <row r="20" spans="1:12" x14ac:dyDescent="0.25">
      <c r="A20" s="8" t="s">
        <v>40</v>
      </c>
      <c r="B20" s="9">
        <v>290601</v>
      </c>
      <c r="L20" s="88"/>
    </row>
    <row r="21" spans="1:12" x14ac:dyDescent="0.25">
      <c r="A21" s="8" t="s">
        <v>41</v>
      </c>
      <c r="B21" s="9">
        <v>288611</v>
      </c>
      <c r="L21" s="88"/>
    </row>
    <row r="22" spans="1:12" x14ac:dyDescent="0.25">
      <c r="A22" s="8" t="s">
        <v>42</v>
      </c>
      <c r="B22" s="9">
        <v>290316</v>
      </c>
      <c r="L22" s="88"/>
    </row>
    <row r="23" spans="1:12" x14ac:dyDescent="0.25">
      <c r="A23" s="8" t="s">
        <v>43</v>
      </c>
      <c r="B23" s="9">
        <v>307634</v>
      </c>
      <c r="L23" s="88"/>
    </row>
    <row r="24" spans="1:12" x14ac:dyDescent="0.25">
      <c r="A24" s="8" t="s">
        <v>44</v>
      </c>
      <c r="B24" s="9">
        <v>325295</v>
      </c>
      <c r="L24" s="88"/>
    </row>
    <row r="25" spans="1:12" x14ac:dyDescent="0.25">
      <c r="A25" s="12" t="s">
        <v>45</v>
      </c>
      <c r="B25" s="13">
        <v>1502457</v>
      </c>
      <c r="C25" s="2">
        <f>SUM(B25,B19)</f>
        <v>3058194</v>
      </c>
      <c r="D25" s="1">
        <f>C25/$B$108</f>
        <v>0.12056476079328157</v>
      </c>
      <c r="L25" s="89"/>
    </row>
    <row r="26" spans="1:12" x14ac:dyDescent="0.25">
      <c r="A26" s="6" t="s">
        <v>46</v>
      </c>
      <c r="B26" s="7">
        <v>330388</v>
      </c>
      <c r="L26" s="88"/>
    </row>
    <row r="27" spans="1:12" x14ac:dyDescent="0.25">
      <c r="A27" s="8" t="s">
        <v>47</v>
      </c>
      <c r="B27" s="9">
        <v>335483</v>
      </c>
      <c r="L27" s="88"/>
    </row>
    <row r="28" spans="1:12" x14ac:dyDescent="0.25">
      <c r="A28" s="8" t="s">
        <v>48</v>
      </c>
      <c r="B28" s="9">
        <v>347121</v>
      </c>
      <c r="L28" s="88"/>
    </row>
    <row r="29" spans="1:12" x14ac:dyDescent="0.25">
      <c r="A29" s="8" t="s">
        <v>49</v>
      </c>
      <c r="B29" s="9">
        <v>365323</v>
      </c>
      <c r="L29" s="88"/>
    </row>
    <row r="30" spans="1:12" x14ac:dyDescent="0.25">
      <c r="A30" s="8" t="s">
        <v>50</v>
      </c>
      <c r="B30" s="9">
        <v>380725</v>
      </c>
      <c r="L30" s="88"/>
    </row>
    <row r="31" spans="1:12" x14ac:dyDescent="0.25">
      <c r="A31" s="10" t="s">
        <v>51</v>
      </c>
      <c r="B31" s="11">
        <v>1759040</v>
      </c>
      <c r="L31" s="89"/>
    </row>
    <row r="32" spans="1:12" x14ac:dyDescent="0.25">
      <c r="A32" s="8" t="s">
        <v>52</v>
      </c>
      <c r="B32" s="9">
        <v>379564</v>
      </c>
      <c r="L32" s="88"/>
    </row>
    <row r="33" spans="1:12" x14ac:dyDescent="0.25">
      <c r="A33" s="8" t="s">
        <v>53</v>
      </c>
      <c r="B33" s="9">
        <v>376903</v>
      </c>
      <c r="L33" s="88"/>
    </row>
    <row r="34" spans="1:12" x14ac:dyDescent="0.25">
      <c r="A34" s="8" t="s">
        <v>54</v>
      </c>
      <c r="B34" s="9">
        <v>378326</v>
      </c>
      <c r="L34" s="88"/>
    </row>
    <row r="35" spans="1:12" x14ac:dyDescent="0.25">
      <c r="A35" s="8" t="s">
        <v>55</v>
      </c>
      <c r="B35" s="9">
        <v>384454</v>
      </c>
      <c r="L35" s="88"/>
    </row>
    <row r="36" spans="1:12" x14ac:dyDescent="0.25">
      <c r="A36" s="8" t="s">
        <v>56</v>
      </c>
      <c r="B36" s="9">
        <v>389152</v>
      </c>
      <c r="L36" s="88"/>
    </row>
    <row r="37" spans="1:12" x14ac:dyDescent="0.25">
      <c r="A37" s="12" t="s">
        <v>57</v>
      </c>
      <c r="B37" s="13">
        <v>1908399</v>
      </c>
      <c r="C37" s="2">
        <f>SUM(B31,B37)</f>
        <v>3667439</v>
      </c>
      <c r="D37" s="1">
        <f>C37/$B$108</f>
        <v>0.14458334093878666</v>
      </c>
      <c r="L37" s="89"/>
    </row>
    <row r="38" spans="1:12" x14ac:dyDescent="0.25">
      <c r="A38" s="6" t="s">
        <v>58</v>
      </c>
      <c r="B38" s="7">
        <v>381627</v>
      </c>
      <c r="L38" s="88"/>
    </row>
    <row r="39" spans="1:12" x14ac:dyDescent="0.25">
      <c r="A39" s="8" t="s">
        <v>59</v>
      </c>
      <c r="B39" s="9">
        <v>380703</v>
      </c>
      <c r="L39" s="88"/>
    </row>
    <row r="40" spans="1:12" x14ac:dyDescent="0.25">
      <c r="A40" s="8" t="s">
        <v>60</v>
      </c>
      <c r="B40" s="9">
        <v>376308</v>
      </c>
      <c r="L40" s="88"/>
    </row>
    <row r="41" spans="1:12" x14ac:dyDescent="0.25">
      <c r="A41" s="8" t="s">
        <v>61</v>
      </c>
      <c r="B41" s="9">
        <v>378900</v>
      </c>
      <c r="L41" s="88"/>
    </row>
    <row r="42" spans="1:12" x14ac:dyDescent="0.25">
      <c r="A42" s="8" t="s">
        <v>62</v>
      </c>
      <c r="B42" s="9">
        <v>374563</v>
      </c>
      <c r="L42" s="88"/>
    </row>
    <row r="43" spans="1:12" x14ac:dyDescent="0.25">
      <c r="A43" s="10" t="s">
        <v>63</v>
      </c>
      <c r="B43" s="11">
        <v>1892101</v>
      </c>
      <c r="L43" s="89"/>
    </row>
    <row r="44" spans="1:12" x14ac:dyDescent="0.25">
      <c r="A44" s="8" t="s">
        <v>64</v>
      </c>
      <c r="B44" s="9">
        <v>371946</v>
      </c>
      <c r="L44" s="88"/>
    </row>
    <row r="45" spans="1:12" x14ac:dyDescent="0.25">
      <c r="A45" s="8" t="s">
        <v>65</v>
      </c>
      <c r="B45" s="9">
        <v>368877</v>
      </c>
      <c r="L45" s="88"/>
    </row>
    <row r="46" spans="1:12" x14ac:dyDescent="0.25">
      <c r="A46" s="8" t="s">
        <v>66</v>
      </c>
      <c r="B46" s="9">
        <v>357736</v>
      </c>
      <c r="L46" s="88"/>
    </row>
    <row r="47" spans="1:12" x14ac:dyDescent="0.25">
      <c r="A47" s="8" t="s">
        <v>67</v>
      </c>
      <c r="B47" s="9">
        <v>348170</v>
      </c>
      <c r="L47" s="88"/>
    </row>
    <row r="48" spans="1:12" x14ac:dyDescent="0.25">
      <c r="A48" s="8" t="s">
        <v>68</v>
      </c>
      <c r="B48" s="9">
        <v>334445</v>
      </c>
      <c r="L48" s="88"/>
    </row>
    <row r="49" spans="1:12" x14ac:dyDescent="0.25">
      <c r="A49" s="12" t="s">
        <v>69</v>
      </c>
      <c r="B49" s="13">
        <v>1781174</v>
      </c>
      <c r="C49" s="2">
        <f>SUM(B43,B49)</f>
        <v>3673275</v>
      </c>
      <c r="D49" s="1">
        <f>C49/$B$108</f>
        <v>0.14481341657950456</v>
      </c>
      <c r="L49" s="89"/>
    </row>
    <row r="50" spans="1:12" x14ac:dyDescent="0.25">
      <c r="A50" s="6" t="s">
        <v>70</v>
      </c>
      <c r="B50" s="7">
        <v>324591</v>
      </c>
      <c r="L50" s="88"/>
    </row>
    <row r="51" spans="1:12" x14ac:dyDescent="0.25">
      <c r="A51" s="8" t="s">
        <v>71</v>
      </c>
      <c r="B51" s="9">
        <v>318448</v>
      </c>
      <c r="L51" s="88"/>
    </row>
    <row r="52" spans="1:12" x14ac:dyDescent="0.25">
      <c r="A52" s="8" t="s">
        <v>72</v>
      </c>
      <c r="B52" s="9">
        <v>315770</v>
      </c>
      <c r="L52" s="88"/>
    </row>
    <row r="53" spans="1:12" x14ac:dyDescent="0.25">
      <c r="A53" s="8" t="s">
        <v>73</v>
      </c>
      <c r="B53" s="9">
        <v>318107</v>
      </c>
      <c r="L53" s="88"/>
    </row>
    <row r="54" spans="1:12" x14ac:dyDescent="0.25">
      <c r="A54" s="8" t="s">
        <v>74</v>
      </c>
      <c r="B54" s="9">
        <v>318926</v>
      </c>
      <c r="L54" s="88"/>
    </row>
    <row r="55" spans="1:12" x14ac:dyDescent="0.25">
      <c r="A55" s="10" t="s">
        <v>75</v>
      </c>
      <c r="B55" s="11">
        <v>1595842</v>
      </c>
      <c r="L55" s="89"/>
    </row>
    <row r="56" spans="1:12" x14ac:dyDescent="0.25">
      <c r="A56" s="8" t="s">
        <v>76</v>
      </c>
      <c r="B56" s="9">
        <v>327436</v>
      </c>
      <c r="L56" s="88"/>
    </row>
    <row r="57" spans="1:12" x14ac:dyDescent="0.25">
      <c r="A57" s="8" t="s">
        <v>77</v>
      </c>
      <c r="B57" s="9">
        <v>332934</v>
      </c>
      <c r="L57" s="88"/>
    </row>
    <row r="58" spans="1:12" x14ac:dyDescent="0.25">
      <c r="A58" s="8" t="s">
        <v>78</v>
      </c>
      <c r="B58" s="9">
        <v>344168</v>
      </c>
      <c r="L58" s="88"/>
    </row>
    <row r="59" spans="1:12" x14ac:dyDescent="0.25">
      <c r="A59" s="8" t="s">
        <v>79</v>
      </c>
      <c r="B59" s="9">
        <v>347705</v>
      </c>
      <c r="L59" s="88"/>
    </row>
    <row r="60" spans="1:12" x14ac:dyDescent="0.25">
      <c r="A60" s="8" t="s">
        <v>80</v>
      </c>
      <c r="B60" s="9">
        <v>326172</v>
      </c>
      <c r="L60" s="88"/>
    </row>
    <row r="61" spans="1:12" x14ac:dyDescent="0.25">
      <c r="A61" s="12" t="s">
        <v>81</v>
      </c>
      <c r="B61" s="13">
        <v>1678415</v>
      </c>
      <c r="C61" s="2">
        <f>SUM(B55,B61)</f>
        <v>3274257</v>
      </c>
      <c r="D61" s="1">
        <f>C61/$B$108</f>
        <v>0.12908272398046944</v>
      </c>
      <c r="L61" s="89"/>
    </row>
    <row r="62" spans="1:12" x14ac:dyDescent="0.25">
      <c r="A62" s="6" t="s">
        <v>82</v>
      </c>
      <c r="B62" s="7">
        <v>320460</v>
      </c>
      <c r="L62" s="88"/>
    </row>
    <row r="63" spans="1:12" x14ac:dyDescent="0.25">
      <c r="A63" s="8" t="s">
        <v>83</v>
      </c>
      <c r="B63" s="9">
        <v>310043</v>
      </c>
      <c r="L63" s="88"/>
    </row>
    <row r="64" spans="1:12" x14ac:dyDescent="0.25">
      <c r="A64" s="8" t="s">
        <v>84</v>
      </c>
      <c r="B64" s="9">
        <v>301380</v>
      </c>
      <c r="L64" s="88"/>
    </row>
    <row r="65" spans="1:12" x14ac:dyDescent="0.25">
      <c r="A65" s="8" t="s">
        <v>85</v>
      </c>
      <c r="B65" s="9">
        <v>301965</v>
      </c>
      <c r="L65" s="88"/>
    </row>
    <row r="66" spans="1:12" x14ac:dyDescent="0.25">
      <c r="A66" s="8" t="s">
        <v>86</v>
      </c>
      <c r="B66" s="9">
        <v>300916</v>
      </c>
      <c r="L66" s="88"/>
    </row>
    <row r="67" spans="1:12" x14ac:dyDescent="0.25">
      <c r="A67" s="10" t="s">
        <v>87</v>
      </c>
      <c r="B67" s="11">
        <v>1534764</v>
      </c>
      <c r="L67" s="89"/>
    </row>
    <row r="68" spans="1:12" x14ac:dyDescent="0.25">
      <c r="A68" s="8" t="s">
        <v>88</v>
      </c>
      <c r="B68" s="9">
        <v>311890</v>
      </c>
      <c r="L68" s="88"/>
    </row>
    <row r="69" spans="1:12" x14ac:dyDescent="0.25">
      <c r="A69" s="8" t="s">
        <v>89</v>
      </c>
      <c r="B69" s="9">
        <v>313933</v>
      </c>
      <c r="L69" s="88"/>
    </row>
    <row r="70" spans="1:12" x14ac:dyDescent="0.25">
      <c r="A70" s="8" t="s">
        <v>90</v>
      </c>
      <c r="B70" s="9">
        <v>311527</v>
      </c>
      <c r="L70" s="88"/>
    </row>
    <row r="71" spans="1:12" x14ac:dyDescent="0.25">
      <c r="A71" s="8" t="s">
        <v>91</v>
      </c>
      <c r="B71" s="9">
        <v>309248</v>
      </c>
      <c r="L71" s="88"/>
    </row>
    <row r="72" spans="1:12" x14ac:dyDescent="0.25">
      <c r="A72" s="8" t="s">
        <v>92</v>
      </c>
      <c r="B72" s="9">
        <v>298726</v>
      </c>
      <c r="L72" s="88"/>
    </row>
    <row r="73" spans="1:12" x14ac:dyDescent="0.25">
      <c r="A73" s="14" t="s">
        <v>93</v>
      </c>
      <c r="B73" s="15">
        <v>1545324</v>
      </c>
      <c r="C73" s="2">
        <f>SUM(B67,B73)</f>
        <v>3080088</v>
      </c>
      <c r="D73" s="1">
        <f>C73/$B$108</f>
        <v>0.12142789925761971</v>
      </c>
      <c r="L73" s="89"/>
    </row>
    <row r="74" spans="1:12" x14ac:dyDescent="0.25">
      <c r="A74" s="6" t="s">
        <v>94</v>
      </c>
      <c r="B74" s="7">
        <v>290624</v>
      </c>
      <c r="L74" s="88"/>
    </row>
    <row r="75" spans="1:12" x14ac:dyDescent="0.25">
      <c r="A75" s="8" t="s">
        <v>95</v>
      </c>
      <c r="B75" s="9">
        <v>285521</v>
      </c>
      <c r="L75" s="88"/>
    </row>
    <row r="76" spans="1:12" x14ac:dyDescent="0.25">
      <c r="A76" s="8" t="s">
        <v>96</v>
      </c>
      <c r="B76" s="9">
        <v>277305</v>
      </c>
      <c r="L76" s="88"/>
    </row>
    <row r="77" spans="1:12" x14ac:dyDescent="0.25">
      <c r="A77" s="8" t="s">
        <v>97</v>
      </c>
      <c r="B77" s="9">
        <v>272986</v>
      </c>
      <c r="L77" s="88"/>
    </row>
    <row r="78" spans="1:12" x14ac:dyDescent="0.25">
      <c r="A78" s="8" t="s">
        <v>98</v>
      </c>
      <c r="B78" s="9">
        <v>261893</v>
      </c>
      <c r="L78" s="88"/>
    </row>
    <row r="79" spans="1:12" x14ac:dyDescent="0.25">
      <c r="A79" s="10" t="s">
        <v>99</v>
      </c>
      <c r="B79" s="11">
        <v>1388329</v>
      </c>
      <c r="L79" s="89"/>
    </row>
    <row r="80" spans="1:12" x14ac:dyDescent="0.25">
      <c r="A80" s="8" t="s">
        <v>100</v>
      </c>
      <c r="B80" s="9">
        <v>254839</v>
      </c>
      <c r="L80" s="88"/>
    </row>
    <row r="81" spans="1:12" x14ac:dyDescent="0.25">
      <c r="A81" s="8" t="s">
        <v>101</v>
      </c>
      <c r="B81" s="9">
        <v>251416</v>
      </c>
      <c r="L81" s="88"/>
    </row>
    <row r="82" spans="1:12" x14ac:dyDescent="0.25">
      <c r="A82" s="8" t="s">
        <v>102</v>
      </c>
      <c r="B82" s="9">
        <v>243468</v>
      </c>
      <c r="L82" s="88"/>
    </row>
    <row r="83" spans="1:12" x14ac:dyDescent="0.25">
      <c r="A83" s="8" t="s">
        <v>103</v>
      </c>
      <c r="B83" s="9">
        <v>240724</v>
      </c>
      <c r="L83" s="88"/>
    </row>
    <row r="84" spans="1:12" x14ac:dyDescent="0.25">
      <c r="A84" s="8" t="s">
        <v>104</v>
      </c>
      <c r="B84" s="9">
        <v>234326</v>
      </c>
      <c r="L84" s="88"/>
    </row>
    <row r="85" spans="1:12" x14ac:dyDescent="0.25">
      <c r="A85" s="12" t="s">
        <v>105</v>
      </c>
      <c r="B85" s="13">
        <v>1224773</v>
      </c>
      <c r="C85" s="2">
        <f>SUM(B79,B85)</f>
        <v>2613102</v>
      </c>
      <c r="D85" s="1">
        <f>C85/$B$108</f>
        <v>0.10301766910746854</v>
      </c>
      <c r="L85" s="89"/>
    </row>
    <row r="86" spans="1:12" x14ac:dyDescent="0.25">
      <c r="A86" s="6" t="s">
        <v>106</v>
      </c>
      <c r="B86" s="7">
        <v>226082</v>
      </c>
      <c r="L86" s="88"/>
    </row>
    <row r="87" spans="1:12" x14ac:dyDescent="0.25">
      <c r="A87" s="8" t="s">
        <v>107</v>
      </c>
      <c r="B87" s="9">
        <v>226412</v>
      </c>
      <c r="L87" s="88"/>
    </row>
    <row r="88" spans="1:12" x14ac:dyDescent="0.25">
      <c r="A88" s="8" t="s">
        <v>108</v>
      </c>
      <c r="B88" s="9">
        <v>231019</v>
      </c>
      <c r="L88" s="88"/>
    </row>
    <row r="89" spans="1:12" x14ac:dyDescent="0.25">
      <c r="A89" s="8" t="s">
        <v>109</v>
      </c>
      <c r="B89" s="9">
        <v>192937</v>
      </c>
      <c r="L89" s="88"/>
    </row>
    <row r="90" spans="1:12" x14ac:dyDescent="0.25">
      <c r="A90" s="8" t="s">
        <v>110</v>
      </c>
      <c r="B90" s="9">
        <v>181454</v>
      </c>
      <c r="L90" s="88"/>
    </row>
    <row r="91" spans="1:12" x14ac:dyDescent="0.25">
      <c r="A91" s="10" t="s">
        <v>111</v>
      </c>
      <c r="B91" s="11">
        <v>1057904</v>
      </c>
      <c r="L91" s="89"/>
    </row>
    <row r="92" spans="1:12" x14ac:dyDescent="0.25">
      <c r="A92" s="8" t="s">
        <v>112</v>
      </c>
      <c r="B92" s="9">
        <v>171139</v>
      </c>
      <c r="L92" s="88"/>
    </row>
    <row r="93" spans="1:12" x14ac:dyDescent="0.25">
      <c r="A93" s="8" t="s">
        <v>113</v>
      </c>
      <c r="B93" s="9">
        <v>151876</v>
      </c>
      <c r="L93" s="88"/>
    </row>
    <row r="94" spans="1:12" x14ac:dyDescent="0.25">
      <c r="A94" s="8" t="s">
        <v>114</v>
      </c>
      <c r="B94" s="9">
        <v>148212</v>
      </c>
      <c r="L94" s="88"/>
    </row>
    <row r="95" spans="1:12" x14ac:dyDescent="0.25">
      <c r="A95" s="8" t="s">
        <v>115</v>
      </c>
      <c r="B95" s="9">
        <v>135541</v>
      </c>
      <c r="L95" s="88"/>
    </row>
    <row r="96" spans="1:12" x14ac:dyDescent="0.25">
      <c r="A96" s="8" t="s">
        <v>116</v>
      </c>
      <c r="B96" s="9">
        <v>127491</v>
      </c>
      <c r="L96" s="88"/>
    </row>
    <row r="97" spans="1:12" x14ac:dyDescent="0.25">
      <c r="A97" s="12" t="s">
        <v>117</v>
      </c>
      <c r="B97" s="13">
        <v>734259</v>
      </c>
      <c r="C97" s="2">
        <f>SUM(B91,B97)</f>
        <v>1792163</v>
      </c>
      <c r="D97" s="1">
        <f>C97/$B$108</f>
        <v>7.065336711718416E-2</v>
      </c>
      <c r="L97" s="89"/>
    </row>
    <row r="98" spans="1:12" x14ac:dyDescent="0.25">
      <c r="A98" s="6" t="s">
        <v>118</v>
      </c>
      <c r="B98" s="7">
        <v>118484</v>
      </c>
      <c r="L98" s="88"/>
    </row>
    <row r="99" spans="1:12" x14ac:dyDescent="0.25">
      <c r="A99" s="8" t="s">
        <v>119</v>
      </c>
      <c r="B99" s="9">
        <v>109564</v>
      </c>
      <c r="L99" s="88"/>
    </row>
    <row r="100" spans="1:12" x14ac:dyDescent="0.25">
      <c r="A100" s="8" t="s">
        <v>120</v>
      </c>
      <c r="B100" s="9">
        <v>101897</v>
      </c>
      <c r="L100" s="88"/>
    </row>
    <row r="101" spans="1:12" x14ac:dyDescent="0.25">
      <c r="A101" s="8" t="s">
        <v>121</v>
      </c>
      <c r="B101" s="9">
        <v>93053</v>
      </c>
      <c r="L101" s="88"/>
    </row>
    <row r="102" spans="1:12" x14ac:dyDescent="0.25">
      <c r="A102" s="8" t="s">
        <v>122</v>
      </c>
      <c r="B102" s="9">
        <v>82541</v>
      </c>
      <c r="L102" s="88"/>
    </row>
    <row r="103" spans="1:12" x14ac:dyDescent="0.25">
      <c r="A103" s="10" t="s">
        <v>123</v>
      </c>
      <c r="B103" s="11">
        <v>505539</v>
      </c>
      <c r="L103" s="89"/>
    </row>
    <row r="104" spans="1:12" x14ac:dyDescent="0.25">
      <c r="A104" s="10" t="s">
        <v>124</v>
      </c>
      <c r="B104" s="11">
        <v>313008</v>
      </c>
      <c r="L104" s="89"/>
    </row>
    <row r="105" spans="1:12" x14ac:dyDescent="0.25">
      <c r="A105" s="10" t="s">
        <v>125</v>
      </c>
      <c r="B105" s="11">
        <v>153468</v>
      </c>
      <c r="L105" s="89"/>
    </row>
    <row r="106" spans="1:12" x14ac:dyDescent="0.25">
      <c r="A106" s="10" t="s">
        <v>126</v>
      </c>
      <c r="B106" s="11">
        <v>44201</v>
      </c>
      <c r="L106" s="89"/>
    </row>
    <row r="107" spans="1:12" x14ac:dyDescent="0.25">
      <c r="A107" s="12" t="s">
        <v>127</v>
      </c>
      <c r="B107" s="13">
        <v>5027</v>
      </c>
      <c r="C107" s="2">
        <f>SUM(B103:B107)</f>
        <v>1021243</v>
      </c>
      <c r="D107" s="1">
        <f>C107/$B$108</f>
        <v>4.0260989985204748E-2</v>
      </c>
      <c r="L107" s="89"/>
    </row>
    <row r="108" spans="1:12" x14ac:dyDescent="0.25">
      <c r="A108" s="4" t="s">
        <v>128</v>
      </c>
      <c r="B108" s="5">
        <v>25365571</v>
      </c>
      <c r="L108" s="9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3:C14"/>
  <sheetViews>
    <sheetView workbookViewId="0">
      <selection activeCell="H26" sqref="H26"/>
    </sheetView>
  </sheetViews>
  <sheetFormatPr defaultRowHeight="15" x14ac:dyDescent="0.25"/>
  <sheetData>
    <row r="3" spans="1:3" x14ac:dyDescent="0.25">
      <c r="A3" t="s">
        <v>136</v>
      </c>
      <c r="B3" t="s">
        <v>137</v>
      </c>
      <c r="C3" t="s">
        <v>138</v>
      </c>
    </row>
    <row r="4" spans="1:3" x14ac:dyDescent="0.25">
      <c r="A4" s="53" t="s">
        <v>13</v>
      </c>
      <c r="B4">
        <v>168</v>
      </c>
      <c r="C4" s="3">
        <f t="shared" ref="C4:C12" si="0">B4/$B$14</f>
        <v>2.8856063208519408E-2</v>
      </c>
    </row>
    <row r="5" spans="1:3" x14ac:dyDescent="0.25">
      <c r="A5" s="53" t="s">
        <v>14</v>
      </c>
      <c r="B5">
        <v>623</v>
      </c>
      <c r="C5" s="3">
        <f t="shared" si="0"/>
        <v>0.10700790106492614</v>
      </c>
    </row>
    <row r="6" spans="1:3" x14ac:dyDescent="0.25">
      <c r="A6" s="53" t="s">
        <v>15</v>
      </c>
      <c r="B6">
        <v>980</v>
      </c>
      <c r="C6" s="3">
        <f t="shared" si="0"/>
        <v>0.1683270353830299</v>
      </c>
    </row>
    <row r="7" spans="1:3" x14ac:dyDescent="0.25">
      <c r="A7" s="53" t="s">
        <v>16</v>
      </c>
      <c r="B7">
        <v>904</v>
      </c>
      <c r="C7" s="3">
        <f t="shared" si="0"/>
        <v>0.15527310202679492</v>
      </c>
    </row>
    <row r="8" spans="1:3" x14ac:dyDescent="0.25">
      <c r="A8" s="53" t="s">
        <v>17</v>
      </c>
      <c r="B8">
        <v>750</v>
      </c>
      <c r="C8" s="3">
        <f t="shared" si="0"/>
        <v>0.1288217107523188</v>
      </c>
    </row>
    <row r="9" spans="1:3" x14ac:dyDescent="0.25">
      <c r="A9" s="53" t="s">
        <v>18</v>
      </c>
      <c r="B9">
        <v>920</v>
      </c>
      <c r="C9" s="3">
        <f t="shared" si="0"/>
        <v>0.15802129852284438</v>
      </c>
    </row>
    <row r="10" spans="1:3" x14ac:dyDescent="0.25">
      <c r="A10" s="53" t="s">
        <v>19</v>
      </c>
      <c r="B10">
        <v>1253</v>
      </c>
      <c r="C10" s="3">
        <f t="shared" si="0"/>
        <v>0.21521813809687393</v>
      </c>
    </row>
    <row r="11" spans="1:3" ht="15.75" customHeight="1" x14ac:dyDescent="0.25">
      <c r="A11" s="54" t="s">
        <v>20</v>
      </c>
      <c r="B11">
        <v>167</v>
      </c>
      <c r="C11" s="3">
        <f t="shared" si="0"/>
        <v>2.8684300927516317E-2</v>
      </c>
    </row>
    <row r="12" spans="1:3" x14ac:dyDescent="0.25">
      <c r="A12" s="54" t="s">
        <v>21</v>
      </c>
      <c r="B12">
        <v>57</v>
      </c>
      <c r="C12" s="3">
        <f t="shared" si="0"/>
        <v>9.7904500171762283E-3</v>
      </c>
    </row>
    <row r="14" spans="1:3" x14ac:dyDescent="0.25">
      <c r="A14" t="s">
        <v>139</v>
      </c>
      <c r="B14">
        <f>SUM(B4:B12)</f>
        <v>5822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ABS Population by Age Range</vt:lpstr>
      <vt:lpstr>AU 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2020-04-13T06:19:32Z</dcterms:modified>
</cp:coreProperties>
</file>