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51F8C5C1-8254-4D93-BB0B-3D3BDF5D972A}"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21" i="1" l="1"/>
  <c r="AI21" i="1"/>
  <c r="AJ21" i="1"/>
  <c r="AK21" i="1"/>
  <c r="AG21" i="1"/>
  <c r="AF21" i="1"/>
  <c r="Q21" i="1"/>
  <c r="R21" i="1"/>
  <c r="S21" i="1"/>
  <c r="T21" i="1"/>
  <c r="U21" i="1"/>
  <c r="V21" i="1"/>
  <c r="W21" i="1"/>
  <c r="X21" i="1"/>
  <c r="Y21" i="1"/>
  <c r="Z21" i="1"/>
  <c r="AA21" i="1"/>
  <c r="AB21" i="1"/>
  <c r="AC21" i="1"/>
  <c r="AD21" i="1"/>
  <c r="AE21" i="1"/>
  <c r="P21" i="1"/>
  <c r="N21" i="1"/>
  <c r="O21" i="1"/>
  <c r="M21" i="1"/>
  <c r="L21" i="1"/>
  <c r="R20" i="1"/>
  <c r="P20" i="1"/>
  <c r="AK20" i="1"/>
  <c r="AJ27" i="1"/>
  <c r="AJ18" i="1"/>
  <c r="M45" i="1"/>
  <c r="N45" i="1"/>
  <c r="O45" i="1"/>
  <c r="P45" i="1"/>
  <c r="Q45" i="1"/>
  <c r="R45" i="1"/>
  <c r="S45" i="1"/>
  <c r="T45" i="1"/>
  <c r="U45" i="1"/>
  <c r="V45" i="1"/>
  <c r="W45" i="1"/>
  <c r="X45" i="1"/>
  <c r="Y45" i="1"/>
  <c r="Z45" i="1"/>
  <c r="L45" i="1"/>
  <c r="AE17" i="1"/>
  <c r="X33" i="1"/>
  <c r="Y33" i="1"/>
  <c r="Z33" i="1"/>
  <c r="M28" i="1"/>
  <c r="N28" i="1"/>
  <c r="O28" i="1"/>
  <c r="P30" i="1"/>
  <c r="Q30" i="1"/>
  <c r="R30" i="1"/>
  <c r="S30" i="1"/>
  <c r="P25" i="1"/>
  <c r="Q25" i="1"/>
  <c r="R25" i="1"/>
  <c r="S25" i="1"/>
  <c r="P27" i="1"/>
  <c r="Q27" i="1"/>
  <c r="R27" i="1"/>
  <c r="S27" i="1"/>
  <c r="AA42" i="1"/>
  <c r="AA43" i="1" s="1"/>
  <c r="E34" i="4" l="1"/>
  <c r="C45" i="4"/>
  <c r="AL42" i="1"/>
  <c r="AK42" i="1"/>
  <c r="AL22" i="1" l="1"/>
  <c r="AL19" i="1"/>
  <c r="AL18" i="1" s="1"/>
  <c r="AL26" i="1" s="1"/>
  <c r="AI22" i="1"/>
  <c r="AJ22" i="1"/>
  <c r="AH22" i="1"/>
  <c r="AL24" i="1" l="1"/>
  <c r="AL23" i="1"/>
  <c r="C5" i="5"/>
  <c r="C4" i="5"/>
  <c r="B66" i="1"/>
  <c r="B62" i="1"/>
  <c r="B64" i="1"/>
  <c r="B60" i="1"/>
  <c r="B58" i="1"/>
  <c r="B56" i="1"/>
  <c r="B54" i="1"/>
  <c r="B52" i="1"/>
  <c r="B50"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M17" i="1"/>
  <c r="L41" i="1"/>
  <c r="N17" i="1" l="1"/>
  <c r="M43" i="1"/>
  <c r="O17" i="1" l="1"/>
  <c r="M41" i="1"/>
  <c r="L43" i="1"/>
  <c r="L40" i="1"/>
  <c r="P17" i="1" l="1"/>
  <c r="P31" i="1" s="1"/>
  <c r="O29" i="1"/>
  <c r="N29" i="1"/>
  <c r="N41" i="1"/>
  <c r="L28" i="1"/>
  <c r="L29" i="1" s="1"/>
  <c r="L30" i="1"/>
  <c r="L31" i="1" s="1"/>
  <c r="AB42" i="1"/>
  <c r="AC42" i="1" s="1"/>
  <c r="AD42" i="1" s="1"/>
  <c r="AE42" i="1" s="1"/>
  <c r="AF42" i="1" s="1"/>
  <c r="AG42" i="1" s="1"/>
  <c r="AH42" i="1" s="1"/>
  <c r="AI42" i="1" s="1"/>
  <c r="AJ42" i="1" s="1"/>
  <c r="Q17" i="1" l="1"/>
  <c r="O41" i="1"/>
  <c r="L26" i="1"/>
  <c r="L27" i="1" s="1"/>
  <c r="L22" i="1"/>
  <c r="L24" i="1" s="1"/>
  <c r="L25" i="1" s="1"/>
  <c r="C12" i="5"/>
  <c r="C7" i="5"/>
  <c r="C8" i="5" s="1"/>
  <c r="C9" i="5" s="1"/>
  <c r="C21" i="5"/>
  <c r="C18" i="5"/>
  <c r="C15" i="5"/>
  <c r="C24" i="5"/>
  <c r="C3" i="5"/>
  <c r="R17" i="1" l="1"/>
  <c r="Q31" i="1"/>
  <c r="C30" i="5"/>
  <c r="L23" i="1"/>
  <c r="P41" i="1"/>
  <c r="L20" i="1"/>
  <c r="C34" i="5"/>
  <c r="S17" i="1" l="1"/>
  <c r="R31" i="1"/>
  <c r="Q41" i="1"/>
  <c r="C13" i="5"/>
  <c r="C14" i="5" s="1"/>
  <c r="AK18" i="1"/>
  <c r="L36" i="1"/>
  <c r="L34" i="1"/>
  <c r="L37" i="1"/>
  <c r="L35" i="1"/>
  <c r="T17" i="1" l="1"/>
  <c r="S31" i="1"/>
  <c r="AK75" i="1"/>
  <c r="AK76" i="1" s="1"/>
  <c r="AK73" i="1"/>
  <c r="AK79" i="1"/>
  <c r="AK80" i="1" s="1"/>
  <c r="AK83" i="1"/>
  <c r="AK77" i="1"/>
  <c r="AK78" i="1" s="1"/>
  <c r="AK81" i="1"/>
  <c r="AK82" i="1" s="1"/>
  <c r="R41" i="1"/>
  <c r="AK19" i="1"/>
  <c r="AL32" i="1"/>
  <c r="AL30" i="1"/>
  <c r="AL28" i="1"/>
  <c r="AK26" i="1"/>
  <c r="AK22" i="1"/>
  <c r="AK24" i="1" s="1"/>
  <c r="C22" i="5"/>
  <c r="C23" i="5" s="1"/>
  <c r="C35" i="5"/>
  <c r="C40" i="5" s="1"/>
  <c r="C25" i="5"/>
  <c r="C19" i="5"/>
  <c r="C20" i="5" s="1"/>
  <c r="C16" i="5"/>
  <c r="C17" i="5" s="1"/>
  <c r="C31" i="5"/>
  <c r="AP25" i="4"/>
  <c r="E31" i="4"/>
  <c r="B17" i="4" s="1"/>
  <c r="K20" i="4" l="1"/>
  <c r="B18" i="4"/>
  <c r="B19" i="4" s="1"/>
  <c r="U17" i="1"/>
  <c r="AK74" i="1"/>
  <c r="AK86" i="1" s="1"/>
  <c r="AK85"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V17" i="1"/>
  <c r="E18" i="4"/>
  <c r="K21" i="4" s="1"/>
  <c r="N20" i="4"/>
  <c r="H17" i="4"/>
  <c r="L73" i="1"/>
  <c r="L74" i="1" s="1"/>
  <c r="W17" i="1" l="1"/>
  <c r="E19" i="4"/>
  <c r="Q20" i="4"/>
  <c r="H18" i="4"/>
  <c r="N22" i="4" s="1"/>
  <c r="K17" i="4"/>
  <c r="Y24" i="4"/>
  <c r="B14" i="3"/>
  <c r="X17" i="1" l="1"/>
  <c r="H19" i="4"/>
  <c r="T20" i="4"/>
  <c r="K18" i="4"/>
  <c r="K19" i="4" s="1"/>
  <c r="N21" i="4"/>
  <c r="AB24" i="4" s="1"/>
  <c r="N17" i="4"/>
  <c r="Y17" i="1" l="1"/>
  <c r="Q17" i="4"/>
  <c r="T17" i="4" s="1"/>
  <c r="W20" i="4"/>
  <c r="N18" i="4"/>
  <c r="N19" i="4" s="1"/>
  <c r="Q21" i="4"/>
  <c r="AE24" i="4" s="1"/>
  <c r="Q22" i="4"/>
  <c r="Z17" i="1" l="1"/>
  <c r="T18" i="4"/>
  <c r="T19" i="4" s="1"/>
  <c r="AC20" i="4"/>
  <c r="Z20" i="4"/>
  <c r="Q18" i="4"/>
  <c r="Q19" i="4" s="1"/>
  <c r="T21" i="4"/>
  <c r="AH24" i="4" s="1"/>
  <c r="T22" i="4"/>
  <c r="T23" i="4"/>
  <c r="W17" i="4"/>
  <c r="W21" i="4" l="1"/>
  <c r="AK24" i="4" s="1"/>
  <c r="W23" i="4"/>
  <c r="AA17" i="1"/>
  <c r="W18" i="4"/>
  <c r="W19" i="4" s="1"/>
  <c r="AF20" i="4"/>
  <c r="W22" i="4"/>
  <c r="Z21" i="4"/>
  <c r="AN24" i="4" s="1"/>
  <c r="Z23" i="4"/>
  <c r="Z22" i="4"/>
  <c r="Z17" i="4"/>
  <c r="C83" i="1"/>
  <c r="C81" i="1"/>
  <c r="C79" i="1"/>
  <c r="C77" i="1"/>
  <c r="C75" i="1"/>
  <c r="C73" i="1"/>
  <c r="L32" i="1"/>
  <c r="C5" i="3"/>
  <c r="D52" i="1" s="1"/>
  <c r="AB17" i="1" l="1"/>
  <c r="Z18" i="4"/>
  <c r="Z19" i="4" s="1"/>
  <c r="AI20" i="4"/>
  <c r="AK52" i="1"/>
  <c r="AK53" i="1"/>
  <c r="AC21" i="4"/>
  <c r="AC22" i="4"/>
  <c r="AC23" i="4"/>
  <c r="AC17" i="4"/>
  <c r="AK32" i="1"/>
  <c r="C7" i="3"/>
  <c r="D56" i="1" s="1"/>
  <c r="C4" i="3"/>
  <c r="D50" i="1" s="1"/>
  <c r="C12" i="3"/>
  <c r="D66" i="1" s="1"/>
  <c r="C11" i="3"/>
  <c r="D64" i="1" s="1"/>
  <c r="C10" i="3"/>
  <c r="D62" i="1" s="1"/>
  <c r="C9" i="3"/>
  <c r="D60" i="1" s="1"/>
  <c r="C8" i="3"/>
  <c r="D58" i="1" s="1"/>
  <c r="C6" i="3"/>
  <c r="D54" i="1" s="1"/>
  <c r="C8" i="1"/>
  <c r="C10" i="5" s="1"/>
  <c r="C26" i="5" s="1"/>
  <c r="C27" i="5" s="1"/>
  <c r="C9" i="1"/>
  <c r="C11" i="5" s="1"/>
  <c r="C28" i="5" s="1"/>
  <c r="C29" i="5" s="1"/>
  <c r="L53" i="1"/>
  <c r="L83" i="1"/>
  <c r="L81" i="1"/>
  <c r="L79" i="1"/>
  <c r="L80" i="1" s="1"/>
  <c r="L77" i="1"/>
  <c r="L78" i="1" s="1"/>
  <c r="L75" i="1"/>
  <c r="L76" i="1" s="1"/>
  <c r="C52" i="1"/>
  <c r="C54" i="1"/>
  <c r="C56" i="1"/>
  <c r="C58" i="1"/>
  <c r="C60" i="1"/>
  <c r="C62" i="1"/>
  <c r="C64" i="1"/>
  <c r="C66" i="1"/>
  <c r="C50" i="1"/>
  <c r="L19" i="1"/>
  <c r="M18" i="1"/>
  <c r="AC17" i="1" l="1"/>
  <c r="AK50" i="1"/>
  <c r="AK51" i="1"/>
  <c r="AL20" i="4"/>
  <c r="AC18" i="4"/>
  <c r="AK62" i="1"/>
  <c r="AK63" i="1"/>
  <c r="AK55" i="1"/>
  <c r="AK54" i="1"/>
  <c r="AK58" i="1"/>
  <c r="AK59" i="1"/>
  <c r="AK65" i="1"/>
  <c r="AK64" i="1"/>
  <c r="AK57" i="1"/>
  <c r="AK56" i="1"/>
  <c r="AK61" i="1"/>
  <c r="AK60" i="1"/>
  <c r="L67" i="1"/>
  <c r="AK67" i="1"/>
  <c r="AK66" i="1"/>
  <c r="M30" i="1"/>
  <c r="M31" i="1" s="1"/>
  <c r="M26" i="1"/>
  <c r="M27" i="1" s="1"/>
  <c r="M34" i="1"/>
  <c r="M37" i="1"/>
  <c r="M40" i="1"/>
  <c r="M35" i="1"/>
  <c r="M36" i="1"/>
  <c r="M22" i="1"/>
  <c r="AF22" i="4"/>
  <c r="AF23" i="4"/>
  <c r="AF21" i="4"/>
  <c r="AF17" i="4"/>
  <c r="AC19" i="4"/>
  <c r="L51" i="1"/>
  <c r="L50" i="1"/>
  <c r="L59" i="1"/>
  <c r="L58" i="1"/>
  <c r="L62" i="1"/>
  <c r="L61" i="1"/>
  <c r="L64" i="1"/>
  <c r="L54" i="1"/>
  <c r="N18" i="1"/>
  <c r="N26" i="1" s="1"/>
  <c r="N27" i="1" s="1"/>
  <c r="M77" i="1"/>
  <c r="M78" i="1" s="1"/>
  <c r="L55" i="1"/>
  <c r="M66" i="1"/>
  <c r="M75" i="1"/>
  <c r="M76" i="1" s="1"/>
  <c r="L63" i="1"/>
  <c r="M64" i="1"/>
  <c r="M83" i="1"/>
  <c r="L52" i="1"/>
  <c r="L60" i="1"/>
  <c r="M81" i="1"/>
  <c r="M82" i="1" s="1"/>
  <c r="M79" i="1"/>
  <c r="M80" i="1" s="1"/>
  <c r="M62" i="1"/>
  <c r="M55" i="1"/>
  <c r="M59" i="1"/>
  <c r="M63" i="1"/>
  <c r="M67" i="1"/>
  <c r="L85" i="1"/>
  <c r="M73" i="1"/>
  <c r="M74" i="1" s="1"/>
  <c r="L56" i="1"/>
  <c r="M52" i="1"/>
  <c r="L57" i="1"/>
  <c r="L65" i="1"/>
  <c r="M56" i="1"/>
  <c r="M53" i="1"/>
  <c r="M60" i="1"/>
  <c r="L66" i="1"/>
  <c r="M50" i="1"/>
  <c r="M57" i="1"/>
  <c r="M61" i="1"/>
  <c r="M65" i="1"/>
  <c r="M54" i="1"/>
  <c r="M51" i="1"/>
  <c r="M58" i="1"/>
  <c r="L82" i="1"/>
  <c r="L86" i="1" s="1"/>
  <c r="M19" i="1"/>
  <c r="M32" i="1"/>
  <c r="AD17" i="1" l="1"/>
  <c r="AO20" i="4"/>
  <c r="AF18" i="4"/>
  <c r="AF19" i="4" s="1"/>
  <c r="AK69" i="1"/>
  <c r="AK68" i="1"/>
  <c r="M29" i="1"/>
  <c r="M20" i="1" s="1"/>
  <c r="N75" i="1"/>
  <c r="N76" i="1" s="1"/>
  <c r="N56" i="1"/>
  <c r="N30" i="1"/>
  <c r="N31" i="1" s="1"/>
  <c r="N81" i="1"/>
  <c r="N82" i="1" s="1"/>
  <c r="N52" i="1"/>
  <c r="N51" i="1"/>
  <c r="N73" i="1"/>
  <c r="N74" i="1" s="1"/>
  <c r="N53" i="1"/>
  <c r="N19" i="1"/>
  <c r="M23" i="1"/>
  <c r="M24" i="1"/>
  <c r="M25" i="1" s="1"/>
  <c r="N43" i="1"/>
  <c r="O18" i="1"/>
  <c r="O26" i="1" s="1"/>
  <c r="O27" i="1" s="1"/>
  <c r="N22" i="1"/>
  <c r="N32" i="1"/>
  <c r="N66" i="1"/>
  <c r="N65" i="1"/>
  <c r="N77" i="1"/>
  <c r="N78" i="1" s="1"/>
  <c r="N61" i="1"/>
  <c r="N60" i="1"/>
  <c r="N36" i="1"/>
  <c r="N34" i="1"/>
  <c r="N37" i="1"/>
  <c r="N40" i="1"/>
  <c r="N35" i="1"/>
  <c r="AI23" i="4"/>
  <c r="AI21" i="4"/>
  <c r="AI22" i="4"/>
  <c r="AI17" i="4"/>
  <c r="AI18" i="4" s="1"/>
  <c r="L69" i="1"/>
  <c r="M69" i="1"/>
  <c r="N63" i="1"/>
  <c r="N62" i="1"/>
  <c r="N58" i="1"/>
  <c r="N55" i="1"/>
  <c r="N57" i="1"/>
  <c r="N50" i="1"/>
  <c r="N59" i="1"/>
  <c r="N64" i="1"/>
  <c r="N83" i="1"/>
  <c r="N54" i="1"/>
  <c r="N79" i="1"/>
  <c r="N80" i="1" s="1"/>
  <c r="N67" i="1"/>
  <c r="O67" i="1"/>
  <c r="M85" i="1"/>
  <c r="L68" i="1"/>
  <c r="M68" i="1"/>
  <c r="M86" i="1"/>
  <c r="O57" i="1" l="1"/>
  <c r="O55" i="1"/>
  <c r="O53" i="1"/>
  <c r="O75" i="1"/>
  <c r="O76" i="1" s="1"/>
  <c r="O63" i="1"/>
  <c r="O62" i="1"/>
  <c r="O54" i="1"/>
  <c r="O65" i="1"/>
  <c r="O60" i="1"/>
  <c r="O83" i="1"/>
  <c r="O50" i="1"/>
  <c r="O30" i="1"/>
  <c r="O31" i="1" s="1"/>
  <c r="O61" i="1"/>
  <c r="O59" i="1"/>
  <c r="O52" i="1"/>
  <c r="O73" i="1"/>
  <c r="O74" i="1" s="1"/>
  <c r="O56" i="1"/>
  <c r="P18" i="1"/>
  <c r="P62" i="1" s="1"/>
  <c r="O66" i="1"/>
  <c r="O64" i="1"/>
  <c r="O32" i="1"/>
  <c r="O77" i="1"/>
  <c r="O78" i="1" s="1"/>
  <c r="N86" i="1"/>
  <c r="O51" i="1"/>
  <c r="O79" i="1"/>
  <c r="O80" i="1" s="1"/>
  <c r="O81" i="1"/>
  <c r="O82" i="1" s="1"/>
  <c r="O19" i="1"/>
  <c r="O58" i="1"/>
  <c r="O43" i="1"/>
  <c r="N23" i="1"/>
  <c r="N24" i="1"/>
  <c r="N25" i="1" s="1"/>
  <c r="O35" i="1"/>
  <c r="O36" i="1"/>
  <c r="O37" i="1"/>
  <c r="O40" i="1"/>
  <c r="O34" i="1"/>
  <c r="N85" i="1"/>
  <c r="O22" i="1"/>
  <c r="AL22" i="4"/>
  <c r="AL21" i="4"/>
  <c r="AL23" i="4"/>
  <c r="AL17" i="4"/>
  <c r="AL18" i="4" s="1"/>
  <c r="AI19" i="4"/>
  <c r="N68" i="1"/>
  <c r="N69" i="1"/>
  <c r="AF17" i="1" l="1"/>
  <c r="P66" i="1"/>
  <c r="P63" i="1"/>
  <c r="P75" i="1"/>
  <c r="P76" i="1" s="1"/>
  <c r="P60" i="1"/>
  <c r="P61" i="1"/>
  <c r="P52" i="1"/>
  <c r="P58" i="1"/>
  <c r="P73" i="1"/>
  <c r="P74" i="1" s="1"/>
  <c r="O69" i="1"/>
  <c r="P59" i="1"/>
  <c r="P51" i="1"/>
  <c r="P81" i="1"/>
  <c r="P82" i="1" s="1"/>
  <c r="P65" i="1"/>
  <c r="P57" i="1"/>
  <c r="P64" i="1"/>
  <c r="P79" i="1"/>
  <c r="P80" i="1" s="1"/>
  <c r="O86" i="1"/>
  <c r="P26" i="1"/>
  <c r="P19" i="1"/>
  <c r="P53" i="1"/>
  <c r="P54" i="1"/>
  <c r="P77" i="1"/>
  <c r="P78" i="1" s="1"/>
  <c r="P22" i="1"/>
  <c r="P24" i="1" s="1"/>
  <c r="P32" i="1"/>
  <c r="P56" i="1"/>
  <c r="Q18" i="1"/>
  <c r="Q63" i="1" s="1"/>
  <c r="P67" i="1"/>
  <c r="O68" i="1"/>
  <c r="P55" i="1"/>
  <c r="P83" i="1"/>
  <c r="O85" i="1"/>
  <c r="P50" i="1"/>
  <c r="P43" i="1"/>
  <c r="O23" i="1"/>
  <c r="O24" i="1"/>
  <c r="O25" i="1" s="1"/>
  <c r="P35" i="1"/>
  <c r="P40" i="1"/>
  <c r="P36" i="1"/>
  <c r="P37" i="1"/>
  <c r="P34" i="1"/>
  <c r="AO21" i="4"/>
  <c r="AO22" i="4"/>
  <c r="AO23" i="4"/>
  <c r="AO17" i="4"/>
  <c r="AO18" i="4" s="1"/>
  <c r="AO19" i="4" s="1"/>
  <c r="AL19" i="4"/>
  <c r="Q60" i="1"/>
  <c r="Q50" i="1"/>
  <c r="AG17" i="1" l="1"/>
  <c r="AF40" i="1"/>
  <c r="AF41" i="1"/>
  <c r="AF43" i="1"/>
  <c r="Q53" i="1"/>
  <c r="P68" i="1"/>
  <c r="P86" i="1"/>
  <c r="Q66" i="1"/>
  <c r="Q32" i="1"/>
  <c r="R18" i="1"/>
  <c r="R64" i="1" s="1"/>
  <c r="Q55" i="1"/>
  <c r="Q81" i="1"/>
  <c r="Q82" i="1" s="1"/>
  <c r="Q61" i="1"/>
  <c r="Q62" i="1"/>
  <c r="P85" i="1"/>
  <c r="Q58" i="1"/>
  <c r="P69" i="1"/>
  <c r="Q19" i="1"/>
  <c r="Q56" i="1"/>
  <c r="Q79" i="1"/>
  <c r="Q80" i="1" s="1"/>
  <c r="Q26" i="1"/>
  <c r="Q75" i="1"/>
  <c r="Q76" i="1" s="1"/>
  <c r="Q57" i="1"/>
  <c r="Q22" i="1"/>
  <c r="Q23" i="1" s="1"/>
  <c r="Q65" i="1"/>
  <c r="Q64" i="1"/>
  <c r="Q59" i="1"/>
  <c r="Q77" i="1"/>
  <c r="Q78" i="1" s="1"/>
  <c r="Q52" i="1"/>
  <c r="Q73" i="1"/>
  <c r="Q74" i="1" s="1"/>
  <c r="Q83" i="1"/>
  <c r="Q54" i="1"/>
  <c r="P23" i="1"/>
  <c r="Q51" i="1"/>
  <c r="Q67" i="1"/>
  <c r="R22" i="1"/>
  <c r="Q43" i="1"/>
  <c r="Q35" i="1"/>
  <c r="Q36" i="1"/>
  <c r="Q34" i="1"/>
  <c r="Q37" i="1"/>
  <c r="Q40" i="1"/>
  <c r="R26" i="1" l="1"/>
  <c r="AH17" i="1"/>
  <c r="AG43" i="1"/>
  <c r="AG41" i="1"/>
  <c r="AG40" i="1"/>
  <c r="R32" i="1"/>
  <c r="R61" i="1"/>
  <c r="R73" i="1"/>
  <c r="R83" i="1"/>
  <c r="R58" i="1"/>
  <c r="R59" i="1"/>
  <c r="R51" i="1"/>
  <c r="R65" i="1"/>
  <c r="R52" i="1"/>
  <c r="R50" i="1"/>
  <c r="R55" i="1"/>
  <c r="R62" i="1"/>
  <c r="R63" i="1"/>
  <c r="R19" i="1"/>
  <c r="R75" i="1"/>
  <c r="R76" i="1" s="1"/>
  <c r="R60" i="1"/>
  <c r="R53" i="1"/>
  <c r="R79" i="1"/>
  <c r="R80" i="1" s="1"/>
  <c r="R77" i="1"/>
  <c r="R78" i="1" s="1"/>
  <c r="R57" i="1"/>
  <c r="R56" i="1"/>
  <c r="S18" i="1"/>
  <c r="S60" i="1" s="1"/>
  <c r="R67" i="1"/>
  <c r="R66" i="1"/>
  <c r="R81" i="1"/>
  <c r="R82" i="1" s="1"/>
  <c r="R54" i="1"/>
  <c r="Q86" i="1"/>
  <c r="Q69" i="1"/>
  <c r="Q85" i="1"/>
  <c r="Q68" i="1"/>
  <c r="Q24" i="1"/>
  <c r="R43" i="1"/>
  <c r="R23" i="1"/>
  <c r="R24" i="1"/>
  <c r="R35" i="1"/>
  <c r="R36" i="1"/>
  <c r="R37" i="1"/>
  <c r="R34" i="1"/>
  <c r="R40" i="1"/>
  <c r="R74" i="1"/>
  <c r="AI17" i="1" l="1"/>
  <c r="AH40" i="1"/>
  <c r="AH43" i="1"/>
  <c r="AH41" i="1"/>
  <c r="S63" i="1"/>
  <c r="S75" i="1"/>
  <c r="S76" i="1" s="1"/>
  <c r="S50" i="1"/>
  <c r="S73" i="1"/>
  <c r="S74" i="1" s="1"/>
  <c r="S32" i="1"/>
  <c r="S61" i="1"/>
  <c r="S66" i="1"/>
  <c r="S83" i="1"/>
  <c r="S55" i="1"/>
  <c r="T18" i="1"/>
  <c r="T26" i="1" s="1"/>
  <c r="S62" i="1"/>
  <c r="S67" i="1"/>
  <c r="S51" i="1"/>
  <c r="R68" i="1"/>
  <c r="S57" i="1"/>
  <c r="R69" i="1"/>
  <c r="R85" i="1"/>
  <c r="S53" i="1"/>
  <c r="S64" i="1"/>
  <c r="S59" i="1"/>
  <c r="S58" i="1"/>
  <c r="S77" i="1"/>
  <c r="S78" i="1" s="1"/>
  <c r="R86" i="1"/>
  <c r="S22" i="1"/>
  <c r="S23" i="1" s="1"/>
  <c r="S79" i="1"/>
  <c r="S80" i="1" s="1"/>
  <c r="S26" i="1"/>
  <c r="S19" i="1"/>
  <c r="S52" i="1"/>
  <c r="S54" i="1"/>
  <c r="S65" i="1"/>
  <c r="S81" i="1"/>
  <c r="S82" i="1" s="1"/>
  <c r="S56" i="1"/>
  <c r="T43" i="1"/>
  <c r="S43" i="1"/>
  <c r="S41" i="1"/>
  <c r="S40" i="1"/>
  <c r="S35" i="1"/>
  <c r="S37" i="1"/>
  <c r="S36" i="1"/>
  <c r="S34" i="1"/>
  <c r="AJ17" i="1" l="1"/>
  <c r="AI43" i="1"/>
  <c r="AI40" i="1"/>
  <c r="AI41" i="1"/>
  <c r="T63" i="1"/>
  <c r="T66" i="1"/>
  <c r="T67" i="1"/>
  <c r="T19" i="1"/>
  <c r="T81" i="1"/>
  <c r="T82" i="1" s="1"/>
  <c r="T79" i="1"/>
  <c r="T80" i="1" s="1"/>
  <c r="T77" i="1"/>
  <c r="T78" i="1" s="1"/>
  <c r="T58" i="1"/>
  <c r="T75" i="1"/>
  <c r="T76" i="1" s="1"/>
  <c r="T61" i="1"/>
  <c r="T53" i="1"/>
  <c r="T51" i="1"/>
  <c r="T50" i="1"/>
  <c r="T59" i="1"/>
  <c r="T65" i="1"/>
  <c r="T32" i="1"/>
  <c r="T52" i="1"/>
  <c r="T60" i="1"/>
  <c r="T64" i="1"/>
  <c r="T73" i="1"/>
  <c r="T74" i="1" s="1"/>
  <c r="T57" i="1"/>
  <c r="T62" i="1"/>
  <c r="T56" i="1"/>
  <c r="T55" i="1"/>
  <c r="U18" i="1"/>
  <c r="U32" i="1" s="1"/>
  <c r="T54" i="1"/>
  <c r="T83" i="1"/>
  <c r="T22" i="1"/>
  <c r="T23" i="1" s="1"/>
  <c r="S69" i="1"/>
  <c r="S24" i="1"/>
  <c r="S68" i="1"/>
  <c r="S85" i="1"/>
  <c r="S86" i="1"/>
  <c r="T40" i="1"/>
  <c r="T41" i="1"/>
  <c r="U22" i="1"/>
  <c r="T35" i="1"/>
  <c r="T37" i="1"/>
  <c r="T34" i="1"/>
  <c r="T36" i="1"/>
  <c r="U83" i="1"/>
  <c r="U79" i="1"/>
  <c r="U80" i="1" s="1"/>
  <c r="U56" i="1"/>
  <c r="U19" i="1" l="1"/>
  <c r="AK17" i="1"/>
  <c r="AJ40" i="1"/>
  <c r="AJ43" i="1"/>
  <c r="AJ41" i="1"/>
  <c r="T86" i="1"/>
  <c r="T85" i="1"/>
  <c r="T69" i="1"/>
  <c r="T68" i="1"/>
  <c r="U53" i="1"/>
  <c r="U55" i="1"/>
  <c r="U63" i="1"/>
  <c r="U50" i="1"/>
  <c r="V18" i="1"/>
  <c r="V26" i="1" s="1"/>
  <c r="U64" i="1"/>
  <c r="U77" i="1"/>
  <c r="U78" i="1" s="1"/>
  <c r="U73" i="1"/>
  <c r="U74" i="1" s="1"/>
  <c r="U66" i="1"/>
  <c r="U75" i="1"/>
  <c r="U76" i="1" s="1"/>
  <c r="U61" i="1"/>
  <c r="U57" i="1"/>
  <c r="U62" i="1"/>
  <c r="U52" i="1"/>
  <c r="U26" i="1"/>
  <c r="U60" i="1"/>
  <c r="U58" i="1"/>
  <c r="U51" i="1"/>
  <c r="U67" i="1"/>
  <c r="U59" i="1"/>
  <c r="U81" i="1"/>
  <c r="U82" i="1" s="1"/>
  <c r="U65" i="1"/>
  <c r="U54" i="1"/>
  <c r="T24" i="1"/>
  <c r="U23" i="1"/>
  <c r="U24" i="1"/>
  <c r="U43" i="1"/>
  <c r="U41" i="1"/>
  <c r="U40" i="1"/>
  <c r="U36" i="1"/>
  <c r="U37" i="1"/>
  <c r="U34" i="1"/>
  <c r="U35" i="1"/>
  <c r="V55" i="1" l="1"/>
  <c r="V60" i="1"/>
  <c r="V58" i="1"/>
  <c r="V75" i="1"/>
  <c r="V76" i="1" s="1"/>
  <c r="V62" i="1"/>
  <c r="U68" i="1"/>
  <c r="V66" i="1"/>
  <c r="V73" i="1"/>
  <c r="V74" i="1" s="1"/>
  <c r="V52" i="1"/>
  <c r="V59" i="1"/>
  <c r="V32" i="1"/>
  <c r="V77" i="1"/>
  <c r="V78" i="1" s="1"/>
  <c r="V64" i="1"/>
  <c r="V61" i="1"/>
  <c r="V67" i="1"/>
  <c r="V53" i="1"/>
  <c r="V57" i="1"/>
  <c r="V79" i="1"/>
  <c r="V80" i="1" s="1"/>
  <c r="V65" i="1"/>
  <c r="W18" i="1"/>
  <c r="W19" i="1" s="1"/>
  <c r="V50" i="1"/>
  <c r="V22" i="1"/>
  <c r="V24" i="1" s="1"/>
  <c r="U69" i="1"/>
  <c r="V63" i="1"/>
  <c r="V56" i="1"/>
  <c r="V81" i="1"/>
  <c r="V82" i="1" s="1"/>
  <c r="V51" i="1"/>
  <c r="V54" i="1"/>
  <c r="V83" i="1"/>
  <c r="V19" i="1"/>
  <c r="U85" i="1"/>
  <c r="U86" i="1"/>
  <c r="V43" i="1"/>
  <c r="V41" i="1"/>
  <c r="V40" i="1"/>
  <c r="V23" i="1"/>
  <c r="V37" i="1"/>
  <c r="V34" i="1"/>
  <c r="V36" i="1"/>
  <c r="V35" i="1"/>
  <c r="W81" i="1"/>
  <c r="W82" i="1" s="1"/>
  <c r="W55" i="1"/>
  <c r="W62" i="1"/>
  <c r="W77" i="1"/>
  <c r="W78" i="1" s="1"/>
  <c r="W64" i="1"/>
  <c r="W83" i="1" l="1"/>
  <c r="W67" i="1"/>
  <c r="W57" i="1"/>
  <c r="W58" i="1"/>
  <c r="W56" i="1"/>
  <c r="W53" i="1"/>
  <c r="W66" i="1"/>
  <c r="W50" i="1"/>
  <c r="V85" i="1"/>
  <c r="V68" i="1"/>
  <c r="W60" i="1"/>
  <c r="W65" i="1"/>
  <c r="W32" i="1"/>
  <c r="W63" i="1"/>
  <c r="W26" i="1"/>
  <c r="W54" i="1"/>
  <c r="W52" i="1"/>
  <c r="X18" i="1"/>
  <c r="X26" i="1" s="1"/>
  <c r="W51" i="1"/>
  <c r="W22" i="1"/>
  <c r="W24" i="1" s="1"/>
  <c r="W61" i="1"/>
  <c r="W79" i="1"/>
  <c r="W80" i="1" s="1"/>
  <c r="W59" i="1"/>
  <c r="V69" i="1"/>
  <c r="V86" i="1"/>
  <c r="W75" i="1"/>
  <c r="W76" i="1" s="1"/>
  <c r="W73" i="1"/>
  <c r="W74" i="1" s="1"/>
  <c r="W41" i="1"/>
  <c r="W43" i="1"/>
  <c r="W34" i="1"/>
  <c r="W36" i="1"/>
  <c r="W40" i="1"/>
  <c r="W35" i="1"/>
  <c r="W37" i="1"/>
  <c r="X19" i="1"/>
  <c r="X22" i="1"/>
  <c r="X65" i="1"/>
  <c r="X62" i="1"/>
  <c r="X77" i="1"/>
  <c r="X78" i="1" s="1"/>
  <c r="X83" i="1"/>
  <c r="X60" i="1"/>
  <c r="X54" i="1"/>
  <c r="X57" i="1"/>
  <c r="X64" i="1"/>
  <c r="X75" i="1"/>
  <c r="X76" i="1" s="1"/>
  <c r="X58" i="1"/>
  <c r="X79" i="1"/>
  <c r="X80" i="1" s="1"/>
  <c r="X52" i="1"/>
  <c r="X61" i="1"/>
  <c r="W69" i="1" l="1"/>
  <c r="W68" i="1"/>
  <c r="X50" i="1"/>
  <c r="X51" i="1"/>
  <c r="X59" i="1"/>
  <c r="X55" i="1"/>
  <c r="X53" i="1"/>
  <c r="X56" i="1"/>
  <c r="W23" i="1"/>
  <c r="X66" i="1"/>
  <c r="Y18" i="1"/>
  <c r="Y26" i="1" s="1"/>
  <c r="X81" i="1"/>
  <c r="X82" i="1" s="1"/>
  <c r="W85" i="1"/>
  <c r="X73" i="1"/>
  <c r="X74" i="1" s="1"/>
  <c r="X63" i="1"/>
  <c r="X67" i="1"/>
  <c r="X32" i="1"/>
  <c r="W86" i="1"/>
  <c r="X23" i="1"/>
  <c r="X24" i="1"/>
  <c r="X41" i="1"/>
  <c r="X43" i="1"/>
  <c r="X34" i="1"/>
  <c r="X36" i="1"/>
  <c r="X37" i="1"/>
  <c r="X40" i="1"/>
  <c r="X35" i="1"/>
  <c r="X69" i="1" l="1"/>
  <c r="X68" i="1"/>
  <c r="Y51" i="1"/>
  <c r="Y69" i="1" s="1"/>
  <c r="Y52" i="1"/>
  <c r="Y64" i="1"/>
  <c r="Y67" i="1"/>
  <c r="Y50" i="1"/>
  <c r="Y61" i="1"/>
  <c r="Y83" i="1"/>
  <c r="Y59" i="1"/>
  <c r="Y56" i="1"/>
  <c r="Y54" i="1"/>
  <c r="Y75" i="1"/>
  <c r="Y76" i="1" s="1"/>
  <c r="Y57" i="1"/>
  <c r="Y53" i="1"/>
  <c r="Y63" i="1"/>
  <c r="Y60" i="1"/>
  <c r="Y55" i="1"/>
  <c r="Y19" i="1"/>
  <c r="Z18" i="1"/>
  <c r="Z79" i="1" s="1"/>
  <c r="Z80" i="1" s="1"/>
  <c r="Y22" i="1"/>
  <c r="Y23" i="1" s="1"/>
  <c r="Y77" i="1"/>
  <c r="Y78" i="1" s="1"/>
  <c r="Y62" i="1"/>
  <c r="Y32" i="1"/>
  <c r="Y66" i="1"/>
  <c r="X86" i="1"/>
  <c r="X85" i="1"/>
  <c r="Y73" i="1"/>
  <c r="Y58" i="1"/>
  <c r="Y65" i="1"/>
  <c r="Y81" i="1"/>
  <c r="Y82" i="1" s="1"/>
  <c r="Y79" i="1"/>
  <c r="Y80" i="1" s="1"/>
  <c r="Y41" i="1"/>
  <c r="Y43" i="1"/>
  <c r="Z22" i="1"/>
  <c r="Z26" i="1"/>
  <c r="Y37" i="1"/>
  <c r="Y36" i="1"/>
  <c r="Y34" i="1"/>
  <c r="Y40" i="1"/>
  <c r="Y35" i="1"/>
  <c r="Z32" i="1"/>
  <c r="Y74" i="1"/>
  <c r="AA18" i="1"/>
  <c r="Z53" i="1"/>
  <c r="Z56" i="1"/>
  <c r="Z58" i="1"/>
  <c r="Z57" i="1"/>
  <c r="Z67" i="1"/>
  <c r="Z60" i="1"/>
  <c r="Z64" i="1"/>
  <c r="Z75" i="1"/>
  <c r="Z76" i="1" s="1"/>
  <c r="Z59" i="1"/>
  <c r="Z77" i="1"/>
  <c r="Z78" i="1" s="1"/>
  <c r="Z63" i="1"/>
  <c r="Z83" i="1"/>
  <c r="Z51" i="1"/>
  <c r="Z61" i="1"/>
  <c r="Z81" i="1"/>
  <c r="Z82" i="1" s="1"/>
  <c r="Z55" i="1"/>
  <c r="Z50" i="1"/>
  <c r="Z66" i="1"/>
  <c r="Z65" i="1"/>
  <c r="Z19" i="1"/>
  <c r="Z62" i="1"/>
  <c r="Y68" i="1" l="1"/>
  <c r="Y24" i="1"/>
  <c r="Y86" i="1"/>
  <c r="Y85" i="1"/>
  <c r="Z52" i="1"/>
  <c r="Z54" i="1"/>
  <c r="Z73" i="1"/>
  <c r="T25" i="1"/>
  <c r="U25" i="1"/>
  <c r="V25" i="1"/>
  <c r="W25" i="1"/>
  <c r="X25" i="1"/>
  <c r="Y25" i="1"/>
  <c r="P28" i="1"/>
  <c r="P29" i="1" s="1"/>
  <c r="N20" i="1"/>
  <c r="V27" i="1"/>
  <c r="Q28" i="1"/>
  <c r="Q29" i="1" s="1"/>
  <c r="V30" i="1"/>
  <c r="V31" i="1" s="1"/>
  <c r="T27" i="1"/>
  <c r="O20" i="1"/>
  <c r="U28" i="1"/>
  <c r="U29" i="1" s="1"/>
  <c r="U30" i="1"/>
  <c r="U31" i="1" s="1"/>
  <c r="S28" i="1"/>
  <c r="S29" i="1" s="1"/>
  <c r="U27" i="1"/>
  <c r="T30" i="1"/>
  <c r="T31" i="1" s="1"/>
  <c r="T28" i="1"/>
  <c r="T29" i="1" s="1"/>
  <c r="R28" i="1"/>
  <c r="R29" i="1" s="1"/>
  <c r="V28" i="1"/>
  <c r="V29" i="1" s="1"/>
  <c r="AA22" i="1"/>
  <c r="AA26" i="1"/>
  <c r="Z41" i="1"/>
  <c r="Z43" i="1"/>
  <c r="Z23" i="1"/>
  <c r="Z24" i="1"/>
  <c r="Z37" i="1"/>
  <c r="Z34" i="1"/>
  <c r="Z36" i="1"/>
  <c r="Z40" i="1"/>
  <c r="Z35" i="1"/>
  <c r="AA32" i="1"/>
  <c r="Z69" i="1"/>
  <c r="Z74" i="1"/>
  <c r="Z86" i="1" s="1"/>
  <c r="Z85" i="1"/>
  <c r="Z68" i="1"/>
  <c r="AB18" i="1"/>
  <c r="AA77" i="1"/>
  <c r="AA78" i="1" s="1"/>
  <c r="AA55" i="1"/>
  <c r="AA51" i="1"/>
  <c r="AA60" i="1"/>
  <c r="AA81" i="1"/>
  <c r="AA82" i="1" s="1"/>
  <c r="AA53" i="1"/>
  <c r="AA79" i="1"/>
  <c r="AA80" i="1" s="1"/>
  <c r="AA59" i="1"/>
  <c r="AA52" i="1"/>
  <c r="AA57" i="1"/>
  <c r="AA73" i="1"/>
  <c r="AA56" i="1"/>
  <c r="AA61" i="1"/>
  <c r="AA63" i="1"/>
  <c r="AA19" i="1"/>
  <c r="AA75" i="1"/>
  <c r="AA76" i="1" s="1"/>
  <c r="AA66" i="1"/>
  <c r="AA54" i="1"/>
  <c r="AA67" i="1"/>
  <c r="AA50" i="1"/>
  <c r="AA65" i="1"/>
  <c r="AA64" i="1"/>
  <c r="AA58" i="1"/>
  <c r="AA83" i="1"/>
  <c r="AA62" i="1"/>
  <c r="U20" i="1" l="1"/>
  <c r="V20" i="1"/>
  <c r="Q20" i="1"/>
  <c r="T20" i="1"/>
  <c r="S20" i="1"/>
  <c r="AA41" i="1"/>
  <c r="AB22" i="1"/>
  <c r="AB26" i="1"/>
  <c r="AA23" i="1"/>
  <c r="AA24" i="1"/>
  <c r="AA34" i="1"/>
  <c r="AA36" i="1"/>
  <c r="AA40" i="1"/>
  <c r="AA35" i="1"/>
  <c r="AA37" i="1"/>
  <c r="AB32" i="1"/>
  <c r="AC18" i="1"/>
  <c r="AA68" i="1"/>
  <c r="AA69" i="1"/>
  <c r="AA74" i="1"/>
  <c r="AA86" i="1" s="1"/>
  <c r="AA85" i="1"/>
  <c r="AB56" i="1"/>
  <c r="AB62" i="1"/>
  <c r="AB59" i="1"/>
  <c r="AB51" i="1"/>
  <c r="AB53" i="1"/>
  <c r="AB50" i="1"/>
  <c r="AB83" i="1"/>
  <c r="AB60" i="1"/>
  <c r="AB81" i="1"/>
  <c r="AB82" i="1" s="1"/>
  <c r="AB54" i="1"/>
  <c r="AB63" i="1"/>
  <c r="AB57" i="1"/>
  <c r="AB65" i="1"/>
  <c r="AB79" i="1"/>
  <c r="AB80" i="1" s="1"/>
  <c r="AB75" i="1"/>
  <c r="AB76" i="1" s="1"/>
  <c r="AB73" i="1"/>
  <c r="AB52" i="1"/>
  <c r="AB66" i="1"/>
  <c r="AB67" i="1"/>
  <c r="AB64" i="1"/>
  <c r="AB77" i="1"/>
  <c r="AB78" i="1" s="1"/>
  <c r="AB58" i="1"/>
  <c r="AB61" i="1"/>
  <c r="AB55" i="1"/>
  <c r="AB19" i="1"/>
  <c r="AC22" i="1" l="1"/>
  <c r="AC24" i="1" s="1"/>
  <c r="AC26" i="1"/>
  <c r="AB43" i="1"/>
  <c r="AB41" i="1"/>
  <c r="AB23" i="1"/>
  <c r="AB24" i="1"/>
  <c r="AB40" i="1"/>
  <c r="AB35" i="1"/>
  <c r="AB34" i="1"/>
  <c r="AB36" i="1"/>
  <c r="AB37" i="1"/>
  <c r="AC32" i="1"/>
  <c r="AD18" i="1"/>
  <c r="AC73" i="1"/>
  <c r="AC79" i="1"/>
  <c r="AC80" i="1" s="1"/>
  <c r="AC75" i="1"/>
  <c r="AC76" i="1" s="1"/>
  <c r="AC19" i="1"/>
  <c r="AC81" i="1"/>
  <c r="AC82" i="1" s="1"/>
  <c r="AC77" i="1"/>
  <c r="AC78" i="1" s="1"/>
  <c r="AC83" i="1"/>
  <c r="AC52" i="1"/>
  <c r="AC53" i="1"/>
  <c r="AC59" i="1"/>
  <c r="AC54" i="1"/>
  <c r="AC67" i="1"/>
  <c r="AC58" i="1"/>
  <c r="AC66" i="1"/>
  <c r="AC64" i="1"/>
  <c r="AC50" i="1"/>
  <c r="AC55" i="1"/>
  <c r="AC65" i="1"/>
  <c r="AC60" i="1"/>
  <c r="AC51" i="1"/>
  <c r="AC61" i="1"/>
  <c r="AC62" i="1"/>
  <c r="AC56" i="1"/>
  <c r="AC63" i="1"/>
  <c r="AC57" i="1"/>
  <c r="AB68" i="1"/>
  <c r="AB74" i="1"/>
  <c r="AB86" i="1" s="1"/>
  <c r="AB85" i="1"/>
  <c r="AB69" i="1"/>
  <c r="AA25" i="1" l="1"/>
  <c r="Z25" i="1"/>
  <c r="AB25" i="1"/>
  <c r="X27" i="1"/>
  <c r="Y27" i="1"/>
  <c r="Z27" i="1"/>
  <c r="W27" i="1"/>
  <c r="W30" i="1"/>
  <c r="W31" i="1" s="1"/>
  <c r="W28" i="1"/>
  <c r="W29" i="1" s="1"/>
  <c r="X28" i="1"/>
  <c r="X29" i="1" s="1"/>
  <c r="X30" i="1"/>
  <c r="X31" i="1" s="1"/>
  <c r="Y30" i="1"/>
  <c r="Y31" i="1" s="1"/>
  <c r="Y28" i="1"/>
  <c r="Y29" i="1" s="1"/>
  <c r="Z30" i="1"/>
  <c r="Z31" i="1" s="1"/>
  <c r="AA30" i="1"/>
  <c r="AA31" i="1" s="1"/>
  <c r="AA33" i="1"/>
  <c r="AB33" i="1"/>
  <c r="AD22" i="1"/>
  <c r="AD24" i="1" s="1"/>
  <c r="AD26" i="1"/>
  <c r="AC41" i="1"/>
  <c r="AC43" i="1"/>
  <c r="AC23" i="1"/>
  <c r="AC35" i="1"/>
  <c r="AC36" i="1"/>
  <c r="AC34" i="1"/>
  <c r="AC37" i="1"/>
  <c r="AC40" i="1"/>
  <c r="AD32" i="1"/>
  <c r="AC74" i="1"/>
  <c r="AC86" i="1" s="1"/>
  <c r="AC85" i="1"/>
  <c r="AC68" i="1"/>
  <c r="AC69" i="1"/>
  <c r="AD73" i="1"/>
  <c r="AD79" i="1"/>
  <c r="AD80" i="1" s="1"/>
  <c r="AD81" i="1"/>
  <c r="AD82" i="1" s="1"/>
  <c r="AD77" i="1"/>
  <c r="AD78" i="1" s="1"/>
  <c r="AD83" i="1"/>
  <c r="AD75" i="1"/>
  <c r="AD76" i="1" s="1"/>
  <c r="AD53" i="1"/>
  <c r="AE18" i="1"/>
  <c r="AE22" i="1" s="1"/>
  <c r="AE24" i="1" s="1"/>
  <c r="AD19" i="1"/>
  <c r="AD52" i="1"/>
  <c r="AD58" i="1"/>
  <c r="AD54" i="1"/>
  <c r="AD67" i="1"/>
  <c r="AD51" i="1"/>
  <c r="AD59" i="1"/>
  <c r="AD55" i="1"/>
  <c r="AD61" i="1"/>
  <c r="AD66" i="1"/>
  <c r="AD57" i="1"/>
  <c r="AD50" i="1"/>
  <c r="AD60" i="1"/>
  <c r="AD62" i="1"/>
  <c r="AD56" i="1"/>
  <c r="AD65" i="1"/>
  <c r="AD64" i="1"/>
  <c r="AD63" i="1"/>
  <c r="AE23" i="1" l="1"/>
  <c r="AE62" i="1"/>
  <c r="AF18" i="1"/>
  <c r="AA27" i="1"/>
  <c r="Y20" i="1"/>
  <c r="X20" i="1"/>
  <c r="W20" i="1"/>
  <c r="AD41" i="1"/>
  <c r="AD43" i="1"/>
  <c r="AE32" i="1"/>
  <c r="AE26" i="1"/>
  <c r="AD23" i="1"/>
  <c r="AD36" i="1"/>
  <c r="AD35" i="1"/>
  <c r="AD34" i="1"/>
  <c r="AD37" i="1"/>
  <c r="AD40" i="1"/>
  <c r="AD69" i="1"/>
  <c r="AD85" i="1"/>
  <c r="AD74" i="1"/>
  <c r="AD86" i="1" s="1"/>
  <c r="AD68" i="1"/>
  <c r="AE77" i="1"/>
  <c r="AE78" i="1" s="1"/>
  <c r="AE73" i="1"/>
  <c r="AE79" i="1"/>
  <c r="AE80" i="1" s="1"/>
  <c r="AE75" i="1"/>
  <c r="AE76" i="1" s="1"/>
  <c r="AE81" i="1"/>
  <c r="AE82" i="1" s="1"/>
  <c r="AE83" i="1"/>
  <c r="AE53" i="1"/>
  <c r="AE52" i="1"/>
  <c r="AE63" i="1"/>
  <c r="AE57" i="1"/>
  <c r="AE60" i="1"/>
  <c r="AE51" i="1"/>
  <c r="AE58" i="1"/>
  <c r="AE56" i="1"/>
  <c r="AE64" i="1"/>
  <c r="AE61" i="1"/>
  <c r="AE66" i="1"/>
  <c r="AE59" i="1"/>
  <c r="AE54" i="1"/>
  <c r="AE19" i="1"/>
  <c r="AE50" i="1"/>
  <c r="AE67" i="1"/>
  <c r="AE55" i="1"/>
  <c r="AE65" i="1"/>
  <c r="AC25" i="1" l="1"/>
  <c r="AD25" i="1"/>
  <c r="AF22" i="1"/>
  <c r="AF24" i="1" s="1"/>
  <c r="AF77" i="1"/>
  <c r="AF78" i="1" s="1"/>
  <c r="AF81" i="1"/>
  <c r="AF82" i="1" s="1"/>
  <c r="AF50" i="1"/>
  <c r="AF52" i="1"/>
  <c r="AF54" i="1"/>
  <c r="AF56" i="1"/>
  <c r="AF58" i="1"/>
  <c r="AF60" i="1"/>
  <c r="AF62" i="1"/>
  <c r="AF64" i="1"/>
  <c r="AF66" i="1"/>
  <c r="AF75" i="1"/>
  <c r="AF76" i="1" s="1"/>
  <c r="AF73" i="1"/>
  <c r="AF79" i="1"/>
  <c r="AF80" i="1" s="1"/>
  <c r="AF83" i="1"/>
  <c r="AF51" i="1"/>
  <c r="AF53" i="1"/>
  <c r="AF55" i="1"/>
  <c r="AF57" i="1"/>
  <c r="AF59" i="1"/>
  <c r="AF61" i="1"/>
  <c r="AF63" i="1"/>
  <c r="AF65" i="1"/>
  <c r="AF67" i="1"/>
  <c r="D14" i="1"/>
  <c r="AG18" i="1"/>
  <c r="AF19" i="1"/>
  <c r="AF26" i="1"/>
  <c r="AF32" i="1"/>
  <c r="AE41" i="1"/>
  <c r="AF33" i="1" s="1"/>
  <c r="AE43" i="1"/>
  <c r="AJ33" i="1" s="1"/>
  <c r="AE37" i="1"/>
  <c r="AE34" i="1"/>
  <c r="AE40" i="1"/>
  <c r="AE35" i="1"/>
  <c r="AE36" i="1"/>
  <c r="AE69" i="1"/>
  <c r="AE68" i="1"/>
  <c r="AE74" i="1"/>
  <c r="AE86" i="1" s="1"/>
  <c r="AE85" i="1"/>
  <c r="AH25" i="1" l="1"/>
  <c r="AH28" i="1"/>
  <c r="AI28" i="1"/>
  <c r="AI30" i="1"/>
  <c r="AI31" i="1" s="1"/>
  <c r="AF25" i="1"/>
  <c r="AE25" i="1"/>
  <c r="AF68" i="1"/>
  <c r="AF69" i="1"/>
  <c r="AG83" i="1"/>
  <c r="AG51" i="1"/>
  <c r="AG53" i="1"/>
  <c r="AG55" i="1"/>
  <c r="AG57" i="1"/>
  <c r="AG59" i="1"/>
  <c r="AG61" i="1"/>
  <c r="AG63" i="1"/>
  <c r="AG65" i="1"/>
  <c r="AG67" i="1"/>
  <c r="AG22" i="1"/>
  <c r="AG77" i="1"/>
  <c r="AG78" i="1" s="1"/>
  <c r="AG81" i="1"/>
  <c r="AG82" i="1" s="1"/>
  <c r="AG50" i="1"/>
  <c r="AG52" i="1"/>
  <c r="AG54" i="1"/>
  <c r="AG56" i="1"/>
  <c r="AG58" i="1"/>
  <c r="AG60" i="1"/>
  <c r="AG62" i="1"/>
  <c r="AG64" i="1"/>
  <c r="AG66" i="1"/>
  <c r="AG75" i="1"/>
  <c r="AG76" i="1" s="1"/>
  <c r="AG73" i="1"/>
  <c r="AG79" i="1"/>
  <c r="AG80" i="1" s="1"/>
  <c r="AF74" i="1"/>
  <c r="AF86" i="1" s="1"/>
  <c r="AF85" i="1"/>
  <c r="AF23" i="1"/>
  <c r="AF27" i="1"/>
  <c r="AF30" i="1"/>
  <c r="AF31" i="1" s="1"/>
  <c r="AG33" i="1"/>
  <c r="AI33" i="1"/>
  <c r="AH33" i="1"/>
  <c r="AG19" i="1"/>
  <c r="AG32" i="1"/>
  <c r="AG26" i="1"/>
  <c r="AG27" i="1" s="1"/>
  <c r="AH18" i="1"/>
  <c r="AH30" i="1"/>
  <c r="AH31" i="1" s="1"/>
  <c r="AF28" i="1"/>
  <c r="AG30" i="1"/>
  <c r="AG31" i="1" s="1"/>
  <c r="AG28" i="1"/>
  <c r="Z28" i="1"/>
  <c r="Z29" i="1" s="1"/>
  <c r="AC33" i="1"/>
  <c r="AD33" i="1"/>
  <c r="AE33" i="1"/>
  <c r="AE28" i="1"/>
  <c r="AK41" i="1"/>
  <c r="AK43" i="1"/>
  <c r="AK28" i="1" s="1"/>
  <c r="AK37" i="1"/>
  <c r="AK34" i="1"/>
  <c r="AK40" i="1"/>
  <c r="AL17" i="1"/>
  <c r="AK36" i="1"/>
  <c r="AK35" i="1"/>
  <c r="AI29" i="1" l="1"/>
  <c r="AH29" i="1"/>
  <c r="AJ30" i="1"/>
  <c r="AJ31" i="1" s="1"/>
  <c r="AK25" i="1"/>
  <c r="AG69" i="1"/>
  <c r="AG68" i="1"/>
  <c r="AG74" i="1"/>
  <c r="AG86" i="1" s="1"/>
  <c r="AG85" i="1"/>
  <c r="AH73" i="1"/>
  <c r="AH79" i="1"/>
  <c r="AH80" i="1" s="1"/>
  <c r="AH64" i="1"/>
  <c r="AH83" i="1"/>
  <c r="AH51" i="1"/>
  <c r="AH53" i="1"/>
  <c r="AH55" i="1"/>
  <c r="AH57" i="1"/>
  <c r="AH59" i="1"/>
  <c r="AH61" i="1"/>
  <c r="AH63" i="1"/>
  <c r="AH65" i="1"/>
  <c r="AH67" i="1"/>
  <c r="AH54" i="1"/>
  <c r="AH66" i="1"/>
  <c r="AH50" i="1"/>
  <c r="AH58" i="1"/>
  <c r="AH77" i="1"/>
  <c r="AH78" i="1" s="1"/>
  <c r="AH81" i="1"/>
  <c r="AH82" i="1" s="1"/>
  <c r="AH56" i="1"/>
  <c r="AH52" i="1"/>
  <c r="AH75" i="1"/>
  <c r="AH76" i="1" s="1"/>
  <c r="AH62" i="1"/>
  <c r="AH60" i="1"/>
  <c r="AG23" i="1"/>
  <c r="AG24" i="1"/>
  <c r="AG25" i="1" s="1"/>
  <c r="AF29" i="1"/>
  <c r="AF20" i="1" s="1"/>
  <c r="Z20" i="1"/>
  <c r="AD27" i="1"/>
  <c r="AG29" i="1"/>
  <c r="AG20" i="1" s="1"/>
  <c r="AH19" i="1"/>
  <c r="AH26" i="1"/>
  <c r="AH32" i="1"/>
  <c r="AI18" i="1"/>
  <c r="AE30" i="1"/>
  <c r="AE31" i="1" s="1"/>
  <c r="AE29" i="1" s="1"/>
  <c r="AC28" i="1"/>
  <c r="AK33" i="1"/>
  <c r="AA28" i="1"/>
  <c r="AA29" i="1" s="1"/>
  <c r="AC27" i="1"/>
  <c r="AE27" i="1"/>
  <c r="AB28" i="1"/>
  <c r="AD30" i="1"/>
  <c r="AD31" i="1" s="1"/>
  <c r="AB30" i="1"/>
  <c r="AB31" i="1" s="1"/>
  <c r="AB27" i="1"/>
  <c r="AD28" i="1"/>
  <c r="AC30" i="1"/>
  <c r="AC31" i="1" s="1"/>
  <c r="AK27" i="1"/>
  <c r="AK30" i="1"/>
  <c r="AK31" i="1" s="1"/>
  <c r="AK29" i="1" s="1"/>
  <c r="AL41" i="1"/>
  <c r="AJ28" i="1" s="1"/>
  <c r="AL40" i="1"/>
  <c r="AL43" i="1"/>
  <c r="AL33" i="1" s="1"/>
  <c r="AJ29" i="1" l="1"/>
  <c r="AH68" i="1"/>
  <c r="AH69" i="1"/>
  <c r="AH74" i="1"/>
  <c r="AH86" i="1" s="1"/>
  <c r="AH85" i="1"/>
  <c r="AH23" i="1"/>
  <c r="AH24" i="1"/>
  <c r="AI73" i="1"/>
  <c r="AI79" i="1"/>
  <c r="AI80" i="1" s="1"/>
  <c r="AI77" i="1"/>
  <c r="AI78" i="1" s="1"/>
  <c r="AI83" i="1"/>
  <c r="AI51" i="1"/>
  <c r="AI53" i="1"/>
  <c r="AI55" i="1"/>
  <c r="AI57" i="1"/>
  <c r="AI59" i="1"/>
  <c r="AI61" i="1"/>
  <c r="AI63" i="1"/>
  <c r="AI65" i="1"/>
  <c r="AI67" i="1"/>
  <c r="AI81" i="1"/>
  <c r="AI82" i="1" s="1"/>
  <c r="AI50" i="1"/>
  <c r="AI52" i="1"/>
  <c r="AI54" i="1"/>
  <c r="AI56" i="1"/>
  <c r="AI58" i="1"/>
  <c r="AI60" i="1"/>
  <c r="AI62" i="1"/>
  <c r="AI64" i="1"/>
  <c r="AI66" i="1"/>
  <c r="AI75" i="1"/>
  <c r="AI76" i="1" s="1"/>
  <c r="AA20" i="1"/>
  <c r="AI19" i="1"/>
  <c r="AI32" i="1"/>
  <c r="AI26" i="1"/>
  <c r="AI27" i="1" s="1"/>
  <c r="AI20" i="1" s="1"/>
  <c r="AH27" i="1"/>
  <c r="AH20" i="1" s="1"/>
  <c r="AC29" i="1"/>
  <c r="AC20" i="1" s="1"/>
  <c r="AB29" i="1"/>
  <c r="AB20" i="1" s="1"/>
  <c r="AD29" i="1"/>
  <c r="AD20" i="1" s="1"/>
  <c r="AE20" i="1"/>
  <c r="AI69" i="1" l="1"/>
  <c r="AJ75" i="1"/>
  <c r="AJ76" i="1" s="1"/>
  <c r="AJ73" i="1"/>
  <c r="AJ79" i="1"/>
  <c r="AJ80" i="1" s="1"/>
  <c r="AJ83" i="1"/>
  <c r="AJ51" i="1"/>
  <c r="AJ53" i="1"/>
  <c r="AJ55" i="1"/>
  <c r="AJ57" i="1"/>
  <c r="AJ59" i="1"/>
  <c r="AJ61" i="1"/>
  <c r="AJ63" i="1"/>
  <c r="AJ65" i="1"/>
  <c r="AJ67" i="1"/>
  <c r="AJ77" i="1"/>
  <c r="AJ78" i="1" s="1"/>
  <c r="AJ81" i="1"/>
  <c r="AJ82" i="1" s="1"/>
  <c r="AJ50" i="1"/>
  <c r="AJ52" i="1"/>
  <c r="AJ54" i="1"/>
  <c r="AJ56" i="1"/>
  <c r="AJ58" i="1"/>
  <c r="AJ60" i="1"/>
  <c r="AJ62" i="1"/>
  <c r="AJ64" i="1"/>
  <c r="AJ66" i="1"/>
  <c r="AI24" i="1"/>
  <c r="AI25" i="1" s="1"/>
  <c r="AI23" i="1"/>
  <c r="AI74" i="1"/>
  <c r="AI86" i="1" s="1"/>
  <c r="AI85" i="1"/>
  <c r="AI68" i="1"/>
  <c r="AJ32" i="1"/>
  <c r="AJ19" i="1"/>
  <c r="AJ26" i="1"/>
  <c r="AJ20" i="1" s="1"/>
  <c r="AJ68" i="1" l="1"/>
  <c r="AJ69" i="1"/>
  <c r="AJ23" i="1"/>
  <c r="AJ24" i="1"/>
  <c r="AJ25" i="1" s="1"/>
  <c r="AJ74" i="1"/>
  <c r="AJ86" i="1" s="1"/>
  <c r="AJ85" i="1"/>
</calcChain>
</file>

<file path=xl/sharedStrings.xml><?xml version="1.0" encoding="utf-8"?>
<sst xmlns="http://schemas.openxmlformats.org/spreadsheetml/2006/main" count="272" uniqueCount="200">
  <si>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</si>
  <si>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</si>
  <si>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</si>
  <si>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</si>
  <si>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</si>
  <si>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</si>
  <si>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</si>
  <si>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</si>
  <si>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</si>
  <si>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</si>
  <si>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</si>
  <si>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</si>
  <si>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</si>
  <si>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</si>
  <si>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</si>
  <si>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</si>
  <si>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</si>
  <si>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</si>
  <si>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</si>
  <si>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</si>
  <si>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</si>
  <si>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</si>
  <si>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</si>
  <si>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</si>
  <si>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</si>
  <si>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</si>
  <si>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</si>
  <si>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</si>
  <si>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</si>
  <si>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</si>
  <si>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</si>
  <si>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</si>
  <si>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</si>
  <si>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</si>
  <si>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</si>
  <si>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</si>
  <si>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</si>
  <si>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</si>
  <si>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</si>
  <si>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</si>
  <si>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</si>
  <si>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</si>
  <si>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</si>
  <si>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</si>
  <si>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</si>
  <si>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</si>
  <si>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</si>
  <si>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</si>
  <si>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</si>
  <si>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</si>
  <si>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</si>
  <si>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</si>
  <si>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</si>
  <si>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</si>
  <si>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</si>
  <si>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</si>
  <si>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</si>
  <si>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</si>
  <si>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</si>
  <si>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</si>
  <si>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</si>
  <si>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</si>
  <si>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</si>
  <si>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</si>
  <si>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</si>
  <si>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</si>
  <si>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</si>
  <si>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</si>
  <si>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</si>
  <si>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</si>
  <si>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</si>
  <si>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</si>
  <si>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</si>
  <si>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</si>
  <si>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</si>
  <si>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</si>
  <si>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</si>
  <si>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</si>
  <si>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</si>
  <si>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</si>
  <si>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</si>
  <si>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</si>
  <si>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</si>
  <si>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</si>
  <si>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</si>
  <si>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</si>
  <si>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</si>
  <si>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</si>
  <si>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</si>
  <si>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</si>
  <si>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</si>
  <si>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</si>
  <si>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</si>
  <si>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</si>
  <si>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</si>
  <si>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</si>
  <si>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</si>
  <si>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</si>
  <si>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</si>
  <si>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</si>
  <si>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</si>
  <si>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</si>
  <si>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</si>
  <si>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</si>
  <si>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</si>
  <si>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</si>
  <si>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</si>
  <si>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</si>
  <si>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</si>
  <si>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</si>
  <si>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</si>
  <si>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</si>
  <si>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</si>
  <si>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</si>
  <si>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</si>
  <si>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</si>
  <si>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</si>
  <si>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</si>
  <si>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</si>
  <si>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</si>
  <si>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</si>
  <si>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</si>
  <si>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</si>
  <si>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</si>
  <si>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</si>
  <si>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</si>
  <si>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</si>
  <si>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</si>
  <si>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</si>
  <si>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</si>
  <si>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</si>
  <si>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</si>
  <si>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</si>
  <si>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</si>
  <si>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</si>
  <si>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</si>
  <si>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</si>
  <si>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</si>
  <si>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</si>
  <si>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</si>
  <si>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</si>
  <si>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</si>
  <si>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</si>
  <si>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</si>
  <si>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</si>
  <si>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</si>
  <si>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</si>
  <si>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</si>
  <si>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</si>
  <si>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</si>
  <si>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</si>
  <si>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</si>
  <si>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</si>
  <si>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</si>
  <si>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</si>
  <si>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</si>
  <si>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</si>
  <si>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</si>
  <si>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</si>
  <si>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</si>
  <si>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</si>
  <si>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</si>
  <si>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</si>
  <si>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</si>
  <si>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</si>
  <si>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</si>
  <si>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</si>
  <si>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</si>
  <si>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</si>
  <si>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</si>
  <si>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</si>
  <si>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</si>
  <si>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</si>
  <si>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</si>
  <si>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</si>
  <si>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as of 8/4/2020</t>
  </si>
  <si>
    <t>First death 29/2</t>
  </si>
  <si>
    <t>Travel from the European Schengen Area blocked</t>
  </si>
  <si>
    <t>Canada travel restricted</t>
  </si>
  <si>
    <t>Mexico travel restricted</t>
  </si>
  <si>
    <t>UK and Ireland travel restricted</t>
  </si>
  <si>
    <t>China travel restricted</t>
  </si>
  <si>
    <t>Iran travel blocked</t>
  </si>
  <si>
    <t>State of Emergency declared by Trump</t>
  </si>
  <si>
    <t>By 16/3/2020 all states had declared a State of Emergency.  States progressively began implementing stay at home orders.  Not all states have done so though</t>
  </si>
  <si>
    <t>Public Hospital Beds in US / 1,000</t>
  </si>
  <si>
    <t>ICU Beds in US / 100,000</t>
  </si>
  <si>
    <t>Detected infection rates appear to have peaked 4/4</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</si>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</sst>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291">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2" borderId="8" xfId="0" applyNumberForma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3" xfId="0" applyNumberFormat="1" applyFill="1" applyBorder="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9" xfId="0" applyNumberFormat="1" applyFont="1" applyFill="1" applyBorder="1"/>
    <xf numFmtId="0" fontId="9" fillId="0" borderId="0" xfId="0" applyFont="1" applyFill="1"/>
    <xf numFmtId="3" fontId="9" fillId="8" borderId="14" xfId="0" applyNumberFormat="1" applyFont="1" applyFill="1" applyBorder="1"/>
    <xf numFmtId="3" fontId="9" fillId="2" borderId="14"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xf numFmtId="171" fontId="0" fillId="0" borderId="0" xfId="0" applyNumberFormat="1"/>
    <xf numFmtId="170" fontId="0" fillId="0" borderId="11" xfId="0" applyNumberFormat="1" applyBorder="1"/>
    <xf numFmtId="0" fontId="0" fillId="4" borderId="0" xfId="0" applyFill="1"/>
    <xf numFmtId="0" fontId="0" fillId="16" borderId="7" xfId="0" applyFill="1" applyBorder="1"/>
    <xf numFmtId="14" fontId="0" fillId="0" borderId="0" xfId="0" applyNumberFormat="1" applyBorder="1"/>
    <xf numFmtId="14" fontId="0" fillId="0" borderId="7" xfId="0" applyNumberFormat="1" applyFill="1" applyBorder="1"/>
    <xf numFmtId="14" fontId="0" fillId="0" borderId="2" xfId="0" applyNumberFormat="1" applyFill="1" applyBorder="1"/>
    <xf numFmtId="164" fontId="9" fillId="4" borderId="3" xfId="0" applyNumberFormat="1" applyFont="1" applyFill="1" applyBorder="1"/>
    <xf numFmtId="3" fontId="9" fillId="4" borderId="5" xfId="0" applyNumberFormat="1" applyFont="1" applyFill="1" applyBorder="1"/>
    <xf numFmtId="3" fontId="9" fillId="4" borderId="15" xfId="0" applyNumberFormat="1" applyFont="1" applyFill="1" applyBorder="1" applyAlignment="1">
      <alignment horizontal="center"/>
    </xf>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170" fontId="0" fillId="18" borderId="14" xfId="0" applyNumberFormat="1" applyFill="1" applyBorder="1"/>
    <xf numFmtId="14" fontId="0" fillId="4" borderId="1" xfId="0" applyNumberFormat="1" applyFill="1" applyBorder="1"/>
    <xf numFmtId="14" fontId="0" fillId="15" borderId="7" xfId="0" applyNumberFormat="1" applyFill="1" applyBorder="1"/>
    <xf numFmtId="14" fontId="0" fillId="16" borderId="7" xfId="0" applyNumberFormat="1" applyFill="1" applyBorder="1"/>
    <xf numFmtId="14" fontId="0" fillId="10" borderId="7" xfId="0" applyNumberFormat="1" applyFill="1" applyBorder="1"/>
    <xf numFmtId="14" fontId="0" fillId="4" borderId="7" xfId="0" applyNumberFormat="1" applyFill="1" applyBorder="1"/>
    <xf numFmtId="171" fontId="0" fillId="9" borderId="1" xfId="0" applyNumberFormat="1" applyFill="1" applyBorder="1"/>
    <xf numFmtId="171" fontId="0" fillId="3" borderId="7" xfId="0" applyNumberFormat="1" applyFill="1" applyBorder="1"/>
    <xf numFmtId="171" fontId="0" fillId="3" borderId="2" xfId="0" applyNumberFormat="1" applyFill="1" applyBorder="1"/>
    <xf numFmtId="171" fontId="0" fillId="18" borderId="4" xfId="0" applyNumberFormat="1" applyFill="1" applyBorder="1"/>
    <xf numFmtId="3" fontId="0" fillId="0" borderId="13" xfId="0" applyNumberFormat="1" applyFill="1"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2">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208.33333333333334</c:v>
                </c:pt>
                <c:pt idx="1">
                  <c:v>416.66666666666669</c:v>
                </c:pt>
                <c:pt idx="2">
                  <c:v>833.33333333333337</c:v>
                </c:pt>
                <c:pt idx="3">
                  <c:v>1666.6666666666667</c:v>
                </c:pt>
                <c:pt idx="4">
                  <c:v>3333.3333333333335</c:v>
                </c:pt>
                <c:pt idx="5">
                  <c:v>6666.666666666667</c:v>
                </c:pt>
                <c:pt idx="6">
                  <c:v>13333.333333333334</c:v>
                </c:pt>
                <c:pt idx="7">
                  <c:v>26666.666666666668</c:v>
                </c:pt>
                <c:pt idx="8">
                  <c:v>53333.333333333336</c:v>
                </c:pt>
                <c:pt idx="9">
                  <c:v>106666.66666666667</c:v>
                </c:pt>
                <c:pt idx="10">
                  <c:v>213333.33333333334</c:v>
                </c:pt>
                <c:pt idx="11">
                  <c:v>426666.66666666669</c:v>
                </c:pt>
                <c:pt idx="12">
                  <c:v>853333.33333333337</c:v>
                </c:pt>
                <c:pt idx="13">
                  <c:v>1706666.6666666667</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183.33333333333334</c:v>
                </c:pt>
                <c:pt idx="1">
                  <c:v>366.66666666666669</c:v>
                </c:pt>
                <c:pt idx="2">
                  <c:v>733.33333333333337</c:v>
                </c:pt>
                <c:pt idx="3">
                  <c:v>1466.6666666666667</c:v>
                </c:pt>
                <c:pt idx="4">
                  <c:v>2933.3333333333335</c:v>
                </c:pt>
                <c:pt idx="5">
                  <c:v>5866.666666666667</c:v>
                </c:pt>
                <c:pt idx="6">
                  <c:v>11733.333333333334</c:v>
                </c:pt>
                <c:pt idx="7">
                  <c:v>23466.666666666668</c:v>
                </c:pt>
                <c:pt idx="8">
                  <c:v>46933.333333333336</c:v>
                </c:pt>
                <c:pt idx="9">
                  <c:v>93866.666666666672</c:v>
                </c:pt>
                <c:pt idx="10">
                  <c:v>187733.33333333334</c:v>
                </c:pt>
                <c:pt idx="11">
                  <c:v>375466.66666666669</c:v>
                </c:pt>
                <c:pt idx="12">
                  <c:v>750933.33333333337</c:v>
                </c:pt>
                <c:pt idx="13">
                  <c:v>1501866.6666666667</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25</c:v>
                </c:pt>
                <c:pt idx="4">
                  <c:v>50</c:v>
                </c:pt>
                <c:pt idx="5">
                  <c:v>100</c:v>
                </c:pt>
                <c:pt idx="6">
                  <c:v>200</c:v>
                </c:pt>
                <c:pt idx="7">
                  <c:v>400</c:v>
                </c:pt>
                <c:pt idx="8">
                  <c:v>800</c:v>
                </c:pt>
                <c:pt idx="9">
                  <c:v>1600</c:v>
                </c:pt>
                <c:pt idx="10">
                  <c:v>3200</c:v>
                </c:pt>
                <c:pt idx="11">
                  <c:v>6400</c:v>
                </c:pt>
                <c:pt idx="12">
                  <c:v>12800</c:v>
                </c:pt>
                <c:pt idx="13">
                  <c:v>25600</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Projections!$L$17:$AK$17</c15:sqref>
                  </c15:fullRef>
                </c:ext>
              </c:extLst>
              <c:f>Projections!$L$17:$AA$17</c:f>
              <c:numCache>
                <c:formatCode>m/d/yyyy</c:formatCode>
                <c:ptCount val="16"/>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numCache>
            </c:numRef>
          </c:cat>
          <c:val>
            <c:numRef>
              <c:extLst>
                <c:ext xmlns:c15="http://schemas.microsoft.com/office/drawing/2012/chart" uri="{02D57815-91ED-43cb-92C2-25804820EDAC}">
                  <c15:fullRef>
                    <c15:sqref>Projections!$L$18:$AK$18</c15:sqref>
                  </c15:fullRef>
                </c:ext>
              </c:extLst>
              <c:f>Projections!$L$18:$AA$18</c:f>
              <c:numCache>
                <c:formatCode>#,##0_ ;[Red]\-#,##0\ </c:formatCode>
                <c:ptCount val="16"/>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numCache>
            </c:numRef>
          </c:val>
          <c:smooth val="0"/>
          <c:extLst>
            <c:ext xmlns:c16="http://schemas.microsoft.com/office/drawing/2014/chart" uri="{C3380CC4-5D6E-409C-BE32-E72D297353CC}">
              <c16:uniqueId val="{00000004-8BCC-427B-903C-670C749E04E9}"/>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Projections!$L$17:$AK$17</c15:sqref>
                  </c15:fullRef>
                </c:ext>
              </c:extLst>
              <c:f>Projections!$L$17:$AA$17</c:f>
              <c:numCache>
                <c:formatCode>m/d/yyyy</c:formatCode>
                <c:ptCount val="16"/>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numCache>
            </c:numRef>
          </c:cat>
          <c:val>
            <c:numRef>
              <c:extLst>
                <c:ext xmlns:c15="http://schemas.microsoft.com/office/drawing/2012/chart" uri="{02D57815-91ED-43cb-92C2-25804820EDAC}">
                  <c15:fullRef>
                    <c15:sqref>Projections!$L$42:$AK$42</c15:sqref>
                  </c15:fullRef>
                </c:ext>
              </c:extLst>
              <c:f>Projections!$L$42:$AA$42</c:f>
              <c:numCache>
                <c:formatCode>General</c:formatCode>
                <c:ptCount val="16"/>
                <c:pt idx="0">
                  <c:v>35</c:v>
                </c:pt>
                <c:pt idx="1">
                  <c:v>68</c:v>
                </c:pt>
                <c:pt idx="2" formatCode="#,##0">
                  <c:v>124</c:v>
                </c:pt>
                <c:pt idx="3" formatCode="#,##0">
                  <c:v>221</c:v>
                </c:pt>
                <c:pt idx="4" formatCode="#,##0">
                  <c:v>541</c:v>
                </c:pt>
                <c:pt idx="5" formatCode="#,##0">
                  <c:v>1301</c:v>
                </c:pt>
                <c:pt idx="6" formatCode="#,##0">
                  <c:v>2770</c:v>
                </c:pt>
                <c:pt idx="7" formatCode="#,##0">
                  <c:v>4596</c:v>
                </c:pt>
                <c:pt idx="8" formatCode="#,##0">
                  <c:v>9296</c:v>
                </c:pt>
                <c:pt idx="9" formatCode="#,##0">
                  <c:v>19497</c:v>
                </c:pt>
                <c:pt idx="10" formatCode="#,##0">
                  <c:v>33745</c:v>
                </c:pt>
                <c:pt idx="11" formatCode="#,##0">
                  <c:v>68673</c:v>
                </c:pt>
                <c:pt idx="12" formatCode="#,##0">
                  <c:v>124256</c:v>
                </c:pt>
                <c:pt idx="13" formatCode="#,##0">
                  <c:v>246729</c:v>
                </c:pt>
                <c:pt idx="14" formatCode="#,##0">
                  <c:v>532879</c:v>
                </c:pt>
                <c:pt idx="15" formatCode="#,##0">
                  <c:v>1065758</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Projections!$L$17:$AK$17</c15:sqref>
                  </c15:fullRef>
                </c:ext>
              </c:extLst>
              <c:f>Projections!$L$17:$AA$17</c:f>
              <c:numCache>
                <c:formatCode>m/d/yyyy</c:formatCode>
                <c:ptCount val="16"/>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numCache>
            </c:numRef>
          </c:cat>
          <c:val>
            <c:numRef>
              <c:extLst>
                <c:ext xmlns:c15="http://schemas.microsoft.com/office/drawing/2012/chart" uri="{02D57815-91ED-43cb-92C2-25804820EDAC}">
                  <c15:fullRef>
                    <c15:sqref>Projections!$L$32:$AK$32</c15:sqref>
                  </c15:fullRef>
                </c:ext>
              </c:extLst>
              <c:f>Projections!$L$32:$AA$32</c:f>
              <c:numCache>
                <c:formatCode>#,##0_ ;[Red]\-#,##0\ </c:formatCode>
                <c:ptCount val="16"/>
                <c:pt idx="0">
                  <c:v>1.25</c:v>
                </c:pt>
                <c:pt idx="1">
                  <c:v>2.5</c:v>
                </c:pt>
                <c:pt idx="2">
                  <c:v>5</c:v>
                </c:pt>
                <c:pt idx="3">
                  <c:v>10</c:v>
                </c:pt>
                <c:pt idx="4">
                  <c:v>20</c:v>
                </c:pt>
                <c:pt idx="5">
                  <c:v>40</c:v>
                </c:pt>
                <c:pt idx="6">
                  <c:v>80</c:v>
                </c:pt>
                <c:pt idx="7">
                  <c:v>160</c:v>
                </c:pt>
                <c:pt idx="8">
                  <c:v>320</c:v>
                </c:pt>
                <c:pt idx="9">
                  <c:v>640</c:v>
                </c:pt>
                <c:pt idx="10">
                  <c:v>1280</c:v>
                </c:pt>
                <c:pt idx="11">
                  <c:v>2560</c:v>
                </c:pt>
                <c:pt idx="12">
                  <c:v>5120</c:v>
                </c:pt>
                <c:pt idx="13">
                  <c:v>10240</c:v>
                </c:pt>
                <c:pt idx="14">
                  <c:v>20480</c:v>
                </c:pt>
                <c:pt idx="15">
                  <c:v>40960</c:v>
                </c:pt>
              </c:numCache>
            </c:numRef>
          </c:val>
          <c:smooth val="0"/>
          <c:extLst>
            <c:ext xmlns:c16="http://schemas.microsoft.com/office/drawing/2014/chart" uri="{C3380CC4-5D6E-409C-BE32-E72D297353CC}">
              <c16:uniqueId val="{00000000-50BE-40C1-B679-81AF0BCE3FCD}"/>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Projections!$L$17:$AK$17</c15:sqref>
                  </c15:fullRef>
                </c:ext>
              </c:extLst>
              <c:f>Projections!$L$17:$AA$17</c:f>
              <c:numCache>
                <c:formatCode>m/d/yyyy</c:formatCode>
                <c:ptCount val="16"/>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numCache>
            </c:numRef>
          </c:cat>
          <c:val>
            <c:numRef>
              <c:extLst>
                <c:ext xmlns:c15="http://schemas.microsoft.com/office/drawing/2012/chart" uri="{02D57815-91ED-43cb-92C2-25804820EDAC}">
                  <c15:fullRef>
                    <c15:sqref>Projections!$L$46:$AK$46</c15:sqref>
                  </c15:fullRef>
                </c:ext>
              </c:extLst>
              <c:f>Projections!$L$46:$AA$46</c:f>
              <c:numCache>
                <c:formatCode>General</c:formatCode>
                <c:ptCount val="16"/>
                <c:pt idx="0">
                  <c:v>0</c:v>
                </c:pt>
                <c:pt idx="1">
                  <c:v>1</c:v>
                </c:pt>
                <c:pt idx="2" formatCode="#,##0">
                  <c:v>9</c:v>
                </c:pt>
                <c:pt idx="3" formatCode="#,##0">
                  <c:v>12</c:v>
                </c:pt>
                <c:pt idx="4" formatCode="#,##0">
                  <c:v>22</c:v>
                </c:pt>
                <c:pt idx="5" formatCode="#,##0">
                  <c:v>38</c:v>
                </c:pt>
                <c:pt idx="6" formatCode="#,##0">
                  <c:v>57</c:v>
                </c:pt>
                <c:pt idx="7" formatCode="#,##0">
                  <c:v>87</c:v>
                </c:pt>
                <c:pt idx="8" formatCode="#,##0">
                  <c:v>150</c:v>
                </c:pt>
                <c:pt idx="9" formatCode="#,##0">
                  <c:v>255</c:v>
                </c:pt>
                <c:pt idx="10" formatCode="#,##0">
                  <c:v>414</c:v>
                </c:pt>
                <c:pt idx="11" formatCode="#,##0">
                  <c:v>1028</c:v>
                </c:pt>
                <c:pt idx="12" formatCode="#,##0">
                  <c:v>2222</c:v>
                </c:pt>
                <c:pt idx="13" formatCode="#,##0">
                  <c:v>6088</c:v>
                </c:pt>
                <c:pt idx="14" formatCode="#,##0">
                  <c:v>20577</c:v>
                </c:pt>
                <c:pt idx="15" formatCode="#,##0">
                  <c:v>22108</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Projections!$L$28:$AK$28</c15:sqref>
                  </c15:fullRef>
                </c:ext>
              </c:extLst>
              <c:f>Projections!$L$28:$AE$28</c:f>
              <c:numCache>
                <c:formatCode>#,##0_ ;[Red]\-#,##0\ </c:formatCode>
                <c:ptCount val="20"/>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573.20080200802715</c:v>
                </c:pt>
                <c:pt idx="11">
                  <c:v>1576.9999999999995</c:v>
                </c:pt>
                <c:pt idx="12">
                  <c:v>4145.4455784766114</c:v>
                </c:pt>
                <c:pt idx="13">
                  <c:v>14658.884770024193</c:v>
                </c:pt>
                <c:pt idx="14">
                  <c:v>64486.753877005009</c:v>
                </c:pt>
                <c:pt idx="15">
                  <c:v>1105681.2116311616</c:v>
                </c:pt>
                <c:pt idx="16">
                  <c:v>1229875.0672395315</c:v>
                </c:pt>
                <c:pt idx="17">
                  <c:v>1775562.7810543231</c:v>
                </c:pt>
                <c:pt idx="18">
                  <c:v>2885928.7145459251</c:v>
                </c:pt>
                <c:pt idx="19">
                  <c:v>4999795.2658267329</c:v>
                </c:pt>
              </c:numCache>
            </c:numRef>
          </c:val>
          <c:smooth val="0"/>
          <c:extLst>
            <c:ext xmlns:c16="http://schemas.microsoft.com/office/drawing/2014/chart" uri="{C3380CC4-5D6E-409C-BE32-E72D297353CC}">
              <c16:uniqueId val="{00000000-A3C2-4B4C-996C-CDB1A252886F}"/>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Projections!$L$29:$AK$29</c15:sqref>
                  </c15:fullRef>
                </c:ext>
              </c:extLst>
              <c:f>Projections!$L$29:$AE$29</c:f>
              <c:numCache>
                <c:formatCode>#,##0_ ;[Red]\-#,##0\ </c:formatCode>
                <c:ptCount val="20"/>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573.20080200802715</c:v>
                </c:pt>
                <c:pt idx="11">
                  <c:v>1576.9999999999995</c:v>
                </c:pt>
                <c:pt idx="12">
                  <c:v>4145.4455784766114</c:v>
                </c:pt>
                <c:pt idx="13">
                  <c:v>14658.884770024193</c:v>
                </c:pt>
                <c:pt idx="14">
                  <c:v>58944.211012749765</c:v>
                </c:pt>
                <c:pt idx="15">
                  <c:v>1032538.7643113311</c:v>
                </c:pt>
                <c:pt idx="16">
                  <c:v>1036924.6295448794</c:v>
                </c:pt>
                <c:pt idx="17">
                  <c:v>0</c:v>
                </c:pt>
                <c:pt idx="18">
                  <c:v>806460.24572003365</c:v>
                </c:pt>
                <c:pt idx="19">
                  <c:v>2236346.6338918954</c:v>
                </c:pt>
              </c:numCache>
            </c:numRef>
          </c:val>
          <c:smooth val="0"/>
          <c:extLst>
            <c:ext xmlns:c16="http://schemas.microsoft.com/office/drawing/2014/chart" uri="{C3380CC4-5D6E-409C-BE32-E72D297353CC}">
              <c16:uniqueId val="{00000001-A3C2-4B4C-996C-CDB1A252886F}"/>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Projections!$L$30:$AK$30</c15:sqref>
                  </c15:fullRef>
                </c:ext>
              </c:extLst>
              <c:f>Projections!$L$30:$AE$30</c:f>
              <c:numCache>
                <c:formatCode>#,##0_ ;[Red]\-#,##0\ </c:formatCode>
                <c:ptCount val="20"/>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123.66071428571428</c:v>
                </c:pt>
                <c:pt idx="13">
                  <c:v>514.38422097436683</c:v>
                </c:pt>
                <c:pt idx="14">
                  <c:v>5547.1428571428523</c:v>
                </c:pt>
                <c:pt idx="15">
                  <c:v>75559.287615657406</c:v>
                </c:pt>
                <c:pt idx="16">
                  <c:v>115270.54460090687</c:v>
                </c:pt>
                <c:pt idx="17">
                  <c:v>198342.27127383283</c:v>
                </c:pt>
                <c:pt idx="18">
                  <c:v>360470.47193432442</c:v>
                </c:pt>
                <c:pt idx="19">
                  <c:v>674709.14261228649</c:v>
                </c:pt>
              </c:numCache>
            </c:numRef>
          </c:val>
          <c:smooth val="0"/>
          <c:extLst>
            <c:ext xmlns:c16="http://schemas.microsoft.com/office/drawing/2014/chart" uri="{C3380CC4-5D6E-409C-BE32-E72D297353CC}">
              <c16:uniqueId val="{00000002-A3C2-4B4C-996C-CDB1A252886F}"/>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Projections!$L$31:$AK$31</c15:sqref>
                  </c15:fullRef>
                </c:ext>
              </c:extLst>
              <c:f>Projections!$L$31:$AE$31</c:f>
              <c:numCache>
                <c:formatCode>#,##0_ ;[Red]\-#,##0\ </c:formatCode>
                <c:ptCount val="20"/>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121.90833273345505</c:v>
                </c:pt>
                <c:pt idx="13">
                  <c:v>511.27485454338046</c:v>
                </c:pt>
                <c:pt idx="14">
                  <c:v>5534.0428642552415</c:v>
                </c:pt>
                <c:pt idx="15">
                  <c:v>70705.32231983055</c:v>
                </c:pt>
                <c:pt idx="16">
                  <c:v>52949.22458796404</c:v>
                </c:pt>
                <c:pt idx="17">
                  <c:v>98878.012316485532</c:v>
                </c:pt>
                <c:pt idx="18">
                  <c:v>184980.28702756495</c:v>
                </c:pt>
                <c:pt idx="19">
                  <c:v>350640.87438768358</c:v>
                </c:pt>
              </c:numCache>
            </c:numRef>
          </c:val>
          <c:smooth val="0"/>
          <c:extLst>
            <c:ext xmlns:c16="http://schemas.microsoft.com/office/drawing/2014/chart" uri="{C3380CC4-5D6E-409C-BE32-E72D297353CC}">
              <c16:uniqueId val="{00000003-A3C2-4B4C-996C-CDB1A252886F}"/>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Projections!$L$32:$AK$32</c15:sqref>
                  </c15:fullRef>
                </c:ext>
              </c:extLst>
              <c:f>Projections!$L$32:$AE$32</c:f>
              <c:numCache>
                <c:formatCode>#,##0_ ;[Red]\-#,##0\ </c:formatCode>
                <c:ptCount val="20"/>
                <c:pt idx="0">
                  <c:v>1.25</c:v>
                </c:pt>
                <c:pt idx="1">
                  <c:v>2.5</c:v>
                </c:pt>
                <c:pt idx="2">
                  <c:v>5</c:v>
                </c:pt>
                <c:pt idx="3">
                  <c:v>10</c:v>
                </c:pt>
                <c:pt idx="4">
                  <c:v>20</c:v>
                </c:pt>
                <c:pt idx="5">
                  <c:v>40</c:v>
                </c:pt>
                <c:pt idx="6">
                  <c:v>80</c:v>
                </c:pt>
                <c:pt idx="7">
                  <c:v>160</c:v>
                </c:pt>
                <c:pt idx="8">
                  <c:v>320</c:v>
                </c:pt>
                <c:pt idx="9">
                  <c:v>640</c:v>
                </c:pt>
                <c:pt idx="10">
                  <c:v>1280</c:v>
                </c:pt>
                <c:pt idx="11">
                  <c:v>2560</c:v>
                </c:pt>
                <c:pt idx="12">
                  <c:v>5120</c:v>
                </c:pt>
                <c:pt idx="13">
                  <c:v>10240</c:v>
                </c:pt>
                <c:pt idx="14">
                  <c:v>20480</c:v>
                </c:pt>
                <c:pt idx="15">
                  <c:v>40960</c:v>
                </c:pt>
                <c:pt idx="16">
                  <c:v>81920</c:v>
                </c:pt>
                <c:pt idx="17">
                  <c:v>163840</c:v>
                </c:pt>
                <c:pt idx="18">
                  <c:v>327680</c:v>
                </c:pt>
                <c:pt idx="19">
                  <c:v>655360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Projections!$L$50:$AK$50</c15:sqref>
                  </c15:fullRef>
                </c:ext>
              </c:extLst>
              <c:f>Projections!$L$50:$AE$50</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29540.225765991756</c:v>
                </c:pt>
                <c:pt idx="16">
                  <c:v>59080.451531983512</c:v>
                </c:pt>
                <c:pt idx="17">
                  <c:v>118160.90306396702</c:v>
                </c:pt>
                <c:pt idx="18">
                  <c:v>236321.80612793405</c:v>
                </c:pt>
                <c:pt idx="19">
                  <c:v>472643.61225586809</c:v>
                </c:pt>
              </c:numCache>
            </c:numRef>
          </c:val>
          <c:smooth val="0"/>
          <c:extLst>
            <c:ext xmlns:c16="http://schemas.microsoft.com/office/drawing/2014/chart" uri="{C3380CC4-5D6E-409C-BE32-E72D297353CC}">
              <c16:uniqueId val="{00000000-7972-43AB-83E8-C2C99B4277B0}"/>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Projections!$L$52:$AK$52</c15:sqref>
                  </c15:fullRef>
                </c:ext>
              </c:extLst>
              <c:f>Projections!$L$52:$AE$52</c:f>
              <c:numCache>
                <c:formatCode>#,##0</c:formatCode>
                <c:ptCount val="20"/>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109170.39956996954</c:v>
                </c:pt>
                <c:pt idx="16">
                  <c:v>218340.79913993907</c:v>
                </c:pt>
                <c:pt idx="17">
                  <c:v>436681.59827987815</c:v>
                </c:pt>
                <c:pt idx="18">
                  <c:v>873363.1965597563</c:v>
                </c:pt>
                <c:pt idx="19">
                  <c:v>1746726.3931195126</c:v>
                </c:pt>
              </c:numCache>
            </c:numRef>
          </c:val>
          <c:smooth val="0"/>
          <c:extLst>
            <c:ext xmlns:c16="http://schemas.microsoft.com/office/drawing/2014/chart" uri="{C3380CC4-5D6E-409C-BE32-E72D297353CC}">
              <c16:uniqueId val="{00000001-7972-43AB-83E8-C2C99B4277B0}"/>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Projections!$L$54:$AK$54</c15:sqref>
                  </c15:fullRef>
                </c:ext>
              </c:extLst>
              <c:f>Projections!$L$54:$AE$54</c:f>
              <c:numCache>
                <c:formatCode>#,##0</c:formatCode>
                <c:ptCount val="20"/>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171370.00537538074</c:v>
                </c:pt>
                <c:pt idx="16">
                  <c:v>342740.01075076149</c:v>
                </c:pt>
                <c:pt idx="17">
                  <c:v>685480.02150152298</c:v>
                </c:pt>
                <c:pt idx="18">
                  <c:v>1370960.043003046</c:v>
                </c:pt>
                <c:pt idx="19">
                  <c:v>2741920.0860060919</c:v>
                </c:pt>
              </c:numCache>
            </c:numRef>
          </c:val>
          <c:smooth val="0"/>
          <c:extLst>
            <c:ext xmlns:c16="http://schemas.microsoft.com/office/drawing/2014/chart" uri="{C3380CC4-5D6E-409C-BE32-E72D297353CC}">
              <c16:uniqueId val="{00000002-7972-43AB-83E8-C2C99B4277B0}"/>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Projections!$L$56:$AK$56</c15:sqref>
                  </c15:fullRef>
                </c:ext>
              </c:extLst>
              <c:f>Projections!$L$56:$AE$56</c:f>
              <c:numCache>
                <c:formatCode>#,##0</c:formatCode>
                <c:ptCount val="20"/>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159076.86794481275</c:v>
                </c:pt>
                <c:pt idx="16">
                  <c:v>318153.7358896255</c:v>
                </c:pt>
                <c:pt idx="17">
                  <c:v>636307.47177925101</c:v>
                </c:pt>
                <c:pt idx="18">
                  <c:v>1272614.943558502</c:v>
                </c:pt>
                <c:pt idx="19">
                  <c:v>2545229.887117004</c:v>
                </c:pt>
              </c:numCache>
            </c:numRef>
          </c:val>
          <c:smooth val="0"/>
          <c:extLst>
            <c:ext xmlns:c16="http://schemas.microsoft.com/office/drawing/2014/chart" uri="{C3380CC4-5D6E-409C-BE32-E72D297353CC}">
              <c16:uniqueId val="{00000003-7972-43AB-83E8-C2C99B4277B0}"/>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Projections!$L$58:$AK$58</c15:sqref>
                  </c15:fullRef>
                </c:ext>
              </c:extLst>
              <c:f>Projections!$L$58:$AE$58</c:f>
              <c:numCache>
                <c:formatCode>#,##0</c:formatCode>
                <c:ptCount val="20"/>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132839.27611539149</c:v>
                </c:pt>
                <c:pt idx="16">
                  <c:v>265678.55223078298</c:v>
                </c:pt>
                <c:pt idx="17">
                  <c:v>531357.10446156596</c:v>
                </c:pt>
                <c:pt idx="18">
                  <c:v>1062714.2089231319</c:v>
                </c:pt>
                <c:pt idx="19">
                  <c:v>2125428.4178462639</c:v>
                </c:pt>
              </c:numCache>
            </c:numRef>
          </c:val>
          <c:smooth val="0"/>
          <c:extLst>
            <c:ext xmlns:c16="http://schemas.microsoft.com/office/drawing/2014/chart" uri="{C3380CC4-5D6E-409C-BE32-E72D297353CC}">
              <c16:uniqueId val="{00000004-7972-43AB-83E8-C2C99B4277B0}"/>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Projections!$L$60:$AK$60</c15:sqref>
                  </c15:fullRef>
                </c:ext>
              </c:extLst>
              <c:f>Projections!$L$60:$AE$60</c:f>
              <c:numCache>
                <c:formatCode>#,##0</c:formatCode>
                <c:ptCount val="20"/>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161095.1442393836</c:v>
                </c:pt>
                <c:pt idx="16">
                  <c:v>322190.28847876721</c:v>
                </c:pt>
                <c:pt idx="17">
                  <c:v>644380.57695753442</c:v>
                </c:pt>
                <c:pt idx="18">
                  <c:v>1288761.1539150688</c:v>
                </c:pt>
                <c:pt idx="19">
                  <c:v>2577522.3078301377</c:v>
                </c:pt>
              </c:numCache>
            </c:numRef>
          </c:val>
          <c:smooth val="0"/>
          <c:extLst>
            <c:ext xmlns:c16="http://schemas.microsoft.com/office/drawing/2014/chart" uri="{C3380CC4-5D6E-409C-BE32-E72D297353CC}">
              <c16:uniqueId val="{00000005-7972-43AB-83E8-C2C99B4277B0}"/>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Projections!$L$62:$AK$62</c15:sqref>
                  </c15:fullRef>
                </c:ext>
              </c:extLst>
              <c:f>Projections!$L$62:$AE$62</c:f>
              <c:numCache>
                <c:formatCode>#,##0</c:formatCode>
                <c:ptCount val="20"/>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221276.47375022396</c:v>
                </c:pt>
                <c:pt idx="16">
                  <c:v>442552.94750044792</c:v>
                </c:pt>
                <c:pt idx="17">
                  <c:v>885105.89500089583</c:v>
                </c:pt>
                <c:pt idx="18">
                  <c:v>1770211.7900017917</c:v>
                </c:pt>
                <c:pt idx="19">
                  <c:v>3540423.5800035833</c:v>
                </c:pt>
              </c:numCache>
            </c:numRef>
          </c:val>
          <c:smooth val="0"/>
          <c:extLst>
            <c:ext xmlns:c16="http://schemas.microsoft.com/office/drawing/2014/chart" uri="{C3380CC4-5D6E-409C-BE32-E72D297353CC}">
              <c16:uniqueId val="{00000006-7972-43AB-83E8-C2C99B4277B0}"/>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Projections!$L$64:$AK$64</c15:sqref>
                  </c15:fullRef>
                </c:ext>
              </c:extLst>
              <c:f>Projections!$L$64:$AE$64</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29540.225765991756</c:v>
                </c:pt>
                <c:pt idx="16">
                  <c:v>59080.451531983512</c:v>
                </c:pt>
                <c:pt idx="17">
                  <c:v>118160.90306396702</c:v>
                </c:pt>
                <c:pt idx="18">
                  <c:v>236321.80612793405</c:v>
                </c:pt>
                <c:pt idx="19">
                  <c:v>472643.61225586809</c:v>
                </c:pt>
              </c:numCache>
            </c:numRef>
          </c:val>
          <c:smooth val="0"/>
          <c:extLst>
            <c:ext xmlns:c16="http://schemas.microsoft.com/office/drawing/2014/chart" uri="{C3380CC4-5D6E-409C-BE32-E72D297353CC}">
              <c16:uniqueId val="{00000007-7972-43AB-83E8-C2C99B4277B0}"/>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Projections!$L$66:$AK$66</c15:sqref>
                  </c15:fullRef>
                </c:ext>
              </c:extLst>
              <c:f>Projections!$L$66:$AE$66</c:f>
              <c:numCache>
                <c:formatCode>#,##0</c:formatCode>
                <c:ptCount val="20"/>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10091.381472854326</c:v>
                </c:pt>
                <c:pt idx="16">
                  <c:v>20182.762945708651</c:v>
                </c:pt>
                <c:pt idx="17">
                  <c:v>40365.525891417303</c:v>
                </c:pt>
                <c:pt idx="18">
                  <c:v>80731.051782834606</c:v>
                </c:pt>
                <c:pt idx="19">
                  <c:v>161462.10356566921</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Projections!$L$51:$AK$51</c15:sqref>
                  </c15:fullRef>
                </c:ext>
              </c:extLst>
              <c:f>Projections!$L$51:$AE$51</c:f>
              <c:numCache>
                <c:formatCode>#,##0</c:formatCode>
                <c:ptCount val="20"/>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4371.9534133667794</c:v>
                </c:pt>
                <c:pt idx="16">
                  <c:v>8743.9068267335588</c:v>
                </c:pt>
                <c:pt idx="17">
                  <c:v>17487.813653467118</c:v>
                </c:pt>
                <c:pt idx="18">
                  <c:v>34975.627306934235</c:v>
                </c:pt>
                <c:pt idx="19">
                  <c:v>69951.25461386847</c:v>
                </c:pt>
              </c:numCache>
            </c:numRef>
          </c:val>
          <c:smooth val="0"/>
          <c:extLst>
            <c:ext xmlns:c16="http://schemas.microsoft.com/office/drawing/2014/chart" uri="{C3380CC4-5D6E-409C-BE32-E72D297353CC}">
              <c16:uniqueId val="{00000000-FE50-482D-905D-7C3B099138E4}"/>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Projections!$L$53:$AK$53</c15:sqref>
                  </c15:fullRef>
                </c:ext>
              </c:extLst>
              <c:f>Projections!$L$53:$AE$53</c:f>
              <c:numCache>
                <c:formatCode>#,##0</c:formatCode>
                <c:ptCount val="20"/>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8733.631965597564</c:v>
                </c:pt>
                <c:pt idx="16">
                  <c:v>17467.263931195128</c:v>
                </c:pt>
                <c:pt idx="17">
                  <c:v>34934.527862390256</c:v>
                </c:pt>
                <c:pt idx="18">
                  <c:v>69869.055724780512</c:v>
                </c:pt>
                <c:pt idx="19">
                  <c:v>139738.11144956102</c:v>
                </c:pt>
              </c:numCache>
            </c:numRef>
          </c:val>
          <c:smooth val="0"/>
          <c:extLst>
            <c:ext xmlns:c16="http://schemas.microsoft.com/office/drawing/2014/chart" uri="{C3380CC4-5D6E-409C-BE32-E72D297353CC}">
              <c16:uniqueId val="{00000001-FE50-482D-905D-7C3B099138E4}"/>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Projections!$L$55:$AK$55</c15:sqref>
                  </c15:fullRef>
                </c:ext>
              </c:extLst>
              <c:f>Projections!$L$55:$AE$55</c:f>
              <c:numCache>
                <c:formatCode>#,##0</c:formatCode>
                <c:ptCount val="20"/>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6169.3201935137067</c:v>
                </c:pt>
                <c:pt idx="16">
                  <c:v>12338.640387027413</c:v>
                </c:pt>
                <c:pt idx="17">
                  <c:v>24677.280774054827</c:v>
                </c:pt>
                <c:pt idx="18">
                  <c:v>49354.561548109654</c:v>
                </c:pt>
                <c:pt idx="19">
                  <c:v>98709.123096219308</c:v>
                </c:pt>
              </c:numCache>
            </c:numRef>
          </c:val>
          <c:smooth val="0"/>
          <c:extLst>
            <c:ext xmlns:c16="http://schemas.microsoft.com/office/drawing/2014/chart" uri="{C3380CC4-5D6E-409C-BE32-E72D297353CC}">
              <c16:uniqueId val="{00000002-FE50-482D-905D-7C3B099138E4}"/>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Projections!$L$57:$AK$57</c15:sqref>
                  </c15:fullRef>
                </c:ext>
              </c:extLst>
              <c:f>Projections!$L$57:$AE$57</c:f>
              <c:numCache>
                <c:formatCode>#,##0</c:formatCode>
                <c:ptCount val="20"/>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2067.9992832825656</c:v>
                </c:pt>
                <c:pt idx="16">
                  <c:v>4135.9985665651311</c:v>
                </c:pt>
                <c:pt idx="17">
                  <c:v>8271.9971331302622</c:v>
                </c:pt>
                <c:pt idx="18">
                  <c:v>16543.994266260524</c:v>
                </c:pt>
                <c:pt idx="19">
                  <c:v>33087.988532521049</c:v>
                </c:pt>
              </c:numCache>
            </c:numRef>
          </c:val>
          <c:smooth val="0"/>
          <c:extLst>
            <c:ext xmlns:c16="http://schemas.microsoft.com/office/drawing/2014/chart" uri="{C3380CC4-5D6E-409C-BE32-E72D297353CC}">
              <c16:uniqueId val="{00000003-FE50-482D-905D-7C3B099138E4}"/>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Projections!$L$59:$AK$59</c15:sqref>
                  </c15:fullRef>
                </c:ext>
              </c:extLst>
              <c:f>Projections!$L$59:$AE$59</c:f>
              <c:numCache>
                <c:formatCode>#,##0</c:formatCode>
                <c:ptCount val="20"/>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531.357104461566</c:v>
                </c:pt>
                <c:pt idx="16">
                  <c:v>1062.714208923132</c:v>
                </c:pt>
                <c:pt idx="17">
                  <c:v>2125.428417846264</c:v>
                </c:pt>
                <c:pt idx="18">
                  <c:v>4250.856835692528</c:v>
                </c:pt>
                <c:pt idx="19">
                  <c:v>8501.7136713850559</c:v>
                </c:pt>
              </c:numCache>
            </c:numRef>
          </c:val>
          <c:smooth val="0"/>
          <c:extLst>
            <c:ext xmlns:c16="http://schemas.microsoft.com/office/drawing/2014/chart" uri="{C3380CC4-5D6E-409C-BE32-E72D297353CC}">
              <c16:uniqueId val="{00000004-FE50-482D-905D-7C3B099138E4}"/>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Projections!$L$61:$AK$61</c15:sqref>
                  </c15:fullRef>
                </c:ext>
              </c:extLst>
              <c:f>Projections!$L$61:$AE$61</c:f>
              <c:numCache>
                <c:formatCode>#,##0</c:formatCode>
                <c:ptCount val="20"/>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322.19028847876723</c:v>
                </c:pt>
                <c:pt idx="16">
                  <c:v>644.38057695753446</c:v>
                </c:pt>
                <c:pt idx="17">
                  <c:v>1288.7611539150689</c:v>
                </c:pt>
                <c:pt idx="18">
                  <c:v>2577.5223078301378</c:v>
                </c:pt>
                <c:pt idx="19">
                  <c:v>5155.0446156602757</c:v>
                </c:pt>
              </c:numCache>
            </c:numRef>
          </c:val>
          <c:smooth val="0"/>
          <c:extLst>
            <c:ext xmlns:c16="http://schemas.microsoft.com/office/drawing/2014/chart" uri="{C3380CC4-5D6E-409C-BE32-E72D297353CC}">
              <c16:uniqueId val="{00000005-FE50-482D-905D-7C3B099138E4}"/>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Projections!$L$63:$AK$63</c15:sqref>
                  </c15:fullRef>
                </c:ext>
              </c:extLst>
              <c:f>Projections!$L$63:$AE$63</c:f>
              <c:numCache>
                <c:formatCode>#,##0</c:formatCode>
                <c:ptCount val="20"/>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442.55294750044794</c:v>
                </c:pt>
                <c:pt idx="16">
                  <c:v>885.10589500089588</c:v>
                </c:pt>
                <c:pt idx="17">
                  <c:v>1770.2117900017918</c:v>
                </c:pt>
                <c:pt idx="18">
                  <c:v>3540.4235800035835</c:v>
                </c:pt>
                <c:pt idx="19">
                  <c:v>7080.8471600071671</c:v>
                </c:pt>
              </c:numCache>
            </c:numRef>
          </c:val>
          <c:smooth val="0"/>
          <c:extLst>
            <c:ext xmlns:c16="http://schemas.microsoft.com/office/drawing/2014/chart" uri="{C3380CC4-5D6E-409C-BE32-E72D297353CC}">
              <c16:uniqueId val="{00000006-FE50-482D-905D-7C3B099138E4}"/>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Projections!$L$65:$AK$65</c15:sqref>
                  </c15:fullRef>
                </c:ext>
              </c:extLst>
              <c:f>Projections!$L$65:$AE$65</c:f>
              <c:numCache>
                <c:formatCode>#,##0</c:formatCode>
                <c:ptCount val="20"/>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59.080451531983513</c:v>
                </c:pt>
                <c:pt idx="16">
                  <c:v>118.16090306396703</c:v>
                </c:pt>
                <c:pt idx="17">
                  <c:v>236.32180612793405</c:v>
                </c:pt>
                <c:pt idx="18">
                  <c:v>472.64361225586811</c:v>
                </c:pt>
                <c:pt idx="19">
                  <c:v>945.28722451173621</c:v>
                </c:pt>
              </c:numCache>
            </c:numRef>
          </c:val>
          <c:smooth val="0"/>
          <c:extLst>
            <c:ext xmlns:c16="http://schemas.microsoft.com/office/drawing/2014/chart" uri="{C3380CC4-5D6E-409C-BE32-E72D297353CC}">
              <c16:uniqueId val="{00000007-FE50-482D-905D-7C3B099138E4}"/>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Projections!$L$67:$AK$67</c15:sqref>
                  </c15:fullRef>
                </c:ext>
              </c:extLst>
              <c:f>Projections!$L$67:$AE$67</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Projections!$L$79:$AK$79</c15:sqref>
                  </c15:fullRef>
                </c:ext>
              </c:extLst>
              <c:f>Projections!$L$79:$AE$79</c:f>
              <c:numCache>
                <c:formatCode>#,##0</c:formatCode>
                <c:ptCount val="20"/>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471040</c:v>
                </c:pt>
                <c:pt idx="16">
                  <c:v>942080</c:v>
                </c:pt>
                <c:pt idx="17">
                  <c:v>1884160</c:v>
                </c:pt>
                <c:pt idx="18">
                  <c:v>3768320</c:v>
                </c:pt>
                <c:pt idx="19">
                  <c:v>7536640</c:v>
                </c:pt>
              </c:numCache>
            </c:numRef>
          </c:val>
          <c:smooth val="0"/>
          <c:extLst>
            <c:ext xmlns:c16="http://schemas.microsoft.com/office/drawing/2014/chart" uri="{C3380CC4-5D6E-409C-BE32-E72D297353CC}">
              <c16:uniqueId val="{00000000-C5BA-4495-93D4-AC4CA8674604}"/>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Projections!$L$77:$AK$77</c15:sqref>
                  </c15:fullRef>
                </c:ext>
              </c:extLst>
              <c:f>Projections!$L$77:$AE$77</c:f>
              <c:numCache>
                <c:formatCode>#,##0</c:formatCode>
                <c:ptCount val="20"/>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137216</c:v>
                </c:pt>
                <c:pt idx="16">
                  <c:v>274432</c:v>
                </c:pt>
                <c:pt idx="17">
                  <c:v>548864</c:v>
                </c:pt>
                <c:pt idx="18">
                  <c:v>1097728</c:v>
                </c:pt>
                <c:pt idx="19">
                  <c:v>2195456</c:v>
                </c:pt>
              </c:numCache>
            </c:numRef>
          </c:val>
          <c:smooth val="0"/>
          <c:extLst>
            <c:ext xmlns:c16="http://schemas.microsoft.com/office/drawing/2014/chart" uri="{C3380CC4-5D6E-409C-BE32-E72D297353CC}">
              <c16:uniqueId val="{00000001-C5BA-4495-93D4-AC4CA8674604}"/>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Projections!$L$83:$AK$83</c15:sqref>
                  </c15:fullRef>
                </c:ext>
              </c:extLst>
              <c:f>Projections!$L$83:$AE$83</c:f>
              <c:numCache>
                <c:formatCode>#,##0</c:formatCode>
                <c:ptCount val="20"/>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158720</c:v>
                </c:pt>
                <c:pt idx="16">
                  <c:v>317440</c:v>
                </c:pt>
                <c:pt idx="17">
                  <c:v>634880</c:v>
                </c:pt>
                <c:pt idx="18">
                  <c:v>1269760</c:v>
                </c:pt>
                <c:pt idx="19">
                  <c:v>2539520</c:v>
                </c:pt>
              </c:numCache>
            </c:numRef>
          </c:val>
          <c:smooth val="0"/>
          <c:extLst>
            <c:ext xmlns:c16="http://schemas.microsoft.com/office/drawing/2014/chart" uri="{C3380CC4-5D6E-409C-BE32-E72D297353CC}">
              <c16:uniqueId val="{00000002-C5BA-4495-93D4-AC4CA8674604}"/>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Projections!$L$73:$AK$73</c15:sqref>
                  </c15:fullRef>
                </c:ext>
              </c:extLst>
              <c:f>Projections!$L$73:$AE$73</c:f>
              <c:numCache>
                <c:formatCode>#,##0</c:formatCode>
                <c:ptCount val="20"/>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376832</c:v>
                </c:pt>
                <c:pt idx="16">
                  <c:v>753664</c:v>
                </c:pt>
                <c:pt idx="17">
                  <c:v>1507328</c:v>
                </c:pt>
                <c:pt idx="18">
                  <c:v>3014656</c:v>
                </c:pt>
                <c:pt idx="19">
                  <c:v>6029312</c:v>
                </c:pt>
              </c:numCache>
            </c:numRef>
          </c:val>
          <c:smooth val="0"/>
          <c:extLst>
            <c:ext xmlns:c16="http://schemas.microsoft.com/office/drawing/2014/chart" uri="{C3380CC4-5D6E-409C-BE32-E72D297353CC}">
              <c16:uniqueId val="{00000003-C5BA-4495-93D4-AC4CA8674604}"/>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Projections!$L$75:$AK$75</c15:sqref>
                  </c15:fullRef>
                </c:ext>
              </c:extLst>
              <c:f>Projections!$L$75:$AE$75</c:f>
              <c:numCache>
                <c:formatCode>#,##0</c:formatCode>
                <c:ptCount val="20"/>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100352</c:v>
                </c:pt>
                <c:pt idx="16">
                  <c:v>200704</c:v>
                </c:pt>
                <c:pt idx="17">
                  <c:v>401408</c:v>
                </c:pt>
                <c:pt idx="18">
                  <c:v>802816</c:v>
                </c:pt>
                <c:pt idx="19">
                  <c:v>1605632</c:v>
                </c:pt>
              </c:numCache>
            </c:numRef>
          </c:val>
          <c:smooth val="0"/>
          <c:extLst>
            <c:ext xmlns:c16="http://schemas.microsoft.com/office/drawing/2014/chart" uri="{C3380CC4-5D6E-409C-BE32-E72D297353CC}">
              <c16:uniqueId val="{00000004-C5BA-4495-93D4-AC4CA8674604}"/>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Projections!$L$81:$AK$81</c15:sqref>
                  </c15:fullRef>
                </c:ext>
              </c:extLst>
              <c:f>Projections!$L$81:$AE$81</c:f>
              <c:numCache>
                <c:formatCode>#,##0</c:formatCode>
                <c:ptCount val="20"/>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4495.3599999999997</c:v>
                </c:pt>
                <c:pt idx="16">
                  <c:v>8990.7199999999993</c:v>
                </c:pt>
                <c:pt idx="17">
                  <c:v>17981.439999999999</c:v>
                </c:pt>
                <c:pt idx="18">
                  <c:v>35962.879999999997</c:v>
                </c:pt>
                <c:pt idx="19">
                  <c:v>71925.759999999995</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Projections!$L$80:$AK$80</c15:sqref>
                  </c15:fullRef>
                </c:ext>
              </c:extLst>
              <c:f>Projections!$L$80:$AE$80</c:f>
              <c:numCache>
                <c:formatCode>#,##0</c:formatCode>
                <c:ptCount val="20"/>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28262.399999999998</c:v>
                </c:pt>
                <c:pt idx="16">
                  <c:v>56524.799999999996</c:v>
                </c:pt>
                <c:pt idx="17">
                  <c:v>113049.59999999999</c:v>
                </c:pt>
                <c:pt idx="18">
                  <c:v>226099.19999999998</c:v>
                </c:pt>
                <c:pt idx="19">
                  <c:v>452198.39999999997</c:v>
                </c:pt>
              </c:numCache>
            </c:numRef>
          </c:val>
          <c:smooth val="0"/>
          <c:extLst>
            <c:ext xmlns:c16="http://schemas.microsoft.com/office/drawing/2014/chart" uri="{C3380CC4-5D6E-409C-BE32-E72D297353CC}">
              <c16:uniqueId val="{00000000-5E66-4AF0-A3CA-7CF12153AA8E}"/>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Projections!$L$78:$AK$78</c15:sqref>
                  </c15:fullRef>
                </c:ext>
              </c:extLst>
              <c:f>Projections!$L$78:$AE$78</c:f>
              <c:numCache>
                <c:formatCode>#,##0</c:formatCode>
                <c:ptCount val="20"/>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8644.6080000000002</c:v>
                </c:pt>
                <c:pt idx="16">
                  <c:v>17289.216</c:v>
                </c:pt>
                <c:pt idx="17">
                  <c:v>34578.432000000001</c:v>
                </c:pt>
                <c:pt idx="18">
                  <c:v>69156.864000000001</c:v>
                </c:pt>
                <c:pt idx="19">
                  <c:v>138313.728</c:v>
                </c:pt>
              </c:numCache>
            </c:numRef>
          </c:val>
          <c:smooth val="0"/>
          <c:extLst>
            <c:ext xmlns:c16="http://schemas.microsoft.com/office/drawing/2014/chart" uri="{C3380CC4-5D6E-409C-BE32-E72D297353CC}">
              <c16:uniqueId val="{00000001-5E66-4AF0-A3CA-7CF12153AA8E}"/>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Projections!$L$74:$AK$74</c15:sqref>
                  </c15:fullRef>
                </c:ext>
              </c:extLst>
              <c:f>Projections!$L$74:$AE$74</c:f>
              <c:numCache>
                <c:formatCode>#,##0</c:formatCode>
                <c:ptCount val="20"/>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39567.360000000001</c:v>
                </c:pt>
                <c:pt idx="16">
                  <c:v>79134.720000000001</c:v>
                </c:pt>
                <c:pt idx="17">
                  <c:v>158269.44</c:v>
                </c:pt>
                <c:pt idx="18">
                  <c:v>316538.88</c:v>
                </c:pt>
                <c:pt idx="19">
                  <c:v>633077.76000000001</c:v>
                </c:pt>
              </c:numCache>
            </c:numRef>
          </c:val>
          <c:smooth val="0"/>
          <c:extLst>
            <c:ext xmlns:c16="http://schemas.microsoft.com/office/drawing/2014/chart" uri="{C3380CC4-5D6E-409C-BE32-E72D297353CC}">
              <c16:uniqueId val="{00000002-5E66-4AF0-A3CA-7CF12153AA8E}"/>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Projections!$L$76:$AK$76</c15:sqref>
                  </c15:fullRef>
                </c:ext>
              </c:extLst>
              <c:f>Projections!$L$76:$AE$76</c:f>
              <c:numCache>
                <c:formatCode>#,##0</c:formatCode>
                <c:ptCount val="20"/>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7325.6959999999999</c:v>
                </c:pt>
                <c:pt idx="16">
                  <c:v>14651.392</c:v>
                </c:pt>
                <c:pt idx="17">
                  <c:v>29302.784</c:v>
                </c:pt>
                <c:pt idx="18">
                  <c:v>58605.567999999999</c:v>
                </c:pt>
                <c:pt idx="19">
                  <c:v>117211.136</c:v>
                </c:pt>
              </c:numCache>
            </c:numRef>
          </c:val>
          <c:smooth val="0"/>
          <c:extLst>
            <c:ext xmlns:c16="http://schemas.microsoft.com/office/drawing/2014/chart" uri="{C3380CC4-5D6E-409C-BE32-E72D297353CC}">
              <c16:uniqueId val="{00000003-5E66-4AF0-A3CA-7CF12153AA8E}"/>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Projections!$L$82:$AK$82</c15:sqref>
                  </c15:fullRef>
                </c:ext>
              </c:extLst>
              <c:f>Projections!$L$82:$AE$82</c:f>
              <c:numCache>
                <c:formatCode>#,##0</c:formatCode>
                <c:ptCount val="20"/>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251.74015999999997</c:v>
                </c:pt>
                <c:pt idx="16">
                  <c:v>503.48031999999995</c:v>
                </c:pt>
                <c:pt idx="17">
                  <c:v>1006.9606399999999</c:v>
                </c:pt>
                <c:pt idx="18">
                  <c:v>2013.9212799999998</c:v>
                </c:pt>
                <c:pt idx="19">
                  <c:v>4027.8425599999996</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Projections!$L$17:$AK$17</c15:sqref>
                  </c15:fullRef>
                </c:ext>
              </c:extLst>
              <c:f>Projections!$L$17:$AA$17</c:f>
              <c:numCache>
                <c:formatCode>m/d/yyyy</c:formatCode>
                <c:ptCount val="16"/>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numCache>
            </c:numRef>
          </c:cat>
          <c:val>
            <c:numRef>
              <c:extLst>
                <c:ext xmlns:c15="http://schemas.microsoft.com/office/drawing/2012/chart" uri="{02D57815-91ED-43cb-92C2-25804820EDAC}">
                  <c15:fullRef>
                    <c15:sqref>Projections!$L$18:$AK$18</c15:sqref>
                  </c15:fullRef>
                </c:ext>
              </c:extLst>
              <c:f>Projections!$L$18:$AA$18</c:f>
              <c:numCache>
                <c:formatCode>#,##0_ ;[Red]\-#,##0\ </c:formatCode>
                <c:ptCount val="16"/>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numCache>
            </c:numRef>
          </c:val>
          <c:smooth val="0"/>
          <c:extLst>
            <c:ext xmlns:c16="http://schemas.microsoft.com/office/drawing/2014/chart" uri="{C3380CC4-5D6E-409C-BE32-E72D297353CC}">
              <c16:uniqueId val="{00000000-9DE3-43B6-B60B-9B4AA4851702}"/>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Projections!$L$17:$AK$17</c15:sqref>
                  </c15:fullRef>
                </c:ext>
              </c:extLst>
              <c:f>Projections!$L$17:$AA$17</c:f>
              <c:numCache>
                <c:formatCode>m/d/yyyy</c:formatCode>
                <c:ptCount val="16"/>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numCache>
            </c:numRef>
          </c:cat>
          <c:val>
            <c:numRef>
              <c:extLst>
                <c:ext xmlns:c15="http://schemas.microsoft.com/office/drawing/2012/chart" uri="{02D57815-91ED-43cb-92C2-25804820EDAC}">
                  <c15:fullRef>
                    <c15:sqref>Projections!$L$42:$AK$42</c15:sqref>
                  </c15:fullRef>
                </c:ext>
              </c:extLst>
              <c:f>Projections!$L$42:$AA$42</c:f>
              <c:numCache>
                <c:formatCode>General</c:formatCode>
                <c:ptCount val="16"/>
                <c:pt idx="0">
                  <c:v>35</c:v>
                </c:pt>
                <c:pt idx="1">
                  <c:v>68</c:v>
                </c:pt>
                <c:pt idx="2" formatCode="#,##0">
                  <c:v>124</c:v>
                </c:pt>
                <c:pt idx="3" formatCode="#,##0">
                  <c:v>221</c:v>
                </c:pt>
                <c:pt idx="4" formatCode="#,##0">
                  <c:v>541</c:v>
                </c:pt>
                <c:pt idx="5" formatCode="#,##0">
                  <c:v>1301</c:v>
                </c:pt>
                <c:pt idx="6" formatCode="#,##0">
                  <c:v>2770</c:v>
                </c:pt>
                <c:pt idx="7" formatCode="#,##0">
                  <c:v>4596</c:v>
                </c:pt>
                <c:pt idx="8" formatCode="#,##0">
                  <c:v>9296</c:v>
                </c:pt>
                <c:pt idx="9" formatCode="#,##0">
                  <c:v>19497</c:v>
                </c:pt>
                <c:pt idx="10" formatCode="#,##0">
                  <c:v>33745</c:v>
                </c:pt>
                <c:pt idx="11" formatCode="#,##0">
                  <c:v>68673</c:v>
                </c:pt>
                <c:pt idx="12" formatCode="#,##0">
                  <c:v>124256</c:v>
                </c:pt>
                <c:pt idx="13" formatCode="#,##0">
                  <c:v>246729</c:v>
                </c:pt>
                <c:pt idx="14" formatCode="#,##0">
                  <c:v>532879</c:v>
                </c:pt>
                <c:pt idx="15" formatCode="#,##0">
                  <c:v>1065758</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Projections!$L$17:$AK$17</c15:sqref>
                  </c15:fullRef>
                </c:ext>
              </c:extLst>
              <c:f>Projections!$L$17:$AA$17</c:f>
              <c:numCache>
                <c:formatCode>m/d/yyyy</c:formatCode>
                <c:ptCount val="16"/>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numCache>
            </c:numRef>
          </c:cat>
          <c:val>
            <c:numRef>
              <c:extLst>
                <c:ext xmlns:c15="http://schemas.microsoft.com/office/drawing/2012/chart" uri="{02D57815-91ED-43cb-92C2-25804820EDAC}">
                  <c15:fullRef>
                    <c15:sqref>Projections!$L$32:$AK$32</c15:sqref>
                  </c15:fullRef>
                </c:ext>
              </c:extLst>
              <c:f>Projections!$L$32:$AA$32</c:f>
              <c:numCache>
                <c:formatCode>#,##0_ ;[Red]\-#,##0\ </c:formatCode>
                <c:ptCount val="16"/>
                <c:pt idx="0">
                  <c:v>1.25</c:v>
                </c:pt>
                <c:pt idx="1">
                  <c:v>2.5</c:v>
                </c:pt>
                <c:pt idx="2">
                  <c:v>5</c:v>
                </c:pt>
                <c:pt idx="3">
                  <c:v>10</c:v>
                </c:pt>
                <c:pt idx="4">
                  <c:v>20</c:v>
                </c:pt>
                <c:pt idx="5">
                  <c:v>40</c:v>
                </c:pt>
                <c:pt idx="6">
                  <c:v>80</c:v>
                </c:pt>
                <c:pt idx="7">
                  <c:v>160</c:v>
                </c:pt>
                <c:pt idx="8">
                  <c:v>320</c:v>
                </c:pt>
                <c:pt idx="9">
                  <c:v>640</c:v>
                </c:pt>
                <c:pt idx="10">
                  <c:v>1280</c:v>
                </c:pt>
                <c:pt idx="11">
                  <c:v>2560</c:v>
                </c:pt>
                <c:pt idx="12">
                  <c:v>5120</c:v>
                </c:pt>
                <c:pt idx="13">
                  <c:v>10240</c:v>
                </c:pt>
                <c:pt idx="14">
                  <c:v>20480</c:v>
                </c:pt>
                <c:pt idx="15">
                  <c:v>40960</c:v>
                </c:pt>
              </c:numCache>
            </c:numRef>
          </c:val>
          <c:smooth val="0"/>
          <c:extLst>
            <c:ext xmlns:c16="http://schemas.microsoft.com/office/drawing/2014/chart" uri="{C3380CC4-5D6E-409C-BE32-E72D297353CC}">
              <c16:uniqueId val="{00000000-FE1B-4946-A476-7952C5C71231}"/>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Projections!$L$17:$AK$17</c15:sqref>
                  </c15:fullRef>
                </c:ext>
              </c:extLst>
              <c:f>Projections!$L$17:$AA$17</c:f>
              <c:numCache>
                <c:formatCode>m/d/yyyy</c:formatCode>
                <c:ptCount val="16"/>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numCache>
            </c:numRef>
          </c:cat>
          <c:val>
            <c:numRef>
              <c:extLst>
                <c:ext xmlns:c15="http://schemas.microsoft.com/office/drawing/2012/chart" uri="{02D57815-91ED-43cb-92C2-25804820EDAC}">
                  <c15:fullRef>
                    <c15:sqref>Projections!$L$46:$AK$46</c15:sqref>
                  </c15:fullRef>
                </c:ext>
              </c:extLst>
              <c:f>Projections!$L$46:$AA$46</c:f>
              <c:numCache>
                <c:formatCode>General</c:formatCode>
                <c:ptCount val="16"/>
                <c:pt idx="0">
                  <c:v>0</c:v>
                </c:pt>
                <c:pt idx="1">
                  <c:v>1</c:v>
                </c:pt>
                <c:pt idx="2" formatCode="#,##0">
                  <c:v>9</c:v>
                </c:pt>
                <c:pt idx="3" formatCode="#,##0">
                  <c:v>12</c:v>
                </c:pt>
                <c:pt idx="4" formatCode="#,##0">
                  <c:v>22</c:v>
                </c:pt>
                <c:pt idx="5" formatCode="#,##0">
                  <c:v>38</c:v>
                </c:pt>
                <c:pt idx="6" formatCode="#,##0">
                  <c:v>57</c:v>
                </c:pt>
                <c:pt idx="7" formatCode="#,##0">
                  <c:v>87</c:v>
                </c:pt>
                <c:pt idx="8" formatCode="#,##0">
                  <c:v>150</c:v>
                </c:pt>
                <c:pt idx="9" formatCode="#,##0">
                  <c:v>255</c:v>
                </c:pt>
                <c:pt idx="10" formatCode="#,##0">
                  <c:v>414</c:v>
                </c:pt>
                <c:pt idx="11" formatCode="#,##0">
                  <c:v>1028</c:v>
                </c:pt>
                <c:pt idx="12" formatCode="#,##0">
                  <c:v>2222</c:v>
                </c:pt>
                <c:pt idx="13" formatCode="#,##0">
                  <c:v>6088</c:v>
                </c:pt>
                <c:pt idx="14" formatCode="#,##0">
                  <c:v>20577</c:v>
                </c:pt>
                <c:pt idx="15" formatCode="#,##0">
                  <c:v>22108</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25</c:v>
                </c:pt>
                <c:pt idx="4">
                  <c:v>50</c:v>
                </c:pt>
                <c:pt idx="5">
                  <c:v>100</c:v>
                </c:pt>
                <c:pt idx="6">
                  <c:v>200</c:v>
                </c:pt>
                <c:pt idx="7">
                  <c:v>400</c:v>
                </c:pt>
                <c:pt idx="8">
                  <c:v>800</c:v>
                </c:pt>
                <c:pt idx="9">
                  <c:v>1600</c:v>
                </c:pt>
                <c:pt idx="10">
                  <c:v>3200</c:v>
                </c:pt>
                <c:pt idx="11">
                  <c:v>6400</c:v>
                </c:pt>
                <c:pt idx="12">
                  <c:v>12800</c:v>
                </c:pt>
                <c:pt idx="13">
                  <c:v>25600</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25</c:v>
                </c:pt>
                <c:pt idx="3">
                  <c:v>50</c:v>
                </c:pt>
                <c:pt idx="4">
                  <c:v>81</c:v>
                </c:pt>
                <c:pt idx="5">
                  <c:v>162</c:v>
                </c:pt>
                <c:pt idx="6">
                  <c:v>324</c:v>
                </c:pt>
                <c:pt idx="7">
                  <c:v>627.75</c:v>
                </c:pt>
                <c:pt idx="8">
                  <c:v>1255.5</c:v>
                </c:pt>
                <c:pt idx="9">
                  <c:v>2511</c:v>
                </c:pt>
                <c:pt idx="10">
                  <c:v>5022</c:v>
                </c:pt>
                <c:pt idx="11">
                  <c:v>10044</c:v>
                </c:pt>
                <c:pt idx="12">
                  <c:v>20108.25</c:v>
                </c:pt>
                <c:pt idx="13">
                  <c:v>40216.5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19</c:v>
                </c:pt>
                <c:pt idx="5">
                  <c:v>38</c:v>
                </c:pt>
                <c:pt idx="6">
                  <c:v>56.000000000000007</c:v>
                </c:pt>
                <c:pt idx="7">
                  <c:v>112.00000000000001</c:v>
                </c:pt>
                <c:pt idx="8">
                  <c:v>224.00000000000003</c:v>
                </c:pt>
                <c:pt idx="9">
                  <c:v>448.00000000000006</c:v>
                </c:pt>
                <c:pt idx="10">
                  <c:v>896.00000000000011</c:v>
                </c:pt>
                <c:pt idx="11">
                  <c:v>1792.0000000000002</c:v>
                </c:pt>
                <c:pt idx="12">
                  <c:v>3584.0000000000005</c:v>
                </c:pt>
                <c:pt idx="13">
                  <c:v>7168.0000000000009</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20</c:v>
                </c:pt>
                <c:pt idx="7">
                  <c:v>40</c:v>
                </c:pt>
                <c:pt idx="8">
                  <c:v>80</c:v>
                </c:pt>
                <c:pt idx="9">
                  <c:v>160</c:v>
                </c:pt>
                <c:pt idx="10">
                  <c:v>320</c:v>
                </c:pt>
                <c:pt idx="11">
                  <c:v>640</c:v>
                </c:pt>
                <c:pt idx="12">
                  <c:v>1280</c:v>
                </c:pt>
                <c:pt idx="13">
                  <c:v>2560</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208.33333333333334</c:v>
                </c:pt>
                <c:pt idx="1">
                  <c:v>416.66666666666669</c:v>
                </c:pt>
                <c:pt idx="2">
                  <c:v>833.33333333333337</c:v>
                </c:pt>
                <c:pt idx="3">
                  <c:v>1666.6666666666667</c:v>
                </c:pt>
                <c:pt idx="4">
                  <c:v>3333.3333333333335</c:v>
                </c:pt>
                <c:pt idx="5">
                  <c:v>6666.666666666667</c:v>
                </c:pt>
                <c:pt idx="6">
                  <c:v>13333.333333333334</c:v>
                </c:pt>
                <c:pt idx="7">
                  <c:v>26666.666666666668</c:v>
                </c:pt>
                <c:pt idx="8">
                  <c:v>53333.333333333336</c:v>
                </c:pt>
                <c:pt idx="9">
                  <c:v>106666.66666666667</c:v>
                </c:pt>
                <c:pt idx="10">
                  <c:v>213333.33333333334</c:v>
                </c:pt>
                <c:pt idx="11">
                  <c:v>426666.66666666669</c:v>
                </c:pt>
                <c:pt idx="12">
                  <c:v>853333.33333333337</c:v>
                </c:pt>
                <c:pt idx="13">
                  <c:v>1706666.6666666667</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183.33333333333334</c:v>
                </c:pt>
                <c:pt idx="1">
                  <c:v>366.66666666666669</c:v>
                </c:pt>
                <c:pt idx="2">
                  <c:v>733.33333333333337</c:v>
                </c:pt>
                <c:pt idx="3">
                  <c:v>1466.6666666666667</c:v>
                </c:pt>
                <c:pt idx="4">
                  <c:v>2933.3333333333335</c:v>
                </c:pt>
                <c:pt idx="5">
                  <c:v>5866.666666666667</c:v>
                </c:pt>
                <c:pt idx="6">
                  <c:v>11733.333333333334</c:v>
                </c:pt>
                <c:pt idx="7">
                  <c:v>23466.666666666668</c:v>
                </c:pt>
                <c:pt idx="8">
                  <c:v>46933.333333333336</c:v>
                </c:pt>
                <c:pt idx="9">
                  <c:v>93866.666666666672</c:v>
                </c:pt>
                <c:pt idx="10">
                  <c:v>187733.33333333334</c:v>
                </c:pt>
                <c:pt idx="11">
                  <c:v>375466.66666666669</c:v>
                </c:pt>
                <c:pt idx="12">
                  <c:v>750933.33333333337</c:v>
                </c:pt>
                <c:pt idx="13">
                  <c:v>1501866.6666666667</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25</c:v>
                </c:pt>
                <c:pt idx="4">
                  <c:v>50</c:v>
                </c:pt>
                <c:pt idx="5">
                  <c:v>100</c:v>
                </c:pt>
                <c:pt idx="6">
                  <c:v>200</c:v>
                </c:pt>
                <c:pt idx="7">
                  <c:v>400</c:v>
                </c:pt>
                <c:pt idx="8">
                  <c:v>800</c:v>
                </c:pt>
                <c:pt idx="9">
                  <c:v>1600</c:v>
                </c:pt>
                <c:pt idx="10">
                  <c:v>3200</c:v>
                </c:pt>
                <c:pt idx="11">
                  <c:v>6400</c:v>
                </c:pt>
                <c:pt idx="12">
                  <c:v>12800</c:v>
                </c:pt>
                <c:pt idx="13">
                  <c:v>25600</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25</c:v>
                </c:pt>
                <c:pt idx="4">
                  <c:v>50</c:v>
                </c:pt>
                <c:pt idx="5">
                  <c:v>100</c:v>
                </c:pt>
                <c:pt idx="6">
                  <c:v>200</c:v>
                </c:pt>
                <c:pt idx="7">
                  <c:v>400</c:v>
                </c:pt>
                <c:pt idx="8">
                  <c:v>800</c:v>
                </c:pt>
                <c:pt idx="9">
                  <c:v>1600</c:v>
                </c:pt>
                <c:pt idx="10">
                  <c:v>3200</c:v>
                </c:pt>
                <c:pt idx="11">
                  <c:v>6400</c:v>
                </c:pt>
                <c:pt idx="12">
                  <c:v>12800</c:v>
                </c:pt>
                <c:pt idx="13">
                  <c:v>25600</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25</c:v>
                </c:pt>
                <c:pt idx="3">
                  <c:v>50</c:v>
                </c:pt>
                <c:pt idx="4">
                  <c:v>81</c:v>
                </c:pt>
                <c:pt idx="5">
                  <c:v>162</c:v>
                </c:pt>
                <c:pt idx="6">
                  <c:v>324</c:v>
                </c:pt>
                <c:pt idx="7">
                  <c:v>627.75</c:v>
                </c:pt>
                <c:pt idx="8">
                  <c:v>1255.5</c:v>
                </c:pt>
                <c:pt idx="9">
                  <c:v>2511</c:v>
                </c:pt>
                <c:pt idx="10">
                  <c:v>5022</c:v>
                </c:pt>
                <c:pt idx="11">
                  <c:v>10044</c:v>
                </c:pt>
                <c:pt idx="12">
                  <c:v>20108.25</c:v>
                </c:pt>
                <c:pt idx="13">
                  <c:v>40216.5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19</c:v>
                </c:pt>
                <c:pt idx="5">
                  <c:v>38</c:v>
                </c:pt>
                <c:pt idx="6">
                  <c:v>56.000000000000007</c:v>
                </c:pt>
                <c:pt idx="7">
                  <c:v>112.00000000000001</c:v>
                </c:pt>
                <c:pt idx="8">
                  <c:v>224.00000000000003</c:v>
                </c:pt>
                <c:pt idx="9">
                  <c:v>448.00000000000006</c:v>
                </c:pt>
                <c:pt idx="10">
                  <c:v>896.00000000000011</c:v>
                </c:pt>
                <c:pt idx="11">
                  <c:v>1792.0000000000002</c:v>
                </c:pt>
                <c:pt idx="12">
                  <c:v>3584.0000000000005</c:v>
                </c:pt>
                <c:pt idx="13">
                  <c:v>7168.0000000000009</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43894.680232638886</c:v>
                </c:pt>
                <c:pt idx="1">
                  <c:v>43897.680232638886</c:v>
                </c:pt>
                <c:pt idx="2">
                  <c:v>43900.680232638886</c:v>
                </c:pt>
                <c:pt idx="3">
                  <c:v>43903.680232638886</c:v>
                </c:pt>
                <c:pt idx="4">
                  <c:v>43906.680232638886</c:v>
                </c:pt>
                <c:pt idx="5">
                  <c:v>43909.680232638886</c:v>
                </c:pt>
                <c:pt idx="6">
                  <c:v>43912.680232638886</c:v>
                </c:pt>
                <c:pt idx="7">
                  <c:v>43915.680232638886</c:v>
                </c:pt>
                <c:pt idx="8">
                  <c:v>43918.680232638886</c:v>
                </c:pt>
                <c:pt idx="9">
                  <c:v>43921.680232638886</c:v>
                </c:pt>
                <c:pt idx="10">
                  <c:v>43924.680232638886</c:v>
                </c:pt>
                <c:pt idx="11">
                  <c:v>43927.680232638886</c:v>
                </c:pt>
                <c:pt idx="12">
                  <c:v>43930.680232638886</c:v>
                </c:pt>
                <c:pt idx="13">
                  <c:v>43933.680232638886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20</c:v>
                </c:pt>
                <c:pt idx="7">
                  <c:v>40</c:v>
                </c:pt>
                <c:pt idx="8">
                  <c:v>80</c:v>
                </c:pt>
                <c:pt idx="9">
                  <c:v>160</c:v>
                </c:pt>
                <c:pt idx="10">
                  <c:v>320</c:v>
                </c:pt>
                <c:pt idx="11">
                  <c:v>640</c:v>
                </c:pt>
                <c:pt idx="12">
                  <c:v>1280</c:v>
                </c:pt>
                <c:pt idx="13">
                  <c:v>2560</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Projections!$L$28:$AK$28</c15:sqref>
                  </c15:fullRef>
                </c:ext>
              </c:extLst>
              <c:f>Projections!$L$28:$AE$28</c:f>
              <c:numCache>
                <c:formatCode>#,##0_ ;[Red]\-#,##0\ </c:formatCode>
                <c:ptCount val="20"/>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573.20080200802715</c:v>
                </c:pt>
                <c:pt idx="11">
                  <c:v>1576.9999999999995</c:v>
                </c:pt>
                <c:pt idx="12">
                  <c:v>4145.4455784766114</c:v>
                </c:pt>
                <c:pt idx="13">
                  <c:v>14658.884770024193</c:v>
                </c:pt>
                <c:pt idx="14">
                  <c:v>64486.753877005009</c:v>
                </c:pt>
                <c:pt idx="15">
                  <c:v>1105681.2116311616</c:v>
                </c:pt>
                <c:pt idx="16">
                  <c:v>1229875.0672395315</c:v>
                </c:pt>
                <c:pt idx="17">
                  <c:v>1775562.7810543231</c:v>
                </c:pt>
                <c:pt idx="18">
                  <c:v>2885928.7145459251</c:v>
                </c:pt>
                <c:pt idx="19">
                  <c:v>4999795.2658267329</c:v>
                </c:pt>
              </c:numCache>
            </c:numRef>
          </c:val>
          <c:smooth val="0"/>
          <c:extLst>
            <c:ext xmlns:c16="http://schemas.microsoft.com/office/drawing/2014/chart" uri="{C3380CC4-5D6E-409C-BE32-E72D297353CC}">
              <c16:uniqueId val="{00000003-5231-4BE2-97ED-54F0C3DB105C}"/>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Projections!$L$29:$AK$29</c15:sqref>
                  </c15:fullRef>
                </c:ext>
              </c:extLst>
              <c:f>Projections!$L$29:$AE$29</c:f>
              <c:numCache>
                <c:formatCode>#,##0_ ;[Red]\-#,##0\ </c:formatCode>
                <c:ptCount val="20"/>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573.20080200802715</c:v>
                </c:pt>
                <c:pt idx="11">
                  <c:v>1576.9999999999995</c:v>
                </c:pt>
                <c:pt idx="12">
                  <c:v>4145.4455784766114</c:v>
                </c:pt>
                <c:pt idx="13">
                  <c:v>14658.884770024193</c:v>
                </c:pt>
                <c:pt idx="14">
                  <c:v>58944.211012749765</c:v>
                </c:pt>
                <c:pt idx="15">
                  <c:v>1032538.7643113311</c:v>
                </c:pt>
                <c:pt idx="16">
                  <c:v>1036924.6295448794</c:v>
                </c:pt>
                <c:pt idx="17">
                  <c:v>0</c:v>
                </c:pt>
                <c:pt idx="18">
                  <c:v>806460.24572003365</c:v>
                </c:pt>
                <c:pt idx="19">
                  <c:v>2236346.6338918954</c:v>
                </c:pt>
              </c:numCache>
            </c:numRef>
          </c:val>
          <c:smooth val="0"/>
          <c:extLst>
            <c:ext xmlns:c16="http://schemas.microsoft.com/office/drawing/2014/chart" uri="{C3380CC4-5D6E-409C-BE32-E72D297353CC}">
              <c16:uniqueId val="{00000002-9381-4A4E-BB43-DCD8EC2F4E00}"/>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Projections!$L$30:$AK$30</c15:sqref>
                  </c15:fullRef>
                </c:ext>
              </c:extLst>
              <c:f>Projections!$L$30:$AE$30</c:f>
              <c:numCache>
                <c:formatCode>#,##0_ ;[Red]\-#,##0\ </c:formatCode>
                <c:ptCount val="20"/>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123.66071428571428</c:v>
                </c:pt>
                <c:pt idx="13">
                  <c:v>514.38422097436683</c:v>
                </c:pt>
                <c:pt idx="14">
                  <c:v>5547.1428571428523</c:v>
                </c:pt>
                <c:pt idx="15">
                  <c:v>75559.287615657406</c:v>
                </c:pt>
                <c:pt idx="16">
                  <c:v>115270.54460090687</c:v>
                </c:pt>
                <c:pt idx="17">
                  <c:v>198342.27127383283</c:v>
                </c:pt>
                <c:pt idx="18">
                  <c:v>360470.47193432442</c:v>
                </c:pt>
                <c:pt idx="19">
                  <c:v>674709.14261228649</c:v>
                </c:pt>
              </c:numCache>
            </c:numRef>
          </c:val>
          <c:smooth val="0"/>
          <c:extLst>
            <c:ext xmlns:c16="http://schemas.microsoft.com/office/drawing/2014/chart" uri="{C3380CC4-5D6E-409C-BE32-E72D297353CC}">
              <c16:uniqueId val="{00000000-9381-4A4E-BB43-DCD8EC2F4E00}"/>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Projections!$L$31:$AK$31</c15:sqref>
                  </c15:fullRef>
                </c:ext>
              </c:extLst>
              <c:f>Projections!$L$31:$AE$31</c:f>
              <c:numCache>
                <c:formatCode>#,##0_ ;[Red]\-#,##0\ </c:formatCode>
                <c:ptCount val="20"/>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121.90833273345505</c:v>
                </c:pt>
                <c:pt idx="13">
                  <c:v>511.27485454338046</c:v>
                </c:pt>
                <c:pt idx="14">
                  <c:v>5534.0428642552415</c:v>
                </c:pt>
                <c:pt idx="15">
                  <c:v>70705.32231983055</c:v>
                </c:pt>
                <c:pt idx="16">
                  <c:v>52949.22458796404</c:v>
                </c:pt>
                <c:pt idx="17">
                  <c:v>98878.012316485532</c:v>
                </c:pt>
                <c:pt idx="18">
                  <c:v>184980.28702756495</c:v>
                </c:pt>
                <c:pt idx="19">
                  <c:v>350640.87438768358</c:v>
                </c:pt>
              </c:numCache>
            </c:numRef>
          </c:val>
          <c:smooth val="0"/>
          <c:extLst>
            <c:ext xmlns:c16="http://schemas.microsoft.com/office/drawing/2014/chart" uri="{C3380CC4-5D6E-409C-BE32-E72D297353CC}">
              <c16:uniqueId val="{00000003-9381-4A4E-BB43-DCD8EC2F4E00}"/>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Projections!$L$32:$AK$32</c15:sqref>
                  </c15:fullRef>
                </c:ext>
              </c:extLst>
              <c:f>Projections!$L$32:$AE$32</c:f>
              <c:numCache>
                <c:formatCode>#,##0_ ;[Red]\-#,##0\ </c:formatCode>
                <c:ptCount val="20"/>
                <c:pt idx="0">
                  <c:v>1.25</c:v>
                </c:pt>
                <c:pt idx="1">
                  <c:v>2.5</c:v>
                </c:pt>
                <c:pt idx="2">
                  <c:v>5</c:v>
                </c:pt>
                <c:pt idx="3">
                  <c:v>10</c:v>
                </c:pt>
                <c:pt idx="4">
                  <c:v>20</c:v>
                </c:pt>
                <c:pt idx="5">
                  <c:v>40</c:v>
                </c:pt>
                <c:pt idx="6">
                  <c:v>80</c:v>
                </c:pt>
                <c:pt idx="7">
                  <c:v>160</c:v>
                </c:pt>
                <c:pt idx="8">
                  <c:v>320</c:v>
                </c:pt>
                <c:pt idx="9">
                  <c:v>640</c:v>
                </c:pt>
                <c:pt idx="10">
                  <c:v>1280</c:v>
                </c:pt>
                <c:pt idx="11">
                  <c:v>2560</c:v>
                </c:pt>
                <c:pt idx="12">
                  <c:v>5120</c:v>
                </c:pt>
                <c:pt idx="13">
                  <c:v>10240</c:v>
                </c:pt>
                <c:pt idx="14">
                  <c:v>20480</c:v>
                </c:pt>
                <c:pt idx="15">
                  <c:v>40960</c:v>
                </c:pt>
                <c:pt idx="16">
                  <c:v>81920</c:v>
                </c:pt>
                <c:pt idx="17">
                  <c:v>163840</c:v>
                </c:pt>
                <c:pt idx="18">
                  <c:v>327680</c:v>
                </c:pt>
                <c:pt idx="19">
                  <c:v>655360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Projections!$L$50:$AK$50</c15:sqref>
                  </c15:fullRef>
                </c:ext>
              </c:extLst>
              <c:f>Projections!$L$50:$AE$50</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29540.225765991756</c:v>
                </c:pt>
                <c:pt idx="16">
                  <c:v>59080.451531983512</c:v>
                </c:pt>
                <c:pt idx="17">
                  <c:v>118160.90306396702</c:v>
                </c:pt>
                <c:pt idx="18">
                  <c:v>236321.80612793405</c:v>
                </c:pt>
                <c:pt idx="19">
                  <c:v>472643.61225586809</c:v>
                </c:pt>
              </c:numCache>
            </c:numRef>
          </c:val>
          <c:smooth val="0"/>
          <c:extLst>
            <c:ext xmlns:c16="http://schemas.microsoft.com/office/drawing/2014/chart" uri="{C3380CC4-5D6E-409C-BE32-E72D297353CC}">
              <c16:uniqueId val="{00000000-04B6-450D-AD81-6BF382C059D1}"/>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Projections!$L$52:$AK$52</c15:sqref>
                  </c15:fullRef>
                </c:ext>
              </c:extLst>
              <c:f>Projections!$L$52:$AE$52</c:f>
              <c:numCache>
                <c:formatCode>#,##0</c:formatCode>
                <c:ptCount val="20"/>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109170.39956996954</c:v>
                </c:pt>
                <c:pt idx="16">
                  <c:v>218340.79913993907</c:v>
                </c:pt>
                <c:pt idx="17">
                  <c:v>436681.59827987815</c:v>
                </c:pt>
                <c:pt idx="18">
                  <c:v>873363.1965597563</c:v>
                </c:pt>
                <c:pt idx="19">
                  <c:v>1746726.3931195126</c:v>
                </c:pt>
              </c:numCache>
            </c:numRef>
          </c:val>
          <c:smooth val="0"/>
          <c:extLst>
            <c:ext xmlns:c16="http://schemas.microsoft.com/office/drawing/2014/chart" uri="{C3380CC4-5D6E-409C-BE32-E72D297353CC}">
              <c16:uniqueId val="{00000002-04B6-450D-AD81-6BF382C059D1}"/>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Projections!$L$54:$AK$54</c15:sqref>
                  </c15:fullRef>
                </c:ext>
              </c:extLst>
              <c:f>Projections!$L$54:$AE$54</c:f>
              <c:numCache>
                <c:formatCode>#,##0</c:formatCode>
                <c:ptCount val="20"/>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171370.00537538074</c:v>
                </c:pt>
                <c:pt idx="16">
                  <c:v>342740.01075076149</c:v>
                </c:pt>
                <c:pt idx="17">
                  <c:v>685480.02150152298</c:v>
                </c:pt>
                <c:pt idx="18">
                  <c:v>1370960.043003046</c:v>
                </c:pt>
                <c:pt idx="19">
                  <c:v>2741920.0860060919</c:v>
                </c:pt>
              </c:numCache>
            </c:numRef>
          </c:val>
          <c:smooth val="0"/>
          <c:extLst>
            <c:ext xmlns:c16="http://schemas.microsoft.com/office/drawing/2014/chart" uri="{C3380CC4-5D6E-409C-BE32-E72D297353CC}">
              <c16:uniqueId val="{00000004-04B6-450D-AD81-6BF382C059D1}"/>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Projections!$L$56:$AK$56</c15:sqref>
                  </c15:fullRef>
                </c:ext>
              </c:extLst>
              <c:f>Projections!$L$56:$AE$56</c:f>
              <c:numCache>
                <c:formatCode>#,##0</c:formatCode>
                <c:ptCount val="20"/>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159076.86794481275</c:v>
                </c:pt>
                <c:pt idx="16">
                  <c:v>318153.7358896255</c:v>
                </c:pt>
                <c:pt idx="17">
                  <c:v>636307.47177925101</c:v>
                </c:pt>
                <c:pt idx="18">
                  <c:v>1272614.943558502</c:v>
                </c:pt>
                <c:pt idx="19">
                  <c:v>2545229.887117004</c:v>
                </c:pt>
              </c:numCache>
            </c:numRef>
          </c:val>
          <c:smooth val="0"/>
          <c:extLst>
            <c:ext xmlns:c16="http://schemas.microsoft.com/office/drawing/2014/chart" uri="{C3380CC4-5D6E-409C-BE32-E72D297353CC}">
              <c16:uniqueId val="{00000006-04B6-450D-AD81-6BF382C059D1}"/>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Projections!$L$58:$AK$58</c15:sqref>
                  </c15:fullRef>
                </c:ext>
              </c:extLst>
              <c:f>Projections!$L$58:$AE$58</c:f>
              <c:numCache>
                <c:formatCode>#,##0</c:formatCode>
                <c:ptCount val="20"/>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132839.27611539149</c:v>
                </c:pt>
                <c:pt idx="16">
                  <c:v>265678.55223078298</c:v>
                </c:pt>
                <c:pt idx="17">
                  <c:v>531357.10446156596</c:v>
                </c:pt>
                <c:pt idx="18">
                  <c:v>1062714.2089231319</c:v>
                </c:pt>
                <c:pt idx="19">
                  <c:v>2125428.4178462639</c:v>
                </c:pt>
              </c:numCache>
            </c:numRef>
          </c:val>
          <c:smooth val="0"/>
          <c:extLst>
            <c:ext xmlns:c16="http://schemas.microsoft.com/office/drawing/2014/chart" uri="{C3380CC4-5D6E-409C-BE32-E72D297353CC}">
              <c16:uniqueId val="{00000008-04B6-450D-AD81-6BF382C059D1}"/>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Projections!$L$60:$AK$60</c15:sqref>
                  </c15:fullRef>
                </c:ext>
              </c:extLst>
              <c:f>Projections!$L$60:$AE$60</c:f>
              <c:numCache>
                <c:formatCode>#,##0</c:formatCode>
                <c:ptCount val="20"/>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161095.1442393836</c:v>
                </c:pt>
                <c:pt idx="16">
                  <c:v>322190.28847876721</c:v>
                </c:pt>
                <c:pt idx="17">
                  <c:v>644380.57695753442</c:v>
                </c:pt>
                <c:pt idx="18">
                  <c:v>1288761.1539150688</c:v>
                </c:pt>
                <c:pt idx="19">
                  <c:v>2577522.3078301377</c:v>
                </c:pt>
              </c:numCache>
            </c:numRef>
          </c:val>
          <c:smooth val="0"/>
          <c:extLst>
            <c:ext xmlns:c16="http://schemas.microsoft.com/office/drawing/2014/chart" uri="{C3380CC4-5D6E-409C-BE32-E72D297353CC}">
              <c16:uniqueId val="{0000000A-04B6-450D-AD81-6BF382C059D1}"/>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Projections!$L$62:$AK$62</c15:sqref>
                  </c15:fullRef>
                </c:ext>
              </c:extLst>
              <c:f>Projections!$L$62:$AE$62</c:f>
              <c:numCache>
                <c:formatCode>#,##0</c:formatCode>
                <c:ptCount val="20"/>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221276.47375022396</c:v>
                </c:pt>
                <c:pt idx="16">
                  <c:v>442552.94750044792</c:v>
                </c:pt>
                <c:pt idx="17">
                  <c:v>885105.89500089583</c:v>
                </c:pt>
                <c:pt idx="18">
                  <c:v>1770211.7900017917</c:v>
                </c:pt>
                <c:pt idx="19">
                  <c:v>3540423.5800035833</c:v>
                </c:pt>
              </c:numCache>
            </c:numRef>
          </c:val>
          <c:smooth val="0"/>
          <c:extLst>
            <c:ext xmlns:c16="http://schemas.microsoft.com/office/drawing/2014/chart" uri="{C3380CC4-5D6E-409C-BE32-E72D297353CC}">
              <c16:uniqueId val="{0000000C-04B6-450D-AD81-6BF382C059D1}"/>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Projections!$L$64:$AK$64</c15:sqref>
                  </c15:fullRef>
                </c:ext>
              </c:extLst>
              <c:f>Projections!$L$64:$AE$64</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29540.225765991756</c:v>
                </c:pt>
                <c:pt idx="16">
                  <c:v>59080.451531983512</c:v>
                </c:pt>
                <c:pt idx="17">
                  <c:v>118160.90306396702</c:v>
                </c:pt>
                <c:pt idx="18">
                  <c:v>236321.80612793405</c:v>
                </c:pt>
                <c:pt idx="19">
                  <c:v>472643.61225586809</c:v>
                </c:pt>
              </c:numCache>
            </c:numRef>
          </c:val>
          <c:smooth val="0"/>
          <c:extLst>
            <c:ext xmlns:c16="http://schemas.microsoft.com/office/drawing/2014/chart" uri="{C3380CC4-5D6E-409C-BE32-E72D297353CC}">
              <c16:uniqueId val="{0000000E-04B6-450D-AD81-6BF382C059D1}"/>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Projections!$L$66:$AK$66</c15:sqref>
                  </c15:fullRef>
                </c:ext>
              </c:extLst>
              <c:f>Projections!$L$66:$AE$66</c:f>
              <c:numCache>
                <c:formatCode>#,##0</c:formatCode>
                <c:ptCount val="20"/>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10091.381472854326</c:v>
                </c:pt>
                <c:pt idx="16">
                  <c:v>20182.762945708651</c:v>
                </c:pt>
                <c:pt idx="17">
                  <c:v>40365.525891417303</c:v>
                </c:pt>
                <c:pt idx="18">
                  <c:v>80731.051782834606</c:v>
                </c:pt>
                <c:pt idx="19">
                  <c:v>161462.10356566921</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Projections!$L$51:$AK$51</c15:sqref>
                  </c15:fullRef>
                </c:ext>
              </c:extLst>
              <c:f>Projections!$L$51:$AE$51</c:f>
              <c:numCache>
                <c:formatCode>#,##0</c:formatCode>
                <c:ptCount val="20"/>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4371.9534133667794</c:v>
                </c:pt>
                <c:pt idx="16">
                  <c:v>8743.9068267335588</c:v>
                </c:pt>
                <c:pt idx="17">
                  <c:v>17487.813653467118</c:v>
                </c:pt>
                <c:pt idx="18">
                  <c:v>34975.627306934235</c:v>
                </c:pt>
                <c:pt idx="19">
                  <c:v>69951.25461386847</c:v>
                </c:pt>
              </c:numCache>
            </c:numRef>
          </c:val>
          <c:smooth val="0"/>
          <c:extLst>
            <c:ext xmlns:c16="http://schemas.microsoft.com/office/drawing/2014/chart" uri="{C3380CC4-5D6E-409C-BE32-E72D297353CC}">
              <c16:uniqueId val="{00000001-EBAD-48A5-9277-83F388186C0C}"/>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Projections!$L$53:$AK$53</c15:sqref>
                  </c15:fullRef>
                </c:ext>
              </c:extLst>
              <c:f>Projections!$L$53:$AE$53</c:f>
              <c:numCache>
                <c:formatCode>#,##0</c:formatCode>
                <c:ptCount val="20"/>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8733.631965597564</c:v>
                </c:pt>
                <c:pt idx="16">
                  <c:v>17467.263931195128</c:v>
                </c:pt>
                <c:pt idx="17">
                  <c:v>34934.527862390256</c:v>
                </c:pt>
                <c:pt idx="18">
                  <c:v>69869.055724780512</c:v>
                </c:pt>
                <c:pt idx="19">
                  <c:v>139738.11144956102</c:v>
                </c:pt>
              </c:numCache>
            </c:numRef>
          </c:val>
          <c:smooth val="0"/>
          <c:extLst>
            <c:ext xmlns:c16="http://schemas.microsoft.com/office/drawing/2014/chart" uri="{C3380CC4-5D6E-409C-BE32-E72D297353CC}">
              <c16:uniqueId val="{00000003-EBAD-48A5-9277-83F388186C0C}"/>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Projections!$L$55:$AK$55</c15:sqref>
                  </c15:fullRef>
                </c:ext>
              </c:extLst>
              <c:f>Projections!$L$55:$AE$55</c:f>
              <c:numCache>
                <c:formatCode>#,##0</c:formatCode>
                <c:ptCount val="20"/>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6169.3201935137067</c:v>
                </c:pt>
                <c:pt idx="16">
                  <c:v>12338.640387027413</c:v>
                </c:pt>
                <c:pt idx="17">
                  <c:v>24677.280774054827</c:v>
                </c:pt>
                <c:pt idx="18">
                  <c:v>49354.561548109654</c:v>
                </c:pt>
                <c:pt idx="19">
                  <c:v>98709.123096219308</c:v>
                </c:pt>
              </c:numCache>
            </c:numRef>
          </c:val>
          <c:smooth val="0"/>
          <c:extLst>
            <c:ext xmlns:c16="http://schemas.microsoft.com/office/drawing/2014/chart" uri="{C3380CC4-5D6E-409C-BE32-E72D297353CC}">
              <c16:uniqueId val="{00000005-EBAD-48A5-9277-83F388186C0C}"/>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Projections!$L$57:$AK$57</c15:sqref>
                  </c15:fullRef>
                </c:ext>
              </c:extLst>
              <c:f>Projections!$L$57:$AE$57</c:f>
              <c:numCache>
                <c:formatCode>#,##0</c:formatCode>
                <c:ptCount val="20"/>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2067.9992832825656</c:v>
                </c:pt>
                <c:pt idx="16">
                  <c:v>4135.9985665651311</c:v>
                </c:pt>
                <c:pt idx="17">
                  <c:v>8271.9971331302622</c:v>
                </c:pt>
                <c:pt idx="18">
                  <c:v>16543.994266260524</c:v>
                </c:pt>
                <c:pt idx="19">
                  <c:v>33087.988532521049</c:v>
                </c:pt>
              </c:numCache>
            </c:numRef>
          </c:val>
          <c:smooth val="0"/>
          <c:extLst>
            <c:ext xmlns:c16="http://schemas.microsoft.com/office/drawing/2014/chart" uri="{C3380CC4-5D6E-409C-BE32-E72D297353CC}">
              <c16:uniqueId val="{00000007-EBAD-48A5-9277-83F388186C0C}"/>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Projections!$L$59:$AK$59</c15:sqref>
                  </c15:fullRef>
                </c:ext>
              </c:extLst>
              <c:f>Projections!$L$59:$AE$59</c:f>
              <c:numCache>
                <c:formatCode>#,##0</c:formatCode>
                <c:ptCount val="20"/>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531.357104461566</c:v>
                </c:pt>
                <c:pt idx="16">
                  <c:v>1062.714208923132</c:v>
                </c:pt>
                <c:pt idx="17">
                  <c:v>2125.428417846264</c:v>
                </c:pt>
                <c:pt idx="18">
                  <c:v>4250.856835692528</c:v>
                </c:pt>
                <c:pt idx="19">
                  <c:v>8501.7136713850559</c:v>
                </c:pt>
              </c:numCache>
            </c:numRef>
          </c:val>
          <c:smooth val="0"/>
          <c:extLst>
            <c:ext xmlns:c16="http://schemas.microsoft.com/office/drawing/2014/chart" uri="{C3380CC4-5D6E-409C-BE32-E72D297353CC}">
              <c16:uniqueId val="{00000009-EBAD-48A5-9277-83F388186C0C}"/>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Projections!$L$61:$AK$61</c15:sqref>
                  </c15:fullRef>
                </c:ext>
              </c:extLst>
              <c:f>Projections!$L$61:$AE$61</c:f>
              <c:numCache>
                <c:formatCode>#,##0</c:formatCode>
                <c:ptCount val="20"/>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322.19028847876723</c:v>
                </c:pt>
                <c:pt idx="16">
                  <c:v>644.38057695753446</c:v>
                </c:pt>
                <c:pt idx="17">
                  <c:v>1288.7611539150689</c:v>
                </c:pt>
                <c:pt idx="18">
                  <c:v>2577.5223078301378</c:v>
                </c:pt>
                <c:pt idx="19">
                  <c:v>5155.0446156602757</c:v>
                </c:pt>
              </c:numCache>
            </c:numRef>
          </c:val>
          <c:smooth val="0"/>
          <c:extLst>
            <c:ext xmlns:c16="http://schemas.microsoft.com/office/drawing/2014/chart" uri="{C3380CC4-5D6E-409C-BE32-E72D297353CC}">
              <c16:uniqueId val="{0000000B-EBAD-48A5-9277-83F388186C0C}"/>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Projections!$L$63:$AK$63</c15:sqref>
                  </c15:fullRef>
                </c:ext>
              </c:extLst>
              <c:f>Projections!$L$63:$AE$63</c:f>
              <c:numCache>
                <c:formatCode>#,##0</c:formatCode>
                <c:ptCount val="20"/>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442.55294750044794</c:v>
                </c:pt>
                <c:pt idx="16">
                  <c:v>885.10589500089588</c:v>
                </c:pt>
                <c:pt idx="17">
                  <c:v>1770.2117900017918</c:v>
                </c:pt>
                <c:pt idx="18">
                  <c:v>3540.4235800035835</c:v>
                </c:pt>
                <c:pt idx="19">
                  <c:v>7080.8471600071671</c:v>
                </c:pt>
              </c:numCache>
            </c:numRef>
          </c:val>
          <c:smooth val="0"/>
          <c:extLst>
            <c:ext xmlns:c16="http://schemas.microsoft.com/office/drawing/2014/chart" uri="{C3380CC4-5D6E-409C-BE32-E72D297353CC}">
              <c16:uniqueId val="{0000000D-EBAD-48A5-9277-83F388186C0C}"/>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Projections!$L$65:$AK$65</c15:sqref>
                  </c15:fullRef>
                </c:ext>
              </c:extLst>
              <c:f>Projections!$L$65:$AE$65</c:f>
              <c:numCache>
                <c:formatCode>#,##0</c:formatCode>
                <c:ptCount val="20"/>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59.080451531983513</c:v>
                </c:pt>
                <c:pt idx="16">
                  <c:v>118.16090306396703</c:v>
                </c:pt>
                <c:pt idx="17">
                  <c:v>236.32180612793405</c:v>
                </c:pt>
                <c:pt idx="18">
                  <c:v>472.64361225586811</c:v>
                </c:pt>
                <c:pt idx="19">
                  <c:v>945.28722451173621</c:v>
                </c:pt>
              </c:numCache>
            </c:numRef>
          </c:val>
          <c:smooth val="0"/>
          <c:extLst>
            <c:ext xmlns:c16="http://schemas.microsoft.com/office/drawing/2014/chart" uri="{C3380CC4-5D6E-409C-BE32-E72D297353CC}">
              <c16:uniqueId val="{0000000F-EBAD-48A5-9277-83F388186C0C}"/>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Projections!$L$67:$AK$67</c15:sqref>
                  </c15:fullRef>
                </c:ext>
              </c:extLst>
              <c:f>Projections!$L$67:$AE$67</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Projections!$L$79:$AK$79</c15:sqref>
                  </c15:fullRef>
                </c:ext>
              </c:extLst>
              <c:f>Projections!$L$79:$AE$79</c:f>
              <c:numCache>
                <c:formatCode>#,##0</c:formatCode>
                <c:ptCount val="20"/>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471040</c:v>
                </c:pt>
                <c:pt idx="16">
                  <c:v>942080</c:v>
                </c:pt>
                <c:pt idx="17">
                  <c:v>1884160</c:v>
                </c:pt>
                <c:pt idx="18">
                  <c:v>3768320</c:v>
                </c:pt>
                <c:pt idx="19">
                  <c:v>7536640</c:v>
                </c:pt>
              </c:numCache>
            </c:numRef>
          </c:val>
          <c:smooth val="0"/>
          <c:extLst>
            <c:ext xmlns:c16="http://schemas.microsoft.com/office/drawing/2014/chart" uri="{C3380CC4-5D6E-409C-BE32-E72D297353CC}">
              <c16:uniqueId val="{0000001E-05DD-4DD4-A5B5-12D162507280}"/>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Projections!$L$77:$AK$77</c15:sqref>
                  </c15:fullRef>
                </c:ext>
              </c:extLst>
              <c:f>Projections!$L$77:$AE$77</c:f>
              <c:numCache>
                <c:formatCode>#,##0</c:formatCode>
                <c:ptCount val="20"/>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137216</c:v>
                </c:pt>
                <c:pt idx="16">
                  <c:v>274432</c:v>
                </c:pt>
                <c:pt idx="17">
                  <c:v>548864</c:v>
                </c:pt>
                <c:pt idx="18">
                  <c:v>1097728</c:v>
                </c:pt>
                <c:pt idx="19">
                  <c:v>2195456</c:v>
                </c:pt>
              </c:numCache>
            </c:numRef>
          </c:val>
          <c:smooth val="0"/>
          <c:extLst>
            <c:ext xmlns:c16="http://schemas.microsoft.com/office/drawing/2014/chart" uri="{C3380CC4-5D6E-409C-BE32-E72D297353CC}">
              <c16:uniqueId val="{0000001C-05DD-4DD4-A5B5-12D162507280}"/>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Projections!$L$83:$AK$83</c15:sqref>
                  </c15:fullRef>
                </c:ext>
              </c:extLst>
              <c:f>Projections!$L$83:$AE$83</c:f>
              <c:numCache>
                <c:formatCode>#,##0</c:formatCode>
                <c:ptCount val="20"/>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158720</c:v>
                </c:pt>
                <c:pt idx="16">
                  <c:v>317440</c:v>
                </c:pt>
                <c:pt idx="17">
                  <c:v>634880</c:v>
                </c:pt>
                <c:pt idx="18">
                  <c:v>1269760</c:v>
                </c:pt>
                <c:pt idx="19">
                  <c:v>2539520</c:v>
                </c:pt>
              </c:numCache>
            </c:numRef>
          </c:val>
          <c:smooth val="0"/>
          <c:extLst>
            <c:ext xmlns:c16="http://schemas.microsoft.com/office/drawing/2014/chart" uri="{C3380CC4-5D6E-409C-BE32-E72D297353CC}">
              <c16:uniqueId val="{00000022-05DD-4DD4-A5B5-12D162507280}"/>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Projections!$L$73:$AK$73</c15:sqref>
                  </c15:fullRef>
                </c:ext>
              </c:extLst>
              <c:f>Projections!$L$73:$AE$73</c:f>
              <c:numCache>
                <c:formatCode>#,##0</c:formatCode>
                <c:ptCount val="20"/>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376832</c:v>
                </c:pt>
                <c:pt idx="16">
                  <c:v>753664</c:v>
                </c:pt>
                <c:pt idx="17">
                  <c:v>1507328</c:v>
                </c:pt>
                <c:pt idx="18">
                  <c:v>3014656</c:v>
                </c:pt>
                <c:pt idx="19">
                  <c:v>6029312</c:v>
                </c:pt>
              </c:numCache>
            </c:numRef>
          </c:val>
          <c:smooth val="0"/>
          <c:extLst>
            <c:ext xmlns:c16="http://schemas.microsoft.com/office/drawing/2014/chart" uri="{C3380CC4-5D6E-409C-BE32-E72D297353CC}">
              <c16:uniqueId val="{00000018-05DD-4DD4-A5B5-12D162507280}"/>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Projections!$L$75:$AK$75</c15:sqref>
                  </c15:fullRef>
                </c:ext>
              </c:extLst>
              <c:f>Projections!$L$75:$AE$75</c:f>
              <c:numCache>
                <c:formatCode>#,##0</c:formatCode>
                <c:ptCount val="20"/>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100352</c:v>
                </c:pt>
                <c:pt idx="16">
                  <c:v>200704</c:v>
                </c:pt>
                <c:pt idx="17">
                  <c:v>401408</c:v>
                </c:pt>
                <c:pt idx="18">
                  <c:v>802816</c:v>
                </c:pt>
                <c:pt idx="19">
                  <c:v>1605632</c:v>
                </c:pt>
              </c:numCache>
            </c:numRef>
          </c:val>
          <c:smooth val="0"/>
          <c:extLst>
            <c:ext xmlns:c16="http://schemas.microsoft.com/office/drawing/2014/chart" uri="{C3380CC4-5D6E-409C-BE32-E72D297353CC}">
              <c16:uniqueId val="{0000001A-05DD-4DD4-A5B5-12D162507280}"/>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Projections!$L$81:$AK$81</c15:sqref>
                  </c15:fullRef>
                </c:ext>
              </c:extLst>
              <c:f>Projections!$L$81:$AE$81</c:f>
              <c:numCache>
                <c:formatCode>#,##0</c:formatCode>
                <c:ptCount val="20"/>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4495.3599999999997</c:v>
                </c:pt>
                <c:pt idx="16">
                  <c:v>8990.7199999999993</c:v>
                </c:pt>
                <c:pt idx="17">
                  <c:v>17981.439999999999</c:v>
                </c:pt>
                <c:pt idx="18">
                  <c:v>35962.879999999997</c:v>
                </c:pt>
                <c:pt idx="19">
                  <c:v>71925.759999999995</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Projections!$L$80:$AK$80</c15:sqref>
                  </c15:fullRef>
                </c:ext>
              </c:extLst>
              <c:f>Projections!$L$80:$AE$80</c:f>
              <c:numCache>
                <c:formatCode>#,##0</c:formatCode>
                <c:ptCount val="20"/>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28262.399999999998</c:v>
                </c:pt>
                <c:pt idx="16">
                  <c:v>56524.799999999996</c:v>
                </c:pt>
                <c:pt idx="17">
                  <c:v>113049.59999999999</c:v>
                </c:pt>
                <c:pt idx="18">
                  <c:v>226099.19999999998</c:v>
                </c:pt>
                <c:pt idx="19">
                  <c:v>452198.39999999997</c:v>
                </c:pt>
              </c:numCache>
            </c:numRef>
          </c:val>
          <c:smooth val="0"/>
          <c:extLst>
            <c:ext xmlns:c16="http://schemas.microsoft.com/office/drawing/2014/chart" uri="{C3380CC4-5D6E-409C-BE32-E72D297353CC}">
              <c16:uniqueId val="{00000007-65B4-47F9-9B97-64FB989C8893}"/>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Projections!$L$78:$AK$78</c15:sqref>
                  </c15:fullRef>
                </c:ext>
              </c:extLst>
              <c:f>Projections!$L$78:$AE$78</c:f>
              <c:numCache>
                <c:formatCode>#,##0</c:formatCode>
                <c:ptCount val="20"/>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8644.6080000000002</c:v>
                </c:pt>
                <c:pt idx="16">
                  <c:v>17289.216</c:v>
                </c:pt>
                <c:pt idx="17">
                  <c:v>34578.432000000001</c:v>
                </c:pt>
                <c:pt idx="18">
                  <c:v>69156.864000000001</c:v>
                </c:pt>
                <c:pt idx="19">
                  <c:v>138313.728</c:v>
                </c:pt>
              </c:numCache>
            </c:numRef>
          </c:val>
          <c:smooth val="0"/>
          <c:extLst>
            <c:ext xmlns:c16="http://schemas.microsoft.com/office/drawing/2014/chart" uri="{C3380CC4-5D6E-409C-BE32-E72D297353CC}">
              <c16:uniqueId val="{00000005-65B4-47F9-9B97-64FB989C8893}"/>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Projections!$L$74:$AK$74</c15:sqref>
                  </c15:fullRef>
                </c:ext>
              </c:extLst>
              <c:f>Projections!$L$74:$AE$74</c:f>
              <c:numCache>
                <c:formatCode>#,##0</c:formatCode>
                <c:ptCount val="20"/>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39567.360000000001</c:v>
                </c:pt>
                <c:pt idx="16">
                  <c:v>79134.720000000001</c:v>
                </c:pt>
                <c:pt idx="17">
                  <c:v>158269.44</c:v>
                </c:pt>
                <c:pt idx="18">
                  <c:v>316538.88</c:v>
                </c:pt>
                <c:pt idx="19">
                  <c:v>633077.76000000001</c:v>
                </c:pt>
              </c:numCache>
            </c:numRef>
          </c:val>
          <c:smooth val="0"/>
          <c:extLst>
            <c:ext xmlns:c16="http://schemas.microsoft.com/office/drawing/2014/chart" uri="{C3380CC4-5D6E-409C-BE32-E72D297353CC}">
              <c16:uniqueId val="{00000001-65B4-47F9-9B97-64FB989C8893}"/>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Projections!$L$76:$AK$76</c15:sqref>
                  </c15:fullRef>
                </c:ext>
              </c:extLst>
              <c:f>Projections!$L$76:$AE$76</c:f>
              <c:numCache>
                <c:formatCode>#,##0</c:formatCode>
                <c:ptCount val="20"/>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7325.6959999999999</c:v>
                </c:pt>
                <c:pt idx="16">
                  <c:v>14651.392</c:v>
                </c:pt>
                <c:pt idx="17">
                  <c:v>29302.784</c:v>
                </c:pt>
                <c:pt idx="18">
                  <c:v>58605.567999999999</c:v>
                </c:pt>
                <c:pt idx="19">
                  <c:v>117211.136</c:v>
                </c:pt>
              </c:numCache>
            </c:numRef>
          </c:val>
          <c:smooth val="0"/>
          <c:extLst>
            <c:ext xmlns:c16="http://schemas.microsoft.com/office/drawing/2014/chart" uri="{C3380CC4-5D6E-409C-BE32-E72D297353CC}">
              <c16:uniqueId val="{00000003-65B4-47F9-9B97-64FB989C8893}"/>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Projections!$L$17:$AK$17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43952</c:v>
                </c:pt>
                <c:pt idx="16">
                  <c:v>43972</c:v>
                </c:pt>
                <c:pt idx="17">
                  <c:v>43992</c:v>
                </c:pt>
                <c:pt idx="18">
                  <c:v>44012</c:v>
                </c:pt>
                <c:pt idx="19">
                  <c:v>44032</c:v>
                </c:pt>
              </c:numCache>
            </c:numRef>
          </c:cat>
          <c:val>
            <c:numRef>
              <c:extLst>
                <c:ext xmlns:c15="http://schemas.microsoft.com/office/drawing/2012/chart" uri="{02D57815-91ED-43cb-92C2-25804820EDAC}">
                  <c15:fullRef>
                    <c15:sqref>Projections!$L$82:$AK$82</c15:sqref>
                  </c15:fullRef>
                </c:ext>
              </c:extLst>
              <c:f>Projections!$L$82:$AE$82</c:f>
              <c:numCache>
                <c:formatCode>#,##0</c:formatCode>
                <c:ptCount val="20"/>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251.74015999999997</c:v>
                </c:pt>
                <c:pt idx="16">
                  <c:v>503.48031999999995</c:v>
                </c:pt>
                <c:pt idx="17">
                  <c:v>1006.9606399999999</c:v>
                </c:pt>
                <c:pt idx="18">
                  <c:v>2013.9212799999998</c:v>
                </c:pt>
                <c:pt idx="19">
                  <c:v>4027.8425599999996</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39</xdr:col>
      <xdr:colOff>9526</xdr:colOff>
      <xdr:row>4</xdr:row>
      <xdr:rowOff>180975</xdr:rowOff>
    </xdr:from>
    <xdr:to>
      <xdr:col>50</xdr:col>
      <xdr:colOff>600075</xdr:colOff>
      <xdr:row>31</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736455</xdr:colOff>
      <xdr:row>76</xdr:row>
      <xdr:rowOff>5814</xdr:rowOff>
    </xdr:from>
    <xdr:to>
      <xdr:col>51</xdr:col>
      <xdr:colOff>19050</xdr:colOff>
      <xdr:row>99</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3031</xdr:colOff>
      <xdr:row>100</xdr:row>
      <xdr:rowOff>10576</xdr:rowOff>
    </xdr:from>
    <xdr:to>
      <xdr:col>51</xdr:col>
      <xdr:colOff>28575</xdr:colOff>
      <xdr:row>116</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741217</xdr:colOff>
      <xdr:row>117</xdr:row>
      <xdr:rowOff>182025</xdr:rowOff>
    </xdr:from>
    <xdr:to>
      <xdr:col>51</xdr:col>
      <xdr:colOff>38099</xdr:colOff>
      <xdr:row>133</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741219</xdr:colOff>
      <xdr:row>135</xdr:row>
      <xdr:rowOff>10575</xdr:rowOff>
    </xdr:from>
    <xdr:to>
      <xdr:col>51</xdr:col>
      <xdr:colOff>19050</xdr:colOff>
      <xdr:row>154</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738187</xdr:colOff>
      <xdr:row>38</xdr:row>
      <xdr:rowOff>4762</xdr:rowOff>
    </xdr:from>
    <xdr:to>
      <xdr:col>51</xdr:col>
      <xdr:colOff>19050</xdr:colOff>
      <xdr:row>58</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740228</xdr:colOff>
      <xdr:row>59</xdr:row>
      <xdr:rowOff>2721</xdr:rowOff>
    </xdr:from>
    <xdr:to>
      <xdr:col>50</xdr:col>
      <xdr:colOff>590550</xdr:colOff>
      <xdr:row>74</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52</xdr:col>
      <xdr:colOff>1</xdr:colOff>
      <xdr:row>4</xdr:row>
      <xdr:rowOff>180975</xdr:rowOff>
    </xdr:from>
    <xdr:to>
      <xdr:col>64</xdr:col>
      <xdr:colOff>161925</xdr:colOff>
      <xdr:row>31</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51</xdr:col>
      <xdr:colOff>607867</xdr:colOff>
      <xdr:row>75</xdr:row>
      <xdr:rowOff>177264</xdr:rowOff>
    </xdr:from>
    <xdr:to>
      <xdr:col>64</xdr:col>
      <xdr:colOff>209550</xdr:colOff>
      <xdr:row>98</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51</xdr:col>
      <xdr:colOff>598343</xdr:colOff>
      <xdr:row>100</xdr:row>
      <xdr:rowOff>1051</xdr:rowOff>
    </xdr:from>
    <xdr:to>
      <xdr:col>64</xdr:col>
      <xdr:colOff>200025</xdr:colOff>
      <xdr:row>116</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52</xdr:col>
      <xdr:colOff>3029</xdr:colOff>
      <xdr:row>117</xdr:row>
      <xdr:rowOff>182025</xdr:rowOff>
    </xdr:from>
    <xdr:to>
      <xdr:col>64</xdr:col>
      <xdr:colOff>219074</xdr:colOff>
      <xdr:row>133</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52</xdr:col>
      <xdr:colOff>22081</xdr:colOff>
      <xdr:row>135</xdr:row>
      <xdr:rowOff>10575</xdr:rowOff>
    </xdr:from>
    <xdr:to>
      <xdr:col>64</xdr:col>
      <xdr:colOff>228600</xdr:colOff>
      <xdr:row>154</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51</xdr:col>
      <xdr:colOff>600074</xdr:colOff>
      <xdr:row>38</xdr:row>
      <xdr:rowOff>14287</xdr:rowOff>
    </xdr:from>
    <xdr:to>
      <xdr:col>64</xdr:col>
      <xdr:colOff>200025</xdr:colOff>
      <xdr:row>58</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51</xdr:col>
      <xdr:colOff>606878</xdr:colOff>
      <xdr:row>59</xdr:row>
      <xdr:rowOff>2721</xdr:rowOff>
    </xdr:from>
    <xdr:to>
      <xdr:col>64</xdr:col>
      <xdr:colOff>161925</xdr:colOff>
      <xdr:row>74</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6" sqref="E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64</v>
      </c>
    </row>
    <row r="3" spans="2:2" x14ac:dyDescent="0.25">
      <c r="B3" t="s">
        <v>52</v>
      </c>
    </row>
    <row r="4" spans="2:2" x14ac:dyDescent="0.25">
      <c r="B4" t="s">
        <v>62</v>
      </c>
    </row>
    <row r="5" spans="2:2" x14ac:dyDescent="0.25">
      <c r="B5" t="s">
        <v>65</v>
      </c>
    </row>
    <row r="6" spans="2:2" x14ac:dyDescent="0.25">
      <c r="B6" t="s">
        <v>66</v>
      </c>
    </row>
    <row r="7" spans="2:2" x14ac:dyDescent="0.25">
      <c r="B7" t="s">
        <v>53</v>
      </c>
    </row>
    <row r="11" spans="2:2" x14ac:dyDescent="0.25">
      <c r="B11" t="s">
        <v>73</v>
      </c>
    </row>
    <row r="12" spans="2:2" x14ac:dyDescent="0.25">
      <c r="B12" t="s">
        <v>86</v>
      </c>
    </row>
    <row r="13" spans="2:2" x14ac:dyDescent="0.25">
      <c r="B13" t="s">
        <v>88</v>
      </c>
    </row>
    <row r="14" spans="2:2" x14ac:dyDescent="0.25">
      <c r="B14" t="s">
        <v>87</v>
      </c>
    </row>
    <row r="15" spans="2:2" x14ac:dyDescent="0.25">
      <c r="B15" t="s">
        <v>94</v>
      </c>
    </row>
    <row r="17" spans="1:43" x14ac:dyDescent="0.25">
      <c r="A17" t="s">
        <v>92</v>
      </c>
      <c r="B17" s="102">
        <f>(AP25/E31) /Projections!B6</f>
        <v>208.33333333333334</v>
      </c>
      <c r="C17" s="103"/>
      <c r="D17" s="104"/>
      <c r="E17" s="98">
        <f>B17*2</f>
        <v>416.66666666666669</v>
      </c>
      <c r="F17" s="103"/>
      <c r="G17" s="98"/>
      <c r="H17" s="98">
        <f>E17*2</f>
        <v>833.33333333333337</v>
      </c>
      <c r="I17" s="103"/>
      <c r="J17" s="104"/>
      <c r="K17" s="95">
        <f>H17*2</f>
        <v>1666.6666666666667</v>
      </c>
      <c r="L17" s="93"/>
      <c r="M17" s="94"/>
      <c r="N17" s="95">
        <f>K17*2</f>
        <v>3333.3333333333335</v>
      </c>
      <c r="O17" s="93"/>
      <c r="P17" s="94"/>
      <c r="Q17" s="95">
        <f>N17*2</f>
        <v>6666.666666666667</v>
      </c>
      <c r="R17" s="93"/>
      <c r="S17" s="94"/>
      <c r="T17" s="95">
        <f>Q17*2</f>
        <v>13333.333333333334</v>
      </c>
      <c r="U17" s="93"/>
      <c r="V17" s="94"/>
      <c r="W17" s="95">
        <f>T17*2</f>
        <v>26666.666666666668</v>
      </c>
      <c r="X17" s="93"/>
      <c r="Y17" s="94"/>
      <c r="Z17" s="95">
        <f>W17*2</f>
        <v>53333.333333333336</v>
      </c>
      <c r="AA17" s="93"/>
      <c r="AB17" s="94"/>
      <c r="AC17" s="95">
        <f>Z17*2</f>
        <v>106666.66666666667</v>
      </c>
      <c r="AD17" s="93"/>
      <c r="AE17" s="94"/>
      <c r="AF17" s="95">
        <f>AC17*2</f>
        <v>213333.33333333334</v>
      </c>
      <c r="AG17" s="93"/>
      <c r="AH17" s="94"/>
      <c r="AI17" s="95">
        <f>AF17*2</f>
        <v>426666.66666666669</v>
      </c>
      <c r="AJ17" s="93"/>
      <c r="AK17" s="94"/>
      <c r="AL17" s="95">
        <f>AI17*2</f>
        <v>853333.33333333337</v>
      </c>
      <c r="AM17" s="93"/>
      <c r="AN17" s="94"/>
      <c r="AO17" s="95">
        <f>AL17*2</f>
        <v>1706666.6666666667</v>
      </c>
      <c r="AP17" s="98"/>
      <c r="AQ17" t="s">
        <v>92</v>
      </c>
    </row>
    <row r="18" spans="1:43" s="69" customFormat="1" x14ac:dyDescent="0.25">
      <c r="A18" s="69" t="s">
        <v>167</v>
      </c>
      <c r="B18" s="88">
        <f>B17*$E$34</f>
        <v>183.33333333333334</v>
      </c>
      <c r="C18" s="105"/>
      <c r="D18" s="105"/>
      <c r="E18" s="105">
        <f>E17*$E$34</f>
        <v>366.66666666666669</v>
      </c>
      <c r="F18" s="105"/>
      <c r="G18" s="33"/>
      <c r="H18" s="105">
        <f>H17*$E$34</f>
        <v>733.33333333333337</v>
      </c>
      <c r="I18" s="105"/>
      <c r="J18" s="105"/>
      <c r="K18" s="105">
        <f>K17*$E$34</f>
        <v>1466.6666666666667</v>
      </c>
      <c r="L18" s="105"/>
      <c r="M18" s="105"/>
      <c r="N18" s="105">
        <f>N17*$E$34</f>
        <v>2933.3333333333335</v>
      </c>
      <c r="O18" s="105"/>
      <c r="P18" s="105"/>
      <c r="Q18" s="105">
        <f>Q17*$E$34</f>
        <v>5866.666666666667</v>
      </c>
      <c r="R18" s="105"/>
      <c r="S18" s="105"/>
      <c r="T18" s="105">
        <f>T17*$E$34</f>
        <v>11733.333333333334</v>
      </c>
      <c r="U18" s="105"/>
      <c r="V18" s="105"/>
      <c r="W18" s="105">
        <f>W17*$E$34</f>
        <v>23466.666666666668</v>
      </c>
      <c r="X18" s="105"/>
      <c r="Y18" s="105"/>
      <c r="Z18" s="105">
        <f>Z17*$E$34</f>
        <v>46933.333333333336</v>
      </c>
      <c r="AA18" s="105"/>
      <c r="AB18" s="105"/>
      <c r="AC18" s="105">
        <f>AC17*$E$34</f>
        <v>93866.666666666672</v>
      </c>
      <c r="AD18" s="105"/>
      <c r="AE18" s="105"/>
      <c r="AF18" s="105">
        <f>AF17*$E$34</f>
        <v>187733.33333333334</v>
      </c>
      <c r="AG18" s="105"/>
      <c r="AH18" s="105"/>
      <c r="AI18" s="105">
        <f>AI17*$E$34</f>
        <v>375466.66666666669</v>
      </c>
      <c r="AJ18" s="105"/>
      <c r="AK18" s="105"/>
      <c r="AL18" s="105">
        <f>AL17*$E$34</f>
        <v>750933.33333333337</v>
      </c>
      <c r="AM18" s="105"/>
      <c r="AN18" s="105"/>
      <c r="AO18" s="105">
        <f>AO17*$E$34</f>
        <v>1501866.6666666667</v>
      </c>
      <c r="AP18" s="33"/>
      <c r="AQ18" s="69" t="s">
        <v>167</v>
      </c>
    </row>
    <row r="19" spans="1:43" s="69" customFormat="1" x14ac:dyDescent="0.25">
      <c r="A19" s="47" t="s">
        <v>169</v>
      </c>
      <c r="B19" s="86">
        <f>B18</f>
        <v>183.33333333333334</v>
      </c>
      <c r="C19" s="87"/>
      <c r="D19" s="87"/>
      <c r="E19" s="87">
        <f>E18</f>
        <v>366.66666666666669</v>
      </c>
      <c r="F19" s="87"/>
      <c r="G19" s="34"/>
      <c r="H19" s="87">
        <f>H18</f>
        <v>733.33333333333337</v>
      </c>
      <c r="I19" s="87"/>
      <c r="J19" s="87"/>
      <c r="K19" s="87">
        <f>K18</f>
        <v>1466.6666666666667</v>
      </c>
      <c r="L19" s="87"/>
      <c r="M19" s="87"/>
      <c r="N19" s="87">
        <f>N18</f>
        <v>2933.3333333333335</v>
      </c>
      <c r="O19" s="87"/>
      <c r="P19" s="87"/>
      <c r="Q19" s="87">
        <f>Q18</f>
        <v>5866.666666666667</v>
      </c>
      <c r="R19" s="87"/>
      <c r="S19" s="87"/>
      <c r="T19" s="87">
        <f>T18</f>
        <v>11733.333333333334</v>
      </c>
      <c r="U19" s="87"/>
      <c r="V19" s="87"/>
      <c r="W19" s="121">
        <f>W18-B18</f>
        <v>23283.333333333336</v>
      </c>
      <c r="X19" s="121"/>
      <c r="Y19" s="121"/>
      <c r="Z19" s="121">
        <f>Z18-E18</f>
        <v>46566.666666666672</v>
      </c>
      <c r="AA19" s="121"/>
      <c r="AB19" s="121"/>
      <c r="AC19" s="121">
        <f>AC18-H18</f>
        <v>93133.333333333343</v>
      </c>
      <c r="AD19" s="121"/>
      <c r="AE19" s="121"/>
      <c r="AF19" s="121">
        <f>AF18-K18</f>
        <v>186266.66666666669</v>
      </c>
      <c r="AG19" s="121"/>
      <c r="AH19" s="121"/>
      <c r="AI19" s="121">
        <f>AI18-N18</f>
        <v>372533.33333333337</v>
      </c>
      <c r="AJ19" s="121"/>
      <c r="AK19" s="121"/>
      <c r="AL19" s="121">
        <f>AL18-Q18</f>
        <v>745066.66666666674</v>
      </c>
      <c r="AM19" s="121"/>
      <c r="AN19" s="121"/>
      <c r="AO19" s="121">
        <f>AO18-T18</f>
        <v>1490133.3333333335</v>
      </c>
      <c r="AP19" s="122"/>
      <c r="AQ19" s="47" t="s">
        <v>169</v>
      </c>
    </row>
    <row r="20" spans="1:43" s="69" customFormat="1" x14ac:dyDescent="0.25">
      <c r="A20" t="s">
        <v>93</v>
      </c>
      <c r="B20" s="88"/>
      <c r="C20" s="105"/>
      <c r="D20" s="105"/>
      <c r="E20" s="105"/>
      <c r="F20" s="105"/>
      <c r="G20" s="33"/>
      <c r="H20" s="106"/>
      <c r="I20" s="107"/>
      <c r="J20" s="108"/>
      <c r="K20" s="131">
        <f>B17*(1-$E$34)</f>
        <v>25</v>
      </c>
      <c r="L20" s="128"/>
      <c r="M20" s="129"/>
      <c r="N20" s="130">
        <f>E17*(1-$E$34)</f>
        <v>50</v>
      </c>
      <c r="O20" s="128"/>
      <c r="P20" s="129"/>
      <c r="Q20" s="130">
        <f>H17*(1-$E$34)</f>
        <v>100</v>
      </c>
      <c r="R20" s="128"/>
      <c r="S20" s="129"/>
      <c r="T20" s="130">
        <f>K17*(1-$E$34)</f>
        <v>200</v>
      </c>
      <c r="U20" s="128"/>
      <c r="V20" s="129"/>
      <c r="W20" s="130">
        <f>N17*(1-$E$34)</f>
        <v>400</v>
      </c>
      <c r="X20" s="128"/>
      <c r="Y20" s="129"/>
      <c r="Z20" s="130">
        <f>Q17*(1-$E$34)</f>
        <v>800</v>
      </c>
      <c r="AA20" s="128"/>
      <c r="AB20" s="129"/>
      <c r="AC20" s="130">
        <f>T17*(1-$E$34)</f>
        <v>1600</v>
      </c>
      <c r="AD20" s="128"/>
      <c r="AE20" s="129"/>
      <c r="AF20" s="130">
        <f>W17*(1-$E$34)</f>
        <v>3200</v>
      </c>
      <c r="AG20" s="128"/>
      <c r="AH20" s="129"/>
      <c r="AI20" s="130">
        <f>Z17*(1-$E$34)</f>
        <v>6400</v>
      </c>
      <c r="AJ20" s="128"/>
      <c r="AK20" s="129"/>
      <c r="AL20" s="130">
        <f>AC17*(1-$E$34)</f>
        <v>12800</v>
      </c>
      <c r="AM20" s="128"/>
      <c r="AN20" s="129"/>
      <c r="AO20" s="130">
        <f>AF17*(1-$E$34)</f>
        <v>25600</v>
      </c>
      <c r="AP20" s="79"/>
      <c r="AQ20" t="s">
        <v>93</v>
      </c>
    </row>
    <row r="21" spans="1:43" s="69" customFormat="1" x14ac:dyDescent="0.25">
      <c r="A21" s="69" t="s">
        <v>74</v>
      </c>
      <c r="B21" s="80"/>
      <c r="C21" s="81"/>
      <c r="D21" s="81"/>
      <c r="E21" s="81"/>
      <c r="F21" s="81"/>
      <c r="G21" s="82"/>
      <c r="H21" s="123">
        <f>B17-B18</f>
        <v>25</v>
      </c>
      <c r="I21" s="123"/>
      <c r="J21" s="123"/>
      <c r="K21" s="123">
        <f>E17-E18</f>
        <v>50</v>
      </c>
      <c r="L21" s="123"/>
      <c r="M21" s="123"/>
      <c r="N21" s="123">
        <f>(H17-H18)*$E$35</f>
        <v>81</v>
      </c>
      <c r="O21" s="123"/>
      <c r="P21" s="123"/>
      <c r="Q21" s="123">
        <f>(K17-K18)*$E$35</f>
        <v>162</v>
      </c>
      <c r="R21" s="123"/>
      <c r="S21" s="123"/>
      <c r="T21" s="123">
        <f>(N17-N18)*$E$35</f>
        <v>324</v>
      </c>
      <c r="U21" s="123"/>
      <c r="V21" s="123"/>
      <c r="W21" s="123">
        <f>((Q17-Q18)*$E$35)-(H21*$E$35)</f>
        <v>627.75</v>
      </c>
      <c r="X21" s="123"/>
      <c r="Y21" s="123"/>
      <c r="Z21" s="123">
        <f>((T17-T18)*$E$35)-(K21*$E$35)</f>
        <v>1255.5</v>
      </c>
      <c r="AA21" s="123"/>
      <c r="AB21" s="123"/>
      <c r="AC21" s="123">
        <f>((W17-W18)*$E$35)-N21</f>
        <v>2511</v>
      </c>
      <c r="AD21" s="123"/>
      <c r="AE21" s="123"/>
      <c r="AF21" s="123">
        <f>((Z17-Z18)*$E$35)-Q21</f>
        <v>5022</v>
      </c>
      <c r="AG21" s="123"/>
      <c r="AH21" s="123"/>
      <c r="AI21" s="123">
        <f>((AC17-AC18)*$E$35)-T21</f>
        <v>10044</v>
      </c>
      <c r="AJ21" s="123"/>
      <c r="AK21" s="123"/>
      <c r="AL21" s="123">
        <f>((AF17-AF18)*$E$35)-W21</f>
        <v>20108.25</v>
      </c>
      <c r="AM21" s="123"/>
      <c r="AN21" s="123"/>
      <c r="AO21" s="123">
        <f>((AI17-AI18)*$E$35)-Z21</f>
        <v>40216.5</v>
      </c>
      <c r="AP21" s="124"/>
      <c r="AQ21" s="69" t="s">
        <v>74</v>
      </c>
    </row>
    <row r="22" spans="1:43" s="69" customFormat="1" x14ac:dyDescent="0.25">
      <c r="A22" s="69" t="s">
        <v>75</v>
      </c>
      <c r="B22" s="80"/>
      <c r="C22" s="81"/>
      <c r="D22" s="81"/>
      <c r="E22" s="81"/>
      <c r="F22" s="81"/>
      <c r="G22" s="82"/>
      <c r="H22" s="107"/>
      <c r="I22" s="107"/>
      <c r="J22" s="107"/>
      <c r="K22" s="107"/>
      <c r="L22" s="107"/>
      <c r="M22" s="108"/>
      <c r="N22" s="125">
        <f>(H17-H18)*($E$36+$E$37)</f>
        <v>19</v>
      </c>
      <c r="O22" s="125"/>
      <c r="P22" s="125"/>
      <c r="Q22" s="125">
        <f>(K17-K18)*($E$36+$E$37)</f>
        <v>38</v>
      </c>
      <c r="R22" s="125"/>
      <c r="S22" s="125"/>
      <c r="T22" s="125">
        <f>(N17-N18)*$E$36</f>
        <v>56.000000000000007</v>
      </c>
      <c r="U22" s="125"/>
      <c r="V22" s="125"/>
      <c r="W22" s="125">
        <f>(Q17-Q18)*$E$36</f>
        <v>112.00000000000001</v>
      </c>
      <c r="X22" s="125"/>
      <c r="Y22" s="125"/>
      <c r="Z22" s="125">
        <f>(T17-T18)*$E$36</f>
        <v>224.00000000000003</v>
      </c>
      <c r="AA22" s="125"/>
      <c r="AB22" s="125"/>
      <c r="AC22" s="125">
        <f>(W17-W18)*$E$36</f>
        <v>448.00000000000006</v>
      </c>
      <c r="AD22" s="125"/>
      <c r="AE22" s="125"/>
      <c r="AF22" s="125">
        <f>(Z17-Z18)*$E$36</f>
        <v>896.00000000000011</v>
      </c>
      <c r="AG22" s="125"/>
      <c r="AH22" s="125"/>
      <c r="AI22" s="125">
        <f>(AC17-AC18)*$E$36</f>
        <v>1792.0000000000002</v>
      </c>
      <c r="AJ22" s="125"/>
      <c r="AK22" s="125"/>
      <c r="AL22" s="125">
        <f>(AF17-AF18)*$E$36</f>
        <v>3584.0000000000005</v>
      </c>
      <c r="AM22" s="125"/>
      <c r="AN22" s="125"/>
      <c r="AO22" s="125">
        <f>(AI17-AI18)*$E$36</f>
        <v>7168.0000000000009</v>
      </c>
      <c r="AP22" s="126"/>
      <c r="AQ22" s="69" t="s">
        <v>75</v>
      </c>
    </row>
    <row r="23" spans="1:43" s="69" customFormat="1" x14ac:dyDescent="0.25">
      <c r="A23" s="47" t="s">
        <v>76</v>
      </c>
      <c r="B23" s="80"/>
      <c r="C23" s="81"/>
      <c r="D23" s="81"/>
      <c r="E23" s="81"/>
      <c r="F23" s="81"/>
      <c r="G23" s="82"/>
      <c r="H23" s="87"/>
      <c r="I23" s="87"/>
      <c r="J23" s="87"/>
      <c r="K23" s="87"/>
      <c r="L23" s="87"/>
      <c r="M23" s="87"/>
      <c r="N23" s="107"/>
      <c r="O23" s="107"/>
      <c r="P23" s="107"/>
      <c r="Q23" s="107"/>
      <c r="R23" s="107"/>
      <c r="S23" s="108"/>
      <c r="T23" s="40">
        <f>(N17-N18)*$E$37</f>
        <v>20</v>
      </c>
      <c r="U23" s="40"/>
      <c r="V23" s="40"/>
      <c r="W23" s="40">
        <f>(Q17-Q18)*$E$37</f>
        <v>40</v>
      </c>
      <c r="X23" s="40"/>
      <c r="Y23" s="40"/>
      <c r="Z23" s="40">
        <f>(T17-T18)*$E$37</f>
        <v>80</v>
      </c>
      <c r="AA23" s="40"/>
      <c r="AB23" s="40"/>
      <c r="AC23" s="40">
        <f>(W17-W18)*$E$37</f>
        <v>160</v>
      </c>
      <c r="AD23" s="40"/>
      <c r="AE23" s="40"/>
      <c r="AF23" s="40">
        <f>(Z17-Z18)*$E$37</f>
        <v>320</v>
      </c>
      <c r="AG23" s="40"/>
      <c r="AH23" s="40"/>
      <c r="AI23" s="40">
        <f>(AC17-AC18)*$E$37</f>
        <v>640</v>
      </c>
      <c r="AJ23" s="40"/>
      <c r="AK23" s="40"/>
      <c r="AL23" s="40">
        <f>(AF17-AF18)*$E$37</f>
        <v>1280</v>
      </c>
      <c r="AM23" s="40"/>
      <c r="AN23" s="40"/>
      <c r="AO23" s="40">
        <f>(AI17-AI18)*$E$37</f>
        <v>2560</v>
      </c>
      <c r="AP23" s="127"/>
      <c r="AQ23" s="47" t="s">
        <v>76</v>
      </c>
    </row>
    <row r="24" spans="1:43" s="69" customFormat="1" x14ac:dyDescent="0.25">
      <c r="A24" s="47" t="s">
        <v>81</v>
      </c>
      <c r="B24" s="86"/>
      <c r="C24" s="87"/>
      <c r="D24" s="87"/>
      <c r="E24" s="87"/>
      <c r="F24" s="87"/>
      <c r="G24" s="34"/>
      <c r="H24" s="87"/>
      <c r="I24" s="87"/>
      <c r="J24" s="87"/>
      <c r="K24" s="87"/>
      <c r="L24" s="87"/>
      <c r="M24" s="87"/>
      <c r="N24" s="87"/>
      <c r="O24" s="87"/>
      <c r="P24" s="87"/>
      <c r="Q24" s="87"/>
      <c r="R24" s="87"/>
      <c r="S24" s="87"/>
      <c r="T24" s="107"/>
      <c r="U24" s="108"/>
      <c r="V24" s="109">
        <f>H21*$E$35</f>
        <v>20.25</v>
      </c>
      <c r="W24" s="109"/>
      <c r="X24" s="109"/>
      <c r="Y24" s="109">
        <f>K21*$E$35</f>
        <v>40.5</v>
      </c>
      <c r="Z24" s="109"/>
      <c r="AA24" s="109"/>
      <c r="AB24" s="109">
        <f>N21</f>
        <v>81</v>
      </c>
      <c r="AC24" s="109"/>
      <c r="AD24" s="109"/>
      <c r="AE24" s="109">
        <f>Q21</f>
        <v>162</v>
      </c>
      <c r="AF24" s="109"/>
      <c r="AG24" s="109"/>
      <c r="AH24" s="109">
        <f>T21</f>
        <v>324</v>
      </c>
      <c r="AI24" s="109"/>
      <c r="AJ24" s="109"/>
      <c r="AK24" s="109">
        <f>W21</f>
        <v>627.75</v>
      </c>
      <c r="AL24" s="109"/>
      <c r="AM24" s="109"/>
      <c r="AN24" s="109">
        <f>Z21</f>
        <v>1255.5</v>
      </c>
      <c r="AO24" s="109"/>
      <c r="AP24" s="110"/>
      <c r="AQ24" s="47" t="s">
        <v>81</v>
      </c>
    </row>
    <row r="25" spans="1:43" x14ac:dyDescent="0.25">
      <c r="A25" s="47" t="s">
        <v>70</v>
      </c>
      <c r="B25" s="99"/>
      <c r="C25" s="100"/>
      <c r="D25" s="100"/>
      <c r="E25" s="100"/>
      <c r="F25" s="100"/>
      <c r="G25" s="101"/>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132">
        <f>E32</f>
        <v>1</v>
      </c>
      <c r="AQ25" s="47" t="s">
        <v>70</v>
      </c>
    </row>
    <row r="26" spans="1:43" x14ac:dyDescent="0.25">
      <c r="A26" s="133" t="s">
        <v>97</v>
      </c>
      <c r="B26" s="89">
        <f t="shared" ref="B26:G26" ca="1" si="0">C26-1</f>
        <v>43894.680232638886</v>
      </c>
      <c r="C26" s="90">
        <f t="shared" ca="1" si="0"/>
        <v>43895.680232638886</v>
      </c>
      <c r="D26" s="90">
        <f t="shared" ca="1" si="0"/>
        <v>43896.680232638886</v>
      </c>
      <c r="E26" s="90">
        <f t="shared" ca="1" si="0"/>
        <v>43897.680232638886</v>
      </c>
      <c r="F26" s="90">
        <f t="shared" ca="1" si="0"/>
        <v>43898.680232638886</v>
      </c>
      <c r="G26" s="91">
        <f t="shared" ca="1" si="0"/>
        <v>43899.680232638886</v>
      </c>
      <c r="H26" s="90">
        <f t="shared" ref="H26:U26" ca="1" si="1">I26-1</f>
        <v>43900.680232638886</v>
      </c>
      <c r="I26" s="90">
        <f t="shared" ca="1" si="1"/>
        <v>43901.680232638886</v>
      </c>
      <c r="J26" s="90">
        <f t="shared" ca="1" si="1"/>
        <v>43902.680232638886</v>
      </c>
      <c r="K26" s="90">
        <f t="shared" ca="1" si="1"/>
        <v>43903.680232638886</v>
      </c>
      <c r="L26" s="90">
        <f t="shared" ca="1" si="1"/>
        <v>43904.680232638886</v>
      </c>
      <c r="M26" s="90">
        <f t="shared" ca="1" si="1"/>
        <v>43905.680232638886</v>
      </c>
      <c r="N26" s="91">
        <f t="shared" ca="1" si="1"/>
        <v>43906.680232638886</v>
      </c>
      <c r="O26" s="89">
        <f t="shared" ca="1" si="1"/>
        <v>43907.680232638886</v>
      </c>
      <c r="P26" s="90">
        <f t="shared" ca="1" si="1"/>
        <v>43908.680232638886</v>
      </c>
      <c r="Q26" s="90">
        <f t="shared" ca="1" si="1"/>
        <v>43909.680232638886</v>
      </c>
      <c r="R26" s="90">
        <f t="shared" ca="1" si="1"/>
        <v>43910.680232638886</v>
      </c>
      <c r="S26" s="90">
        <f t="shared" ca="1" si="1"/>
        <v>43911.680232638886</v>
      </c>
      <c r="T26" s="90">
        <f t="shared" ca="1" si="1"/>
        <v>43912.680232638886</v>
      </c>
      <c r="U26" s="91">
        <f t="shared" ca="1" si="1"/>
        <v>43913.680232638886</v>
      </c>
      <c r="V26" s="89">
        <f t="shared" ref="V26:AN26" ca="1" si="2">W26-1</f>
        <v>43914.680232638886</v>
      </c>
      <c r="W26" s="90">
        <f t="shared" ca="1" si="2"/>
        <v>43915.680232638886</v>
      </c>
      <c r="X26" s="90">
        <f t="shared" ca="1" si="2"/>
        <v>43916.680232638886</v>
      </c>
      <c r="Y26" s="90">
        <f t="shared" ca="1" si="2"/>
        <v>43917.680232638886</v>
      </c>
      <c r="Z26" s="90">
        <f t="shared" ca="1" si="2"/>
        <v>43918.680232638886</v>
      </c>
      <c r="AA26" s="90">
        <f t="shared" ca="1" si="2"/>
        <v>43919.680232638886</v>
      </c>
      <c r="AB26" s="91">
        <f t="shared" ca="1" si="2"/>
        <v>43920.680232638886</v>
      </c>
      <c r="AC26" s="89">
        <f t="shared" ca="1" si="2"/>
        <v>43921.680232638886</v>
      </c>
      <c r="AD26" s="90">
        <f t="shared" ca="1" si="2"/>
        <v>43922.680232638886</v>
      </c>
      <c r="AE26" s="90">
        <f t="shared" ca="1" si="2"/>
        <v>43923.680232638886</v>
      </c>
      <c r="AF26" s="90">
        <f t="shared" ca="1" si="2"/>
        <v>43924.680232638886</v>
      </c>
      <c r="AG26" s="90">
        <f t="shared" ca="1" si="2"/>
        <v>43925.680232638886</v>
      </c>
      <c r="AH26" s="90">
        <f t="shared" ca="1" si="2"/>
        <v>43926.680232638886</v>
      </c>
      <c r="AI26" s="91">
        <f t="shared" ca="1" si="2"/>
        <v>43927.680232638886</v>
      </c>
      <c r="AJ26" s="89">
        <f t="shared" ca="1" si="2"/>
        <v>43928.680232638886</v>
      </c>
      <c r="AK26" s="90">
        <f t="shared" ca="1" si="2"/>
        <v>43929.680232638886</v>
      </c>
      <c r="AL26" s="90">
        <f t="shared" ca="1" si="2"/>
        <v>43930.680232638886</v>
      </c>
      <c r="AM26" s="90">
        <f t="shared" ca="1" si="2"/>
        <v>43931.680232638886</v>
      </c>
      <c r="AN26" s="90">
        <f t="shared" ca="1" si="2"/>
        <v>43932.680232638886</v>
      </c>
      <c r="AO26" s="90">
        <f ca="1">AP26-1</f>
        <v>43933.680232638886</v>
      </c>
      <c r="AP26" s="111">
        <f ca="1">NOW()</f>
        <v>43934.680232638886</v>
      </c>
    </row>
    <row r="27" spans="1:43" x14ac:dyDescent="0.25">
      <c r="A27" s="134" t="s">
        <v>98</v>
      </c>
      <c r="B27" s="117">
        <v>1</v>
      </c>
      <c r="C27" s="118">
        <v>2</v>
      </c>
      <c r="D27" s="117">
        <v>3</v>
      </c>
      <c r="E27" s="118">
        <v>4</v>
      </c>
      <c r="F27" s="117">
        <v>5</v>
      </c>
      <c r="G27" s="119">
        <v>6</v>
      </c>
      <c r="H27" s="118">
        <v>7</v>
      </c>
      <c r="I27" s="118">
        <v>8</v>
      </c>
      <c r="J27" s="118">
        <v>9</v>
      </c>
      <c r="K27" s="118">
        <v>10</v>
      </c>
      <c r="L27" s="118">
        <v>11</v>
      </c>
      <c r="M27" s="118">
        <v>12</v>
      </c>
      <c r="N27" s="119">
        <v>13</v>
      </c>
      <c r="O27" s="117">
        <v>14</v>
      </c>
      <c r="P27" s="118">
        <v>15</v>
      </c>
      <c r="Q27" s="118">
        <v>16</v>
      </c>
      <c r="R27" s="118">
        <v>17</v>
      </c>
      <c r="S27" s="118">
        <v>18</v>
      </c>
      <c r="T27" s="118">
        <v>19</v>
      </c>
      <c r="U27" s="119">
        <v>20</v>
      </c>
      <c r="V27" s="117">
        <v>21</v>
      </c>
      <c r="W27" s="118">
        <v>22</v>
      </c>
      <c r="X27" s="118">
        <v>23</v>
      </c>
      <c r="Y27" s="118">
        <v>24</v>
      </c>
      <c r="Z27" s="118">
        <v>25</v>
      </c>
      <c r="AA27" s="118">
        <v>26</v>
      </c>
      <c r="AB27" s="119">
        <v>27</v>
      </c>
      <c r="AC27" s="117">
        <v>28</v>
      </c>
      <c r="AD27" s="118">
        <v>29</v>
      </c>
      <c r="AE27" s="118">
        <v>30</v>
      </c>
      <c r="AF27" s="118">
        <v>31</v>
      </c>
      <c r="AG27" s="118">
        <v>32</v>
      </c>
      <c r="AH27" s="118">
        <v>33</v>
      </c>
      <c r="AI27" s="119">
        <v>34</v>
      </c>
      <c r="AJ27" s="117">
        <v>35</v>
      </c>
      <c r="AK27" s="118">
        <v>36</v>
      </c>
      <c r="AL27" s="118">
        <v>37</v>
      </c>
      <c r="AM27" s="118">
        <v>38</v>
      </c>
      <c r="AN27" s="118">
        <v>39</v>
      </c>
      <c r="AO27" s="118">
        <v>40</v>
      </c>
      <c r="AP27" s="119">
        <v>41</v>
      </c>
    </row>
    <row r="28" spans="1:43" x14ac:dyDescent="0.25">
      <c r="A28" s="135" t="s">
        <v>99</v>
      </c>
      <c r="B28" s="256" t="s">
        <v>68</v>
      </c>
      <c r="C28" s="257"/>
      <c r="D28" s="257"/>
      <c r="E28" s="257"/>
      <c r="F28" s="257"/>
      <c r="G28" s="258"/>
      <c r="H28" s="262" t="s">
        <v>57</v>
      </c>
      <c r="I28" s="262"/>
      <c r="J28" s="262"/>
      <c r="K28" s="262"/>
      <c r="L28" s="262"/>
      <c r="M28" s="262"/>
      <c r="N28" s="263"/>
      <c r="O28" s="261" t="s">
        <v>58</v>
      </c>
      <c r="P28" s="262"/>
      <c r="Q28" s="262"/>
      <c r="R28" s="262"/>
      <c r="S28" s="262"/>
      <c r="T28" s="262"/>
      <c r="U28" s="263"/>
      <c r="V28" s="261" t="s">
        <v>59</v>
      </c>
      <c r="W28" s="262"/>
      <c r="X28" s="262"/>
      <c r="Y28" s="262"/>
      <c r="Z28" s="262"/>
      <c r="AA28" s="262"/>
      <c r="AB28" s="263"/>
      <c r="AC28" s="261" t="s">
        <v>60</v>
      </c>
      <c r="AD28" s="262"/>
      <c r="AE28" s="262"/>
      <c r="AF28" s="262"/>
      <c r="AG28" s="262"/>
      <c r="AH28" s="262"/>
      <c r="AI28" s="263"/>
      <c r="AJ28" s="261" t="s">
        <v>61</v>
      </c>
      <c r="AK28" s="262"/>
      <c r="AL28" s="262"/>
      <c r="AM28" s="262"/>
      <c r="AN28" s="262"/>
      <c r="AO28" s="262"/>
      <c r="AP28" s="263"/>
    </row>
    <row r="29" spans="1:43" x14ac:dyDescent="0.25">
      <c r="B29" s="51" t="s">
        <v>80</v>
      </c>
      <c r="C29" s="96"/>
      <c r="D29" s="96"/>
      <c r="E29" s="96"/>
      <c r="F29" s="96"/>
      <c r="G29" s="97"/>
      <c r="H29" s="259" t="s">
        <v>67</v>
      </c>
      <c r="I29" s="259"/>
      <c r="J29" s="259"/>
      <c r="K29" s="259"/>
      <c r="L29" s="259"/>
      <c r="M29" s="259"/>
      <c r="N29" s="259"/>
      <c r="O29" s="259"/>
      <c r="P29" s="259"/>
      <c r="Q29" s="259"/>
      <c r="R29" s="259"/>
      <c r="S29" s="259"/>
      <c r="T29" s="259"/>
      <c r="U29" s="259"/>
      <c r="V29" s="259"/>
      <c r="W29" s="259"/>
      <c r="X29" s="259"/>
      <c r="Y29" s="259"/>
      <c r="Z29" s="259"/>
      <c r="AA29" s="259"/>
      <c r="AB29" s="259"/>
      <c r="AC29" s="259"/>
      <c r="AD29" s="259"/>
      <c r="AE29" s="259"/>
      <c r="AF29" s="259"/>
      <c r="AG29" s="259"/>
      <c r="AH29" s="259"/>
      <c r="AI29" s="259"/>
      <c r="AJ29" s="259"/>
      <c r="AK29" s="259"/>
      <c r="AL29" s="259"/>
      <c r="AM29" s="259"/>
      <c r="AN29" s="259"/>
      <c r="AO29" s="259"/>
      <c r="AP29" s="260"/>
    </row>
    <row r="31" spans="1:43" x14ac:dyDescent="0.25">
      <c r="B31" s="57" t="s">
        <v>69</v>
      </c>
      <c r="C31" s="138" t="s">
        <v>198</v>
      </c>
      <c r="D31" s="9"/>
      <c r="E31" s="85">
        <f>VLOOKUP(C31,B43:C54,2,FALSE)</f>
        <v>0.04</v>
      </c>
      <c r="F31" s="9"/>
      <c r="G31" s="9"/>
      <c r="H31" s="9"/>
      <c r="I31" s="5"/>
    </row>
    <row r="32" spans="1:43" x14ac:dyDescent="0.25">
      <c r="B32" s="41" t="s">
        <v>96</v>
      </c>
      <c r="C32" s="16"/>
      <c r="D32" s="16"/>
      <c r="E32" s="139">
        <v>1</v>
      </c>
      <c r="F32" s="16"/>
      <c r="G32" s="16"/>
      <c r="H32" s="16"/>
      <c r="I32" s="17"/>
    </row>
    <row r="33" spans="2:9" x14ac:dyDescent="0.25">
      <c r="B33" s="41" t="s">
        <v>71</v>
      </c>
      <c r="C33" s="16"/>
      <c r="D33" s="16"/>
      <c r="E33" s="16">
        <v>3</v>
      </c>
      <c r="F33" s="16" t="s">
        <v>72</v>
      </c>
      <c r="G33" s="16"/>
      <c r="H33" s="16"/>
      <c r="I33" s="17"/>
    </row>
    <row r="34" spans="2:9" x14ac:dyDescent="0.25">
      <c r="B34" s="41" t="s">
        <v>193</v>
      </c>
      <c r="C34" s="16"/>
      <c r="D34" s="16"/>
      <c r="E34" s="140">
        <f>1-Projections!B6</f>
        <v>0.88</v>
      </c>
      <c r="F34" s="16" t="s">
        <v>195</v>
      </c>
      <c r="G34" s="16"/>
      <c r="H34" s="16"/>
      <c r="I34" s="17"/>
    </row>
    <row r="35" spans="2:9" x14ac:dyDescent="0.25">
      <c r="B35" s="41" t="s">
        <v>77</v>
      </c>
      <c r="C35" s="16"/>
      <c r="D35" s="16"/>
      <c r="E35" s="140">
        <v>0.81</v>
      </c>
      <c r="F35" s="16" t="s">
        <v>95</v>
      </c>
      <c r="G35" s="16"/>
      <c r="H35" s="16"/>
      <c r="I35" s="17"/>
    </row>
    <row r="36" spans="2:9" x14ac:dyDescent="0.25">
      <c r="B36" s="41" t="s">
        <v>78</v>
      </c>
      <c r="C36" s="16"/>
      <c r="D36" s="16"/>
      <c r="E36" s="140">
        <v>0.14000000000000001</v>
      </c>
      <c r="F36" s="16" t="s">
        <v>95</v>
      </c>
      <c r="G36" s="16"/>
      <c r="H36" s="16"/>
      <c r="I36" s="17"/>
    </row>
    <row r="37" spans="2:9" x14ac:dyDescent="0.25">
      <c r="B37" s="41" t="s">
        <v>79</v>
      </c>
      <c r="C37" s="16"/>
      <c r="D37" s="16"/>
      <c r="E37" s="140">
        <v>0.05</v>
      </c>
      <c r="F37" s="16" t="s">
        <v>95</v>
      </c>
      <c r="G37" s="16"/>
      <c r="H37" s="16"/>
      <c r="I37" s="17"/>
    </row>
    <row r="38" spans="2:9" x14ac:dyDescent="0.25">
      <c r="B38" s="41" t="s">
        <v>82</v>
      </c>
      <c r="C38" s="16"/>
      <c r="D38" s="16"/>
      <c r="E38" s="136">
        <v>2</v>
      </c>
      <c r="F38" s="16" t="s">
        <v>83</v>
      </c>
      <c r="G38" s="16"/>
      <c r="H38" s="16"/>
      <c r="I38" s="17"/>
    </row>
    <row r="39" spans="2:9" x14ac:dyDescent="0.25">
      <c r="B39" s="37" t="s">
        <v>84</v>
      </c>
      <c r="C39" s="137"/>
      <c r="D39" s="39"/>
      <c r="E39" s="116">
        <v>4</v>
      </c>
      <c r="F39" s="39" t="s">
        <v>83</v>
      </c>
      <c r="G39" s="39" t="s">
        <v>85</v>
      </c>
      <c r="H39" s="39"/>
      <c r="I39" s="63"/>
    </row>
    <row r="42" spans="2:9" x14ac:dyDescent="0.25">
      <c r="B42" t="s">
        <v>91</v>
      </c>
    </row>
    <row r="43" spans="2:9" x14ac:dyDescent="0.25">
      <c r="B43" s="4" t="s">
        <v>90</v>
      </c>
      <c r="C43" s="115">
        <v>3.5000000000000003E-2</v>
      </c>
    </row>
    <row r="44" spans="2:9" x14ac:dyDescent="0.25">
      <c r="B44" s="41" t="s">
        <v>89</v>
      </c>
      <c r="C44" s="27">
        <v>2.3E-2</v>
      </c>
    </row>
    <row r="45" spans="2:9" x14ac:dyDescent="0.25">
      <c r="B45" s="41" t="s">
        <v>198</v>
      </c>
      <c r="C45" s="27">
        <f>Projections!B13</f>
        <v>0.04</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20"/>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100</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O86"/>
  <sheetViews>
    <sheetView tabSelected="1" zoomScaleNormal="100" workbookViewId="0">
      <selection activeCell="AA11" sqref="AA11"/>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19" width="11" customWidth="1"/>
    <col min="20" max="20" width="10.7109375" customWidth="1"/>
    <col min="21" max="22" width="10.85546875" bestFit="1" customWidth="1"/>
    <col min="23" max="23" width="10.85546875" customWidth="1"/>
    <col min="24" max="25" width="10.85546875" bestFit="1" customWidth="1"/>
    <col min="26" max="26" width="11.28515625" customWidth="1"/>
    <col min="27" max="28" width="10.7109375" bestFit="1" customWidth="1"/>
    <col min="29" max="29" width="10.7109375" customWidth="1"/>
    <col min="30" max="30" width="10.7109375" bestFit="1" customWidth="1"/>
    <col min="31" max="34" width="11.5703125" bestFit="1" customWidth="1"/>
    <col min="35" max="36" width="13.28515625" bestFit="1" customWidth="1"/>
    <col min="37" max="37" width="13.7109375" customWidth="1"/>
    <col min="38" max="38" width="11.5703125" style="69" bestFit="1" customWidth="1"/>
    <col min="39" max="39" width="11.140625" bestFit="1" customWidth="1"/>
    <col min="40" max="40" width="12.140625" bestFit="1" customWidth="1"/>
  </cols>
  <sheetData>
    <row r="1" spans="1:38" x14ac:dyDescent="0.25">
      <c r="E1" t="s">
        <v>118</v>
      </c>
    </row>
    <row r="2" spans="1:38" x14ac:dyDescent="0.25">
      <c r="D2" s="165"/>
      <c r="E2" s="158">
        <v>43863</v>
      </c>
      <c r="F2" s="159" t="s">
        <v>181</v>
      </c>
      <c r="G2" s="159"/>
      <c r="H2" s="159"/>
      <c r="I2" s="159"/>
      <c r="J2" s="158"/>
      <c r="K2" s="158">
        <v>43877</v>
      </c>
      <c r="M2" s="69"/>
      <c r="N2" s="165"/>
      <c r="O2" s="69"/>
      <c r="P2" s="69"/>
      <c r="Q2" s="69"/>
      <c r="R2" s="69"/>
      <c r="S2" s="69"/>
      <c r="T2" s="69"/>
      <c r="U2" s="69"/>
    </row>
    <row r="3" spans="1:38" x14ac:dyDescent="0.25">
      <c r="D3" s="69"/>
      <c r="E3" s="69"/>
      <c r="F3" s="165"/>
      <c r="G3" s="165"/>
      <c r="H3" s="165"/>
      <c r="I3" s="165"/>
      <c r="J3" s="165"/>
      <c r="K3" s="165"/>
      <c r="L3" s="69"/>
      <c r="M3" s="69"/>
      <c r="N3" s="158">
        <v>43892</v>
      </c>
      <c r="O3" s="158" t="s">
        <v>182</v>
      </c>
      <c r="P3" s="159"/>
      <c r="Q3" s="158"/>
      <c r="R3" s="159"/>
      <c r="S3" s="158">
        <v>43906</v>
      </c>
      <c r="T3" s="69"/>
    </row>
    <row r="4" spans="1:38" x14ac:dyDescent="0.25">
      <c r="D4" s="69"/>
      <c r="E4" s="69"/>
      <c r="F4" s="69"/>
      <c r="G4" s="69"/>
      <c r="H4" s="69"/>
      <c r="I4" s="69"/>
      <c r="J4" s="69"/>
      <c r="K4" s="69"/>
      <c r="L4" s="165"/>
      <c r="M4" s="69"/>
      <c r="N4" s="69"/>
      <c r="O4" s="69"/>
      <c r="P4" s="165"/>
      <c r="Q4" s="158">
        <v>43903</v>
      </c>
      <c r="R4" s="159" t="s">
        <v>183</v>
      </c>
      <c r="S4" s="159"/>
      <c r="T4" s="159"/>
      <c r="U4" s="159"/>
      <c r="V4" s="159"/>
      <c r="W4" s="159"/>
      <c r="X4" s="159"/>
      <c r="Y4" s="159"/>
      <c r="Z4" s="159"/>
      <c r="AC4" s="217"/>
    </row>
    <row r="5" spans="1:38" x14ac:dyDescent="0.25">
      <c r="A5" s="4" t="s">
        <v>197</v>
      </c>
      <c r="B5" s="221">
        <v>330565500</v>
      </c>
      <c r="C5" t="s">
        <v>175</v>
      </c>
      <c r="D5" s="69"/>
      <c r="E5" s="69"/>
      <c r="F5" s="69"/>
      <c r="G5" s="69"/>
      <c r="H5" s="69"/>
      <c r="I5" s="69"/>
      <c r="J5" s="69"/>
      <c r="K5" s="69"/>
      <c r="L5" s="69"/>
      <c r="M5" s="69"/>
      <c r="N5" s="165"/>
      <c r="O5" s="69"/>
      <c r="P5" s="69"/>
      <c r="Q5" s="69"/>
      <c r="R5" s="158">
        <v>43904</v>
      </c>
      <c r="S5" s="159" t="s">
        <v>177</v>
      </c>
      <c r="T5" s="159"/>
      <c r="U5" s="158"/>
      <c r="V5" s="158"/>
      <c r="W5" s="159"/>
      <c r="X5" s="158">
        <v>43918</v>
      </c>
    </row>
    <row r="6" spans="1:38" x14ac:dyDescent="0.25">
      <c r="A6" s="4" t="s">
        <v>115</v>
      </c>
      <c r="B6" s="155">
        <v>0.12</v>
      </c>
      <c r="C6" t="s">
        <v>114</v>
      </c>
      <c r="D6" s="69"/>
      <c r="E6" s="69"/>
      <c r="F6" s="69"/>
      <c r="G6" s="69"/>
      <c r="H6" s="69"/>
      <c r="I6" s="69"/>
      <c r="J6" s="69"/>
      <c r="K6" s="69"/>
      <c r="L6" s="69"/>
      <c r="M6" s="69"/>
      <c r="N6" s="69"/>
      <c r="O6" s="165"/>
      <c r="P6" s="69"/>
      <c r="Q6" s="165"/>
      <c r="R6" s="69"/>
      <c r="S6" s="159" t="s">
        <v>184</v>
      </c>
      <c r="T6" s="159"/>
      <c r="U6" s="159"/>
      <c r="V6" s="159"/>
      <c r="W6" s="159"/>
      <c r="X6" s="159"/>
      <c r="Y6" s="159"/>
      <c r="Z6" s="159"/>
    </row>
    <row r="7" spans="1:38" x14ac:dyDescent="0.25">
      <c r="A7" s="37" t="s">
        <v>117</v>
      </c>
      <c r="B7" s="114">
        <v>7.0000000000000007E-2</v>
      </c>
      <c r="C7" s="249"/>
      <c r="D7" s="69"/>
      <c r="E7" s="69"/>
      <c r="F7" s="69"/>
      <c r="G7" s="69"/>
      <c r="H7" s="69"/>
      <c r="I7" s="69"/>
      <c r="J7" s="69"/>
      <c r="K7" s="69"/>
      <c r="L7" s="69"/>
      <c r="M7" s="69"/>
      <c r="N7" s="69"/>
      <c r="O7" s="69"/>
      <c r="P7" s="165"/>
      <c r="Q7" s="165"/>
      <c r="R7" s="69"/>
      <c r="S7" s="69"/>
      <c r="T7" s="158">
        <v>43908</v>
      </c>
      <c r="U7" s="159" t="s">
        <v>178</v>
      </c>
      <c r="V7" s="159"/>
      <c r="W7" s="158"/>
      <c r="X7" s="158">
        <v>43922</v>
      </c>
    </row>
    <row r="8" spans="1:38" x14ac:dyDescent="0.25">
      <c r="A8" s="4" t="s">
        <v>185</v>
      </c>
      <c r="B8" s="250">
        <v>2.4</v>
      </c>
      <c r="C8" s="64">
        <f>(B5/1000)*B8</f>
        <v>793357.2</v>
      </c>
      <c r="D8" s="69"/>
      <c r="E8" s="69"/>
      <c r="F8" s="69"/>
      <c r="G8" s="69"/>
      <c r="H8" s="69"/>
      <c r="I8" s="69"/>
      <c r="J8" s="69"/>
      <c r="K8" s="69"/>
      <c r="L8" s="69"/>
      <c r="M8" s="69"/>
      <c r="N8" s="69"/>
      <c r="O8" s="69"/>
      <c r="P8" s="69"/>
      <c r="Q8" s="69"/>
      <c r="R8" s="69"/>
      <c r="S8" s="69"/>
      <c r="U8" s="158">
        <v>43910</v>
      </c>
      <c r="V8" s="159" t="s">
        <v>179</v>
      </c>
      <c r="W8" s="159"/>
      <c r="X8" s="159"/>
      <c r="Y8" s="158">
        <v>43924</v>
      </c>
    </row>
    <row r="9" spans="1:38" x14ac:dyDescent="0.25">
      <c r="A9" s="37" t="s">
        <v>186</v>
      </c>
      <c r="B9" s="251">
        <v>34.700000000000003</v>
      </c>
      <c r="C9" s="61">
        <f>(B5/100000)*B9</f>
        <v>114706.22850000001</v>
      </c>
      <c r="D9" s="69"/>
      <c r="E9" s="69"/>
      <c r="F9" s="69"/>
      <c r="G9" s="69"/>
      <c r="H9" s="69"/>
      <c r="I9" s="69"/>
      <c r="J9" s="69"/>
      <c r="K9" s="69"/>
      <c r="L9" s="69"/>
      <c r="M9" s="69"/>
      <c r="N9" s="69"/>
      <c r="O9" s="69"/>
      <c r="P9" s="69"/>
      <c r="Q9" s="69"/>
      <c r="R9" s="150"/>
      <c r="S9" s="69"/>
      <c r="V9" s="158">
        <v>43914</v>
      </c>
      <c r="W9" s="159" t="s">
        <v>180</v>
      </c>
      <c r="X9" s="159"/>
      <c r="Y9" s="158">
        <v>43928</v>
      </c>
    </row>
    <row r="10" spans="1:38" x14ac:dyDescent="0.25">
      <c r="A10" s="4" t="s">
        <v>74</v>
      </c>
      <c r="B10" s="112">
        <v>0.81</v>
      </c>
      <c r="C10" s="2"/>
      <c r="D10" s="69"/>
      <c r="E10" s="69"/>
      <c r="F10" s="69"/>
      <c r="G10" s="69"/>
      <c r="H10" s="69"/>
      <c r="I10" s="69"/>
      <c r="J10" s="69"/>
      <c r="K10" s="69"/>
      <c r="L10" s="69"/>
      <c r="M10" s="69"/>
      <c r="N10" s="69"/>
      <c r="O10" s="69"/>
      <c r="P10" s="69"/>
      <c r="Q10" s="69"/>
    </row>
    <row r="11" spans="1:38" x14ac:dyDescent="0.25">
      <c r="A11" s="41" t="s">
        <v>75</v>
      </c>
      <c r="B11" s="113">
        <v>0.14000000000000001</v>
      </c>
      <c r="C11" s="2"/>
      <c r="D11" s="69"/>
      <c r="E11" s="69"/>
      <c r="F11" s="69"/>
      <c r="G11" s="69"/>
      <c r="H11" s="69"/>
      <c r="I11" s="69"/>
      <c r="J11" s="69"/>
      <c r="K11" s="69"/>
      <c r="L11" s="69"/>
      <c r="M11" s="69"/>
      <c r="N11" s="69"/>
      <c r="O11" s="69"/>
      <c r="P11" s="69"/>
      <c r="Q11" s="47"/>
      <c r="R11" s="69"/>
      <c r="S11" s="165"/>
      <c r="T11" s="236"/>
      <c r="U11" s="165"/>
      <c r="X11" s="217"/>
      <c r="AD11" s="266"/>
    </row>
    <row r="12" spans="1:38" x14ac:dyDescent="0.25">
      <c r="A12" s="37" t="s">
        <v>110</v>
      </c>
      <c r="B12" s="114">
        <v>0.05</v>
      </c>
      <c r="C12" s="2"/>
      <c r="D12" s="212" t="s">
        <v>171</v>
      </c>
      <c r="P12" s="16"/>
      <c r="Q12" s="16"/>
      <c r="R12" s="270"/>
      <c r="S12" s="16"/>
      <c r="T12" s="198"/>
      <c r="U12" s="16"/>
      <c r="X12" s="217"/>
      <c r="AA12" s="217"/>
      <c r="AE12" s="175"/>
      <c r="AF12" s="175"/>
      <c r="AG12" s="175"/>
      <c r="AH12" s="175"/>
      <c r="AI12" s="175"/>
      <c r="AJ12" s="175"/>
    </row>
    <row r="13" spans="1:38" x14ac:dyDescent="0.25">
      <c r="A13" s="37" t="s">
        <v>116</v>
      </c>
      <c r="B13" s="65">
        <v>0.04</v>
      </c>
      <c r="C13" s="2"/>
      <c r="D13" s="179" t="s">
        <v>163</v>
      </c>
      <c r="Q13" s="16"/>
      <c r="R13" s="16"/>
      <c r="S13" s="16"/>
      <c r="T13" s="16"/>
      <c r="U13" s="16"/>
      <c r="X13" s="217"/>
      <c r="AD13" s="176"/>
    </row>
    <row r="14" spans="1:38" x14ac:dyDescent="0.25">
      <c r="A14" s="153" t="s">
        <v>103</v>
      </c>
      <c r="B14" s="154">
        <v>43851</v>
      </c>
      <c r="C14" s="2"/>
      <c r="D14" s="267">
        <f>(AF17-L17)/(LOG(AF18/L18)/LOG(2))</f>
        <v>8.5</v>
      </c>
      <c r="E14" s="175"/>
      <c r="O14" s="16"/>
      <c r="P14" s="16"/>
      <c r="Q14" s="16"/>
      <c r="R14" s="16"/>
      <c r="S14" s="16"/>
      <c r="T14" s="16"/>
      <c r="U14" s="16"/>
      <c r="W14" s="217"/>
    </row>
    <row r="15" spans="1:38" x14ac:dyDescent="0.25">
      <c r="A15" s="16"/>
      <c r="B15" s="50" t="s">
        <v>54</v>
      </c>
      <c r="C15" s="10"/>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L15" s="152"/>
    </row>
    <row r="16" spans="1:38" x14ac:dyDescent="0.25">
      <c r="A16" s="53" t="s">
        <v>41</v>
      </c>
      <c r="B16" s="192">
        <v>43882</v>
      </c>
      <c r="C16" s="192">
        <v>43890</v>
      </c>
      <c r="D16" s="192">
        <v>43893</v>
      </c>
      <c r="E16" s="192">
        <v>43895</v>
      </c>
      <c r="F16" s="192">
        <v>43904</v>
      </c>
      <c r="G16" s="192">
        <v>43912</v>
      </c>
      <c r="H16" s="192">
        <v>43918</v>
      </c>
      <c r="I16" s="192">
        <v>43923</v>
      </c>
      <c r="J16" s="192">
        <v>43932</v>
      </c>
      <c r="K16" s="192"/>
      <c r="M16" s="133" t="s">
        <v>176</v>
      </c>
      <c r="N16" s="16"/>
      <c r="O16" s="16"/>
      <c r="P16" s="16"/>
      <c r="Q16" s="16"/>
      <c r="R16" s="16"/>
      <c r="S16" s="16"/>
      <c r="T16" s="16"/>
      <c r="U16" s="182"/>
      <c r="V16" s="16"/>
      <c r="W16" s="16"/>
      <c r="X16" s="16"/>
      <c r="Y16" s="16" t="s">
        <v>187</v>
      </c>
      <c r="AB16" s="16"/>
      <c r="AC16" s="16"/>
      <c r="AF16" s="212" t="s">
        <v>172</v>
      </c>
      <c r="AL16" s="253" t="s">
        <v>196</v>
      </c>
    </row>
    <row r="17" spans="1:41" x14ac:dyDescent="0.25">
      <c r="A17" s="4" t="s">
        <v>11</v>
      </c>
      <c r="B17" s="84">
        <v>8</v>
      </c>
      <c r="C17" s="157">
        <v>3</v>
      </c>
      <c r="D17" s="269">
        <v>2</v>
      </c>
      <c r="E17" s="157">
        <v>3</v>
      </c>
      <c r="F17" s="269">
        <v>2</v>
      </c>
      <c r="G17" s="157">
        <v>3</v>
      </c>
      <c r="H17" s="156">
        <v>5</v>
      </c>
      <c r="I17" s="268">
        <v>9</v>
      </c>
      <c r="J17">
        <v>20</v>
      </c>
      <c r="K17" s="220"/>
      <c r="L17" s="281">
        <v>43882</v>
      </c>
      <c r="M17" s="282">
        <f>L17+HLOOKUP(L17+1, $B$16:$K$17,2,TRUE)</f>
        <v>43890</v>
      </c>
      <c r="N17" s="283">
        <f>M17+HLOOKUP(M17+1, $B$16:$K$17,2,TRUE)</f>
        <v>43893</v>
      </c>
      <c r="O17" s="282">
        <f>N17+HLOOKUP(N17+1, $B$16:$K$17,2,TRUE)</f>
        <v>43895</v>
      </c>
      <c r="P17" s="282">
        <f>O17+HLOOKUP(O17+1, $B$16:$K$17,2,TRUE)</f>
        <v>43898</v>
      </c>
      <c r="Q17" s="282">
        <f>P17+HLOOKUP(P17+1, $B$16:$K$17,2,TRUE)</f>
        <v>43901</v>
      </c>
      <c r="R17" s="283">
        <f>Q17+HLOOKUP(Q17+1, $B$16:$K$17,2,TRUE)</f>
        <v>43904</v>
      </c>
      <c r="S17" s="283">
        <f>R17+HLOOKUP(R17+1, $B$16:$K$17,2,TRUE)</f>
        <v>43906</v>
      </c>
      <c r="T17" s="283">
        <f>S17+HLOOKUP(S17+1, $B$16:$K$17,2,TRUE)</f>
        <v>43908</v>
      </c>
      <c r="U17" s="283">
        <f>T17+HLOOKUP(T17+1, $B$16:$K$17,2,TRUE)</f>
        <v>43910</v>
      </c>
      <c r="V17" s="282">
        <f>U17+HLOOKUP(U17+1, $B$16:$K$17,2,TRUE)</f>
        <v>43912</v>
      </c>
      <c r="W17" s="284">
        <f>V17+HLOOKUP(V17+1, $B$16:$K$17,2,TRUE)</f>
        <v>43915</v>
      </c>
      <c r="X17" s="284">
        <f>W17+HLOOKUP(W17+1, $B$16:$K$17,2,TRUE)</f>
        <v>43918</v>
      </c>
      <c r="Y17" s="285">
        <f>X17+HLOOKUP(X17+1, $B$16:$K$17,2,TRUE)</f>
        <v>43923</v>
      </c>
      <c r="Z17" s="272">
        <f>Y17+HLOOKUP(Y17+1, $B$16:$K$17,2,TRUE)</f>
        <v>43932</v>
      </c>
      <c r="AA17" s="271">
        <f>Z17+HLOOKUP(Z17+1, $B$16:$K$17,2,TRUE)</f>
        <v>43952</v>
      </c>
      <c r="AB17" s="271">
        <f>AA17+HLOOKUP(AA17+1, $B$16:$K$17,2,TRUE)</f>
        <v>43972</v>
      </c>
      <c r="AC17" s="271">
        <f>AB17+HLOOKUP(AB17+1, $B$16:$K$17,2,TRUE)</f>
        <v>43992</v>
      </c>
      <c r="AD17" s="271">
        <f>AC17+HLOOKUP(AC17+1, $B$16:$K$17,2,TRUE)</f>
        <v>44012</v>
      </c>
      <c r="AE17" s="271">
        <f>AD17+HLOOKUP(AD17+1, $B$16:$K$17,2,TRUE)</f>
        <v>44032</v>
      </c>
      <c r="AF17" s="237">
        <f>AE17+HLOOKUP(AE17+1, $B$16:$K$17,2,TRUE)</f>
        <v>44052</v>
      </c>
      <c r="AG17" s="228">
        <f>AF17+HLOOKUP(AF17+1, $B$16:$K$17,2,TRUE)</f>
        <v>44072</v>
      </c>
      <c r="AH17" s="228">
        <f>AG17+HLOOKUP(AG17+1, $B$16:$K$17,2,TRUE)</f>
        <v>44092</v>
      </c>
      <c r="AI17" s="228">
        <f>AH17+HLOOKUP(AH17+1, $B$16:$K$17,2,TRUE)</f>
        <v>44112</v>
      </c>
      <c r="AJ17" s="238">
        <f>AI17+HLOOKUP(AI17+1, $B$16:$K$17,2,TRUE)</f>
        <v>44132</v>
      </c>
      <c r="AK17" s="238">
        <f>AJ17+HLOOKUP(AJ17+1, $B$16:$K$17,2,TRUE)</f>
        <v>44152</v>
      </c>
      <c r="AL17" s="252">
        <f>AK17+(7*8)</f>
        <v>44208</v>
      </c>
      <c r="AM17" s="70"/>
      <c r="AN17" s="70"/>
      <c r="AO17" s="69"/>
    </row>
    <row r="18" spans="1:41" x14ac:dyDescent="0.25">
      <c r="A18" s="41" t="s">
        <v>108</v>
      </c>
      <c r="B18" s="16"/>
      <c r="C18" s="16"/>
      <c r="D18" s="16"/>
      <c r="E18" s="16"/>
      <c r="F18" s="16"/>
      <c r="G18" s="16"/>
      <c r="H18" s="16"/>
      <c r="I18" s="16"/>
      <c r="J18" s="16"/>
      <c r="K18" s="16"/>
      <c r="L18" s="286">
        <v>31.25</v>
      </c>
      <c r="M18" s="287">
        <f>L18*2</f>
        <v>62.5</v>
      </c>
      <c r="N18" s="287">
        <f t="shared" ref="N18:AB18" si="0">M18*2</f>
        <v>125</v>
      </c>
      <c r="O18" s="287">
        <f t="shared" si="0"/>
        <v>250</v>
      </c>
      <c r="P18" s="287">
        <f t="shared" si="0"/>
        <v>500</v>
      </c>
      <c r="Q18" s="287">
        <f t="shared" si="0"/>
        <v>1000</v>
      </c>
      <c r="R18" s="287">
        <f t="shared" si="0"/>
        <v>2000</v>
      </c>
      <c r="S18" s="287">
        <f t="shared" si="0"/>
        <v>4000</v>
      </c>
      <c r="T18" s="287">
        <f t="shared" si="0"/>
        <v>8000</v>
      </c>
      <c r="U18" s="287">
        <f>T18*2</f>
        <v>16000</v>
      </c>
      <c r="V18" s="287">
        <f>U18*2</f>
        <v>32000</v>
      </c>
      <c r="W18" s="287">
        <f>V18*2</f>
        <v>64000</v>
      </c>
      <c r="X18" s="287">
        <f>W18*2</f>
        <v>128000</v>
      </c>
      <c r="Y18" s="287">
        <f t="shared" si="0"/>
        <v>256000</v>
      </c>
      <c r="Z18" s="287">
        <f t="shared" si="0"/>
        <v>512000</v>
      </c>
      <c r="AA18" s="287">
        <f t="shared" si="0"/>
        <v>1024000</v>
      </c>
      <c r="AB18" s="287">
        <f t="shared" si="0"/>
        <v>2048000</v>
      </c>
      <c r="AC18" s="287">
        <f>AB18*2</f>
        <v>4096000</v>
      </c>
      <c r="AD18" s="287">
        <f>AC18*2</f>
        <v>8192000</v>
      </c>
      <c r="AE18" s="288">
        <f>AD18*2</f>
        <v>16384000</v>
      </c>
      <c r="AF18" s="239">
        <f t="shared" ref="AF18:AJ18" si="1">AE18*2</f>
        <v>32768000</v>
      </c>
      <c r="AG18" s="208">
        <f t="shared" si="1"/>
        <v>65536000</v>
      </c>
      <c r="AH18" s="208">
        <f t="shared" si="1"/>
        <v>131072000</v>
      </c>
      <c r="AI18" s="208">
        <f t="shared" si="1"/>
        <v>262144000</v>
      </c>
      <c r="AJ18" s="209">
        <f>B5</f>
        <v>330565500</v>
      </c>
      <c r="AK18" s="199">
        <f>B5</f>
        <v>330565500</v>
      </c>
      <c r="AL18" s="243">
        <f>B5*AL19</f>
        <v>23139585.000000004</v>
      </c>
      <c r="AM18" s="45"/>
      <c r="AN18" s="45"/>
      <c r="AO18" s="69"/>
    </row>
    <row r="19" spans="1:41" x14ac:dyDescent="0.25">
      <c r="A19" s="41" t="s">
        <v>109</v>
      </c>
      <c r="B19" s="16"/>
      <c r="C19" s="16"/>
      <c r="D19" s="16"/>
      <c r="E19" s="16"/>
      <c r="F19" s="16"/>
      <c r="G19" s="16"/>
      <c r="H19" s="16"/>
      <c r="I19" s="16"/>
      <c r="J19" s="16"/>
      <c r="K19" s="16"/>
      <c r="L19" s="218">
        <f t="shared" ref="L19:AB19" si="2">L18/$B$5</f>
        <v>9.453497113280122E-8</v>
      </c>
      <c r="M19" s="219">
        <f t="shared" si="2"/>
        <v>1.8906994226560244E-7</v>
      </c>
      <c r="N19" s="219">
        <f t="shared" si="2"/>
        <v>3.7813988453120488E-7</v>
      </c>
      <c r="O19" s="196">
        <f t="shared" si="2"/>
        <v>7.5627976906240976E-7</v>
      </c>
      <c r="P19" s="196">
        <f t="shared" si="2"/>
        <v>1.5125595381248195E-6</v>
      </c>
      <c r="Q19" s="196">
        <f t="shared" si="2"/>
        <v>3.025119076249639E-6</v>
      </c>
      <c r="R19" s="196">
        <f t="shared" si="2"/>
        <v>6.0502381524992781E-6</v>
      </c>
      <c r="S19" s="66">
        <f t="shared" si="2"/>
        <v>1.2100476304998556E-5</v>
      </c>
      <c r="T19" s="36">
        <f t="shared" si="2"/>
        <v>2.4200952609997112E-5</v>
      </c>
      <c r="U19" s="36">
        <f>U18/$B$5</f>
        <v>4.8401905219994225E-5</v>
      </c>
      <c r="V19" s="36">
        <f>V18/$B$5</f>
        <v>9.6803810439988449E-5</v>
      </c>
      <c r="W19" s="36">
        <f>W18/$B$5</f>
        <v>1.936076208799769E-4</v>
      </c>
      <c r="X19" s="36">
        <f>X18/$B$5</f>
        <v>3.872152417599538E-4</v>
      </c>
      <c r="Y19" s="14">
        <f t="shared" si="2"/>
        <v>7.7443048351990759E-4</v>
      </c>
      <c r="Z19" s="14">
        <f t="shared" si="2"/>
        <v>1.5488609670398152E-3</v>
      </c>
      <c r="AA19" s="14">
        <f t="shared" si="2"/>
        <v>3.0977219340796304E-3</v>
      </c>
      <c r="AB19" s="14">
        <f t="shared" si="2"/>
        <v>6.1954438681592608E-3</v>
      </c>
      <c r="AC19" s="15">
        <f>AC18/$B$5</f>
        <v>1.2390887736318522E-2</v>
      </c>
      <c r="AD19" s="15">
        <f>AD18/$B$5</f>
        <v>2.4781775472637043E-2</v>
      </c>
      <c r="AE19" s="224">
        <f>AE18/$B$5</f>
        <v>4.9563550945274086E-2</v>
      </c>
      <c r="AF19" s="273">
        <f t="shared" ref="AF19:AJ19" si="3">AF18/$B$5</f>
        <v>9.9127101890548172E-2</v>
      </c>
      <c r="AG19" s="223">
        <f t="shared" si="3"/>
        <v>0.19825420378109634</v>
      </c>
      <c r="AH19" s="223">
        <f t="shared" si="3"/>
        <v>0.39650840756219269</v>
      </c>
      <c r="AI19" s="223">
        <f t="shared" si="3"/>
        <v>0.79301681512438538</v>
      </c>
      <c r="AJ19" s="178">
        <f t="shared" si="3"/>
        <v>1</v>
      </c>
      <c r="AK19" s="177">
        <f>AK18/$B$5</f>
        <v>1</v>
      </c>
      <c r="AL19" s="244">
        <f>B7</f>
        <v>7.0000000000000007E-2</v>
      </c>
      <c r="AM19" s="25"/>
      <c r="AN19" s="25"/>
      <c r="AO19" s="69"/>
    </row>
    <row r="20" spans="1:41" x14ac:dyDescent="0.25">
      <c r="A20" s="41" t="s">
        <v>159</v>
      </c>
      <c r="B20" s="16"/>
      <c r="C20" s="16"/>
      <c r="D20" s="16"/>
      <c r="E20" s="16"/>
      <c r="F20" s="16"/>
      <c r="G20" s="16"/>
      <c r="H20" s="16"/>
      <c r="I20" s="16"/>
      <c r="J20" s="16"/>
      <c r="K20" s="16"/>
      <c r="L20" s="277">
        <f t="shared" ref="L20:U20" si="4">MAX(L18-(L26-L27)-(L28-L29)-(L30-L31),0)</f>
        <v>25.558430925469978</v>
      </c>
      <c r="M20" s="278">
        <f t="shared" si="4"/>
        <v>48.253729583441825</v>
      </c>
      <c r="N20" s="278">
        <f t="shared" si="4"/>
        <v>104.90319014596037</v>
      </c>
      <c r="O20" s="278">
        <f t="shared" si="4"/>
        <v>224.72190063694103</v>
      </c>
      <c r="P20" s="278">
        <f>MAX(P18-(P26-P27)-(P28-P29)-(P30-P31),0)</f>
        <v>468.16151942648673</v>
      </c>
      <c r="Q20" s="278">
        <f t="shared" si="4"/>
        <v>955.08635794363818</v>
      </c>
      <c r="R20" s="278">
        <f>MAX(R18-(R26-R27)-(R28-R29)-(R30-R31),0)</f>
        <v>1950.8214285714287</v>
      </c>
      <c r="S20" s="278">
        <f t="shared" si="4"/>
        <v>3941.9387841598559</v>
      </c>
      <c r="T20" s="278">
        <f t="shared" si="4"/>
        <v>7899.3926009765419</v>
      </c>
      <c r="U20" s="278">
        <f t="shared" si="4"/>
        <v>15815.828395301851</v>
      </c>
      <c r="V20" s="278">
        <f>MAX(V18-(V26-V27)-(V28-V29)-(V30-V31),0)</f>
        <v>31608.741071428572</v>
      </c>
      <c r="W20" s="278">
        <f t="shared" ref="W20:AK20" si="5">MAX(W18-(W26-W27)-(W28-W29)-(W30-W31),0)</f>
        <v>63059.098214285717</v>
      </c>
      <c r="X20" s="278">
        <f t="shared" si="5"/>
        <v>125994.94404701918</v>
      </c>
      <c r="Y20" s="278">
        <f t="shared" si="5"/>
        <v>247663.86625378428</v>
      </c>
      <c r="Z20" s="278">
        <f t="shared" si="5"/>
        <v>416580.64285714296</v>
      </c>
      <c r="AA20" s="278">
        <f t="shared" si="5"/>
        <v>116563.58738434261</v>
      </c>
      <c r="AB20" s="278">
        <f t="shared" si="5"/>
        <v>133848.24229240505</v>
      </c>
      <c r="AC20" s="278">
        <f t="shared" si="5"/>
        <v>0</v>
      </c>
      <c r="AD20" s="278">
        <f t="shared" si="5"/>
        <v>97419.700931293715</v>
      </c>
      <c r="AE20" s="289">
        <f t="shared" si="5"/>
        <v>2366194.989521517</v>
      </c>
      <c r="AF20" s="241">
        <f t="shared" ref="AF20:AJ20" si="6">MAX(AF18-(AF26-AF27)-(AF28-AF29)-(AF30-AF31),0)</f>
        <v>7038106.1067404887</v>
      </c>
      <c r="AG20" s="199">
        <f t="shared" si="6"/>
        <v>16995242.033986494</v>
      </c>
      <c r="AH20" s="199">
        <f t="shared" si="6"/>
        <v>38065128.528941914</v>
      </c>
      <c r="AI20" s="199">
        <f t="shared" si="6"/>
        <v>82180165.228650853</v>
      </c>
      <c r="AJ20" s="200">
        <f t="shared" si="6"/>
        <v>10759326.532744177</v>
      </c>
      <c r="AK20" s="199">
        <f>MAX(AK18-(AK26-AK27)-(AK28-AK29)-(AK30-AK31),0)</f>
        <v>8630668.6659725159</v>
      </c>
      <c r="AL20" s="245"/>
      <c r="AM20" s="45"/>
      <c r="AN20" s="45"/>
      <c r="AO20" s="69"/>
    </row>
    <row r="21" spans="1:41" x14ac:dyDescent="0.25">
      <c r="A21" s="41" t="s">
        <v>173</v>
      </c>
      <c r="B21" s="16"/>
      <c r="C21" s="16"/>
      <c r="D21" s="16"/>
      <c r="E21" s="16"/>
      <c r="F21" s="16"/>
      <c r="G21" s="16"/>
      <c r="H21" s="16"/>
      <c r="I21" s="16"/>
      <c r="J21" s="16"/>
      <c r="K21" s="16"/>
      <c r="L21" s="86">
        <f>MAX(L18-L20-L33,0)</f>
        <v>5.6915690745300225</v>
      </c>
      <c r="M21" s="87">
        <f>MAX(M18-M20-M33,0)</f>
        <v>14.246270416558175</v>
      </c>
      <c r="N21" s="87">
        <f t="shared" ref="N21:O21" si="7">MAX(N18-N20-N33,0)</f>
        <v>20.096809854039634</v>
      </c>
      <c r="O21" s="87">
        <f t="shared" si="7"/>
        <v>25.278099363058971</v>
      </c>
      <c r="P21" s="121">
        <f>MAX(P18-P20-P33,0)</f>
        <v>31.838480573513266</v>
      </c>
      <c r="Q21" s="121">
        <f t="shared" ref="Q21:AE21" si="8">MAX(Q18-Q20-Q33,0)</f>
        <v>44.913642056361823</v>
      </c>
      <c r="R21" s="121">
        <f t="shared" si="8"/>
        <v>49.178571428571331</v>
      </c>
      <c r="S21" s="121">
        <f t="shared" si="8"/>
        <v>58.061215840144087</v>
      </c>
      <c r="T21" s="121">
        <f t="shared" si="8"/>
        <v>100.60739902345813</v>
      </c>
      <c r="U21" s="121">
        <f t="shared" si="8"/>
        <v>184.17160469814917</v>
      </c>
      <c r="V21" s="121">
        <f t="shared" si="8"/>
        <v>391.25892857142753</v>
      </c>
      <c r="W21" s="121">
        <f t="shared" si="8"/>
        <v>940.9017857142826</v>
      </c>
      <c r="X21" s="121">
        <f t="shared" si="8"/>
        <v>2003.6540477390161</v>
      </c>
      <c r="Y21" s="121">
        <f t="shared" si="8"/>
        <v>8333.6462530709359</v>
      </c>
      <c r="Z21" s="121">
        <f t="shared" si="8"/>
        <v>95408.877148546948</v>
      </c>
      <c r="AA21" s="121">
        <f t="shared" si="8"/>
        <v>903553.24037899589</v>
      </c>
      <c r="AB21" s="121">
        <f t="shared" si="8"/>
        <v>1864294.7016972406</v>
      </c>
      <c r="AC21" s="121">
        <f t="shared" si="8"/>
        <v>4016428.592834122</v>
      </c>
      <c r="AD21" s="121">
        <f t="shared" si="8"/>
        <v>7954188.1511432985</v>
      </c>
      <c r="AE21" s="122">
        <f t="shared" si="8"/>
        <v>13758550.3958988</v>
      </c>
      <c r="AF21" s="274">
        <f>MAX(AF18-AF20-AF33,0)</f>
        <v>25239245.277547956</v>
      </c>
      <c r="AG21" s="213">
        <f>MAX(AG18-AG20-AG33,0)</f>
        <v>47598410.853938073</v>
      </c>
      <c r="AH21" s="213">
        <f t="shared" ref="AH21:AK21" si="9">MAX(AH18-AH20-AH33,0)</f>
        <v>91179655.107860193</v>
      </c>
      <c r="AI21" s="213">
        <f t="shared" si="9"/>
        <v>176397674.79864916</v>
      </c>
      <c r="AJ21" s="214">
        <f t="shared" si="9"/>
        <v>312813643.09070349</v>
      </c>
      <c r="AK21" s="213">
        <f t="shared" si="9"/>
        <v>308176589.53169847</v>
      </c>
      <c r="AL21" s="246"/>
      <c r="AM21" s="25"/>
      <c r="AN21" s="25"/>
      <c r="AO21" s="69"/>
    </row>
    <row r="22" spans="1:41" x14ac:dyDescent="0.25">
      <c r="A22" s="4" t="s">
        <v>166</v>
      </c>
      <c r="B22" s="9"/>
      <c r="C22" s="9"/>
      <c r="D22" s="9"/>
      <c r="E22" s="9"/>
      <c r="F22" s="9"/>
      <c r="G22" s="9"/>
      <c r="H22" s="9"/>
      <c r="I22" s="9"/>
      <c r="J22" s="9"/>
      <c r="K22" s="5"/>
      <c r="L22" s="197">
        <f t="shared" ref="L22:AG22" si="10">L18/$B$6</f>
        <v>260.41666666666669</v>
      </c>
      <c r="M22" s="198">
        <f t="shared" si="10"/>
        <v>520.83333333333337</v>
      </c>
      <c r="N22" s="198">
        <f t="shared" si="10"/>
        <v>1041.6666666666667</v>
      </c>
      <c r="O22" s="198">
        <f t="shared" si="10"/>
        <v>2083.3333333333335</v>
      </c>
      <c r="P22" s="198">
        <f t="shared" si="10"/>
        <v>4166.666666666667</v>
      </c>
      <c r="Q22" s="198">
        <f t="shared" si="10"/>
        <v>8333.3333333333339</v>
      </c>
      <c r="R22" s="198">
        <f t="shared" si="10"/>
        <v>16666.666666666668</v>
      </c>
      <c r="S22" s="198">
        <f t="shared" si="10"/>
        <v>33333.333333333336</v>
      </c>
      <c r="T22" s="198">
        <f t="shared" si="10"/>
        <v>66666.666666666672</v>
      </c>
      <c r="U22" s="198">
        <f t="shared" si="10"/>
        <v>133333.33333333334</v>
      </c>
      <c r="V22" s="198">
        <f t="shared" si="10"/>
        <v>266666.66666666669</v>
      </c>
      <c r="W22" s="198">
        <f t="shared" si="10"/>
        <v>533333.33333333337</v>
      </c>
      <c r="X22" s="198">
        <f t="shared" si="10"/>
        <v>1066666.6666666667</v>
      </c>
      <c r="Y22" s="198">
        <f t="shared" si="10"/>
        <v>2133333.3333333335</v>
      </c>
      <c r="Z22" s="198">
        <f t="shared" si="10"/>
        <v>4266666.666666667</v>
      </c>
      <c r="AA22" s="198">
        <f t="shared" si="10"/>
        <v>8533333.333333334</v>
      </c>
      <c r="AB22" s="198">
        <f t="shared" si="10"/>
        <v>17066666.666666668</v>
      </c>
      <c r="AC22" s="198">
        <f t="shared" si="10"/>
        <v>34133333.333333336</v>
      </c>
      <c r="AD22" s="198">
        <f t="shared" si="10"/>
        <v>68266666.666666672</v>
      </c>
      <c r="AE22" s="198">
        <f t="shared" si="10"/>
        <v>136533333.33333334</v>
      </c>
      <c r="AF22" s="239">
        <f t="shared" si="10"/>
        <v>273066666.66666669</v>
      </c>
      <c r="AG22" s="208">
        <f t="shared" si="10"/>
        <v>546133333.33333337</v>
      </c>
      <c r="AH22" s="208">
        <f>$B$5</f>
        <v>330565500</v>
      </c>
      <c r="AI22" s="208">
        <f t="shared" ref="AI22:AJ22" si="11">$B$5</f>
        <v>330565500</v>
      </c>
      <c r="AJ22" s="209">
        <f t="shared" si="11"/>
        <v>330565500</v>
      </c>
      <c r="AK22" s="199">
        <f>AK18</f>
        <v>330565500</v>
      </c>
      <c r="AL22" s="245">
        <f>($B$5*$B$7)/$B$6</f>
        <v>192829875.00000003</v>
      </c>
      <c r="AM22" s="25"/>
      <c r="AN22" s="25"/>
      <c r="AO22" s="69"/>
    </row>
    <row r="23" spans="1:41" x14ac:dyDescent="0.25">
      <c r="A23" s="41" t="s">
        <v>113</v>
      </c>
      <c r="B23" s="16"/>
      <c r="C23" s="16"/>
      <c r="D23" s="16"/>
      <c r="E23" s="16"/>
      <c r="F23" s="16"/>
      <c r="G23" s="16"/>
      <c r="H23" s="16"/>
      <c r="I23" s="16"/>
      <c r="J23" s="16"/>
      <c r="K23" s="17"/>
      <c r="L23" s="195">
        <f>L22/$B$5</f>
        <v>7.8779142610667684E-7</v>
      </c>
      <c r="M23" s="196">
        <f t="shared" ref="M23:AD23" si="12">M22/$B$5</f>
        <v>1.5755828522133537E-6</v>
      </c>
      <c r="N23" s="196">
        <f t="shared" si="12"/>
        <v>3.1511657044267074E-6</v>
      </c>
      <c r="O23" s="66">
        <f t="shared" si="12"/>
        <v>6.3023314088534147E-6</v>
      </c>
      <c r="P23" s="66">
        <f t="shared" si="12"/>
        <v>1.2604662817706829E-5</v>
      </c>
      <c r="Q23" s="66">
        <f t="shared" si="12"/>
        <v>2.5209325635413659E-5</v>
      </c>
      <c r="R23" s="66">
        <f t="shared" si="12"/>
        <v>5.0418651270827318E-5</v>
      </c>
      <c r="S23" s="66">
        <f t="shared" si="12"/>
        <v>1.0083730254165464E-4</v>
      </c>
      <c r="T23" s="36">
        <f t="shared" si="12"/>
        <v>2.0167460508330927E-4</v>
      </c>
      <c r="U23" s="36">
        <f t="shared" si="12"/>
        <v>4.0334921016661854E-4</v>
      </c>
      <c r="V23" s="36">
        <f t="shared" si="12"/>
        <v>8.0669842033323708E-4</v>
      </c>
      <c r="W23" s="36">
        <f t="shared" si="12"/>
        <v>1.6133968406664742E-3</v>
      </c>
      <c r="X23" s="14">
        <f t="shared" si="12"/>
        <v>3.2267936813329483E-3</v>
      </c>
      <c r="Y23" s="15">
        <f t="shared" si="12"/>
        <v>6.4535873626658967E-3</v>
      </c>
      <c r="Z23" s="15">
        <f t="shared" si="12"/>
        <v>1.2907174725331793E-2</v>
      </c>
      <c r="AA23" s="15">
        <f t="shared" si="12"/>
        <v>2.5814349450663587E-2</v>
      </c>
      <c r="AB23" s="15">
        <f t="shared" si="12"/>
        <v>5.1628698901327173E-2</v>
      </c>
      <c r="AC23" s="15">
        <f t="shared" si="12"/>
        <v>0.10325739780265435</v>
      </c>
      <c r="AD23" s="75">
        <f t="shared" si="12"/>
        <v>0.20651479560530869</v>
      </c>
      <c r="AE23" s="75">
        <f>AE22/$B$5</f>
        <v>0.41302959121061739</v>
      </c>
      <c r="AF23" s="240">
        <f t="shared" ref="AF23:AJ23" si="13">AF22/$B$5</f>
        <v>0.82605918242123477</v>
      </c>
      <c r="AG23" s="177">
        <f t="shared" si="13"/>
        <v>1.6521183648424695</v>
      </c>
      <c r="AH23" s="177">
        <f t="shared" si="13"/>
        <v>1</v>
      </c>
      <c r="AI23" s="177">
        <f t="shared" si="13"/>
        <v>1</v>
      </c>
      <c r="AJ23" s="178">
        <f t="shared" si="13"/>
        <v>1</v>
      </c>
      <c r="AK23" s="177">
        <v>1</v>
      </c>
      <c r="AL23" s="244">
        <f>AL22/B5</f>
        <v>0.58333333333333337</v>
      </c>
      <c r="AM23" s="25"/>
      <c r="AN23" s="25"/>
      <c r="AO23" s="69"/>
    </row>
    <row r="24" spans="1:41" x14ac:dyDescent="0.25">
      <c r="A24" s="41" t="s">
        <v>164</v>
      </c>
      <c r="B24" s="16"/>
      <c r="C24" s="16"/>
      <c r="D24" s="16"/>
      <c r="E24" s="16"/>
      <c r="F24" s="16"/>
      <c r="G24" s="16"/>
      <c r="H24" s="16"/>
      <c r="I24" s="16"/>
      <c r="J24" s="16"/>
      <c r="K24" s="17"/>
      <c r="L24" s="197">
        <f>L22-L18</f>
        <v>229.16666666666669</v>
      </c>
      <c r="M24" s="198">
        <f t="shared" ref="M24:AC24" si="14">M22-M18</f>
        <v>458.33333333333337</v>
      </c>
      <c r="N24" s="198">
        <f t="shared" si="14"/>
        <v>916.66666666666674</v>
      </c>
      <c r="O24" s="198">
        <f t="shared" si="14"/>
        <v>1833.3333333333335</v>
      </c>
      <c r="P24" s="198">
        <f>P22-P18</f>
        <v>3666.666666666667</v>
      </c>
      <c r="Q24" s="198">
        <f t="shared" si="14"/>
        <v>7333.3333333333339</v>
      </c>
      <c r="R24" s="198">
        <f t="shared" si="14"/>
        <v>14666.666666666668</v>
      </c>
      <c r="S24" s="198">
        <f t="shared" si="14"/>
        <v>29333.333333333336</v>
      </c>
      <c r="T24" s="198">
        <f t="shared" si="14"/>
        <v>58666.666666666672</v>
      </c>
      <c r="U24" s="198">
        <f t="shared" si="14"/>
        <v>117333.33333333334</v>
      </c>
      <c r="V24" s="198">
        <f t="shared" si="14"/>
        <v>234666.66666666669</v>
      </c>
      <c r="W24" s="198">
        <f t="shared" si="14"/>
        <v>469333.33333333337</v>
      </c>
      <c r="X24" s="198">
        <f t="shared" si="14"/>
        <v>938666.66666666674</v>
      </c>
      <c r="Y24" s="198">
        <f t="shared" si="14"/>
        <v>1877333.3333333335</v>
      </c>
      <c r="Z24" s="198">
        <f t="shared" si="14"/>
        <v>3754666.666666667</v>
      </c>
      <c r="AA24" s="198">
        <f t="shared" si="14"/>
        <v>7509333.333333334</v>
      </c>
      <c r="AB24" s="198">
        <f t="shared" si="14"/>
        <v>15018666.666666668</v>
      </c>
      <c r="AC24" s="198">
        <f t="shared" si="14"/>
        <v>30037333.333333336</v>
      </c>
      <c r="AD24" s="198">
        <f>AD22-AD18</f>
        <v>60074666.666666672</v>
      </c>
      <c r="AE24" s="198">
        <f>AE22-AE18</f>
        <v>120149333.33333334</v>
      </c>
      <c r="AF24" s="241">
        <f>AF22-AF18</f>
        <v>240298666.66666669</v>
      </c>
      <c r="AG24" s="199">
        <f t="shared" ref="AG24:AJ24" si="15">AG22</f>
        <v>546133333.33333337</v>
      </c>
      <c r="AH24" s="199">
        <f t="shared" si="15"/>
        <v>330565500</v>
      </c>
      <c r="AI24" s="199">
        <f t="shared" si="15"/>
        <v>330565500</v>
      </c>
      <c r="AJ24" s="200">
        <f t="shared" si="15"/>
        <v>330565500</v>
      </c>
      <c r="AK24" s="199">
        <f>AK22</f>
        <v>330565500</v>
      </c>
      <c r="AL24" s="247">
        <f>AL22-AL18</f>
        <v>169690290.00000003</v>
      </c>
      <c r="AM24" s="25"/>
      <c r="AN24" s="25"/>
      <c r="AO24" s="69"/>
    </row>
    <row r="25" spans="1:41" x14ac:dyDescent="0.25">
      <c r="A25" s="37" t="s">
        <v>165</v>
      </c>
      <c r="B25" s="39"/>
      <c r="C25" s="39"/>
      <c r="D25" s="39"/>
      <c r="E25" s="39"/>
      <c r="F25" s="39"/>
      <c r="G25" s="39"/>
      <c r="H25" s="39"/>
      <c r="I25" s="39"/>
      <c r="J25" s="39"/>
      <c r="K25" s="63"/>
      <c r="L25" s="206">
        <f>MIN((1/$B$6)*(2^(((L17 - 14) - $B$14)/$L$43)),L24)</f>
        <v>58.555237392284177</v>
      </c>
      <c r="M25" s="207">
        <f>MIN((1/$B$6)*(2^(((M17 - 14) - $B$14)/$L$43)),M24)</f>
        <v>146.56656807158615</v>
      </c>
      <c r="N25" s="207">
        <f>MIN((1/$B$6)*(2^(((N17 - 14) - $B$14)/$L$43)),N24)</f>
        <v>206.75730302509908</v>
      </c>
      <c r="O25" s="207">
        <f>MIN((1/$B$6)*(2^(((O17 - 14) - $B$14)/$L$43)),O24)</f>
        <v>260.06275064875484</v>
      </c>
      <c r="P25" s="198">
        <f t="shared" ref="P25:S25" si="16">MIN(($L$18/$B$6)*(2^(((P17 - 14) - $L$17)/HLOOKUP((P17-14)-$B$14,$L$41:$AL$43,3,TRUE))),P24)</f>
        <v>327.55638450116504</v>
      </c>
      <c r="Q25" s="198">
        <f t="shared" si="16"/>
        <v>462.07450675269331</v>
      </c>
      <c r="R25" s="198">
        <f t="shared" si="16"/>
        <v>505.95238095238091</v>
      </c>
      <c r="S25" s="198">
        <f t="shared" si="16"/>
        <v>597.33761152411716</v>
      </c>
      <c r="T25" s="198">
        <f>MIN(($L$18/$B$6)*(2^(((T17 - 14) - $L$17)/HLOOKUP((T17-14)-$B$14,$L$41:$AL$43,3,TRUE))),T24)</f>
        <v>1035.0555455088277</v>
      </c>
      <c r="U25" s="198">
        <f>MIN(($L$18/$B$6)*(2^(((U17 - 14) - $L$17)/HLOOKUP((U17-14)-$B$14,$L$41:$AL$43,3,TRUE))),U24)</f>
        <v>1894.7695956599703</v>
      </c>
      <c r="V25" s="198">
        <f>MIN(($L$18/$B$6)*(2^(((V17 - 14) - $L$17)/HLOOKUP((V17-14)-$B$14,$L$41:$AL$43,3,TRUE))),V24)</f>
        <v>4025.2976190476184</v>
      </c>
      <c r="W25" s="198">
        <f>MIN(($L$18/$B$6)*(2^(((W17 - 14) - $L$17)/HLOOKUP((W17-14)-$B$14,$L$41:$AL$43,3,TRUE))),W24)</f>
        <v>9680.0595238095229</v>
      </c>
      <c r="X25" s="198">
        <f>MIN(($L$18/$B$6)*(2^(((X17 - 14) - $L$17)/HLOOKUP((X17-14)-$B$14,$L$41:$AL$43,3,TRUE))),X24)</f>
        <v>20610.11904761905</v>
      </c>
      <c r="Y25" s="198">
        <f>MIN(($L$18/$B$6)*(2^(((Y17 - 14) - $L$17)/HLOOKUP((Y17-14)-$B$14,$L$41:$AL$43,3,TRUE))),Y24)</f>
        <v>85730.703495727808</v>
      </c>
      <c r="Z25" s="198">
        <f>MIN(($L$18/$B$6)*(2^(((Z17 - 14) - $L$17)/HLOOKUP((Z17-14)-$B$14,$L$41:$AL$43,3,TRUE))),Z24)</f>
        <v>924523.80952380877</v>
      </c>
      <c r="AA25" s="198">
        <f>MIN(($L$18/$B$6)*(2^(((AA17 - 14) - $L$17)/HLOOKUP((AA17-14)-$B$14,$L$41:$AL$43,3,TRUE))),AA24)</f>
        <v>7509333.333333334</v>
      </c>
      <c r="AB25" s="198">
        <f>MIN(($L$18/$B$6)*(2^(((AB17 - 14) - $L$17)/HLOOKUP((AB17-14)-$B$14,$L$41:$AL$43,3,TRUE))),AB24)</f>
        <v>15018666.666666668</v>
      </c>
      <c r="AC25" s="198">
        <f>MIN(($L$18/$B$6)*(2^(((AC17 - 14) - $L$17)/HLOOKUP((AC17-14)-$B$14,$L$41:$AL$43,3,TRUE))),AC24)</f>
        <v>30037333.333333336</v>
      </c>
      <c r="AD25" s="198">
        <f>MIN(($L$18/$B$6)*(2^(((AD17 - 14) - $L$17)/HLOOKUP((AD17-14)-$B$14,$L$41:$AL$43,3,TRUE))),AD24)</f>
        <v>60074666.666666672</v>
      </c>
      <c r="AE25" s="198">
        <f>MIN(($L$18/$B$6)*(2^(((AE17 - 14) - $L$17)/HLOOKUP((AE17-14)-$B$14,$L$41:$AL$43,3,TRUE))),AE24)</f>
        <v>112451523.76871443</v>
      </c>
      <c r="AF25" s="242">
        <f>MIN(($L$18/$B$6)*(2^(((AF17 - 14) - $L$17)/HLOOKUP((AF17-14)-$B$14,$L$41:$AL$43,3,TRUE))),AF24)</f>
        <v>214233674.51767462</v>
      </c>
      <c r="AG25" s="203">
        <f>MIN(($L$18/$B$6)*(2^(((AG17 - 14) - $L$17)/HLOOKUP((AG17-14)-$B$14,$L$41:$AL$43,3,TRUE))),AG24)</f>
        <v>412835108.76846749</v>
      </c>
      <c r="AH25" s="203">
        <f>MIN(($L$18/$B$6)*(2^(((AH17 - 14) - $L$17)/HLOOKUP((AH17-14)-$B$14,$L$41:$AL$43,3,TRUE))),AH24)</f>
        <v>330565500</v>
      </c>
      <c r="AI25" s="203">
        <f>MIN(($L$18/$B$6)*(2^(((AI17 - 14) - $L$17)/HLOOKUP((AI17-14)-$B$14,$L$41:$AL$43,3,TRUE))),AI24)</f>
        <v>330565500</v>
      </c>
      <c r="AJ25" s="204">
        <f>MIN(($L$18/$B$6)*(2^(((AJ17 - 14) - $L$17)/HLOOKUP((AJ17-14)-$B$14,$L$41:$AL$43,3,TRUE))),AJ24)</f>
        <v>330565500</v>
      </c>
      <c r="AK25" s="203">
        <f>MIN(($L$18/$B$6)*(2^(((AK17 - 14) - $L$17)/HLOOKUP((AK17-14)-$B$14,$L$41:$AL$43,3,TRUE))),AK24)</f>
        <v>330565500</v>
      </c>
      <c r="AL25" s="247"/>
      <c r="AM25" s="25"/>
      <c r="AN25" s="25"/>
      <c r="AO25" s="69"/>
    </row>
    <row r="26" spans="1:41" x14ac:dyDescent="0.25">
      <c r="A26" s="41" t="s">
        <v>162</v>
      </c>
      <c r="B26" s="16"/>
      <c r="C26" s="16"/>
      <c r="D26" s="16"/>
      <c r="E26" s="16"/>
      <c r="F26" s="16"/>
      <c r="G26" s="16"/>
      <c r="H26" s="16"/>
      <c r="I26" s="16"/>
      <c r="J26" s="16"/>
      <c r="K26" s="16"/>
      <c r="L26" s="215">
        <f t="shared" ref="L26:AK26" si="17">L18*$B$10</f>
        <v>25.3125</v>
      </c>
      <c r="M26" s="216">
        <f t="shared" si="17"/>
        <v>50.625</v>
      </c>
      <c r="N26" s="216">
        <f t="shared" si="17"/>
        <v>101.25</v>
      </c>
      <c r="O26" s="216">
        <f t="shared" si="17"/>
        <v>202.5</v>
      </c>
      <c r="P26" s="216">
        <f t="shared" si="17"/>
        <v>405</v>
      </c>
      <c r="Q26" s="216">
        <f t="shared" si="17"/>
        <v>810</v>
      </c>
      <c r="R26" s="216">
        <f t="shared" si="17"/>
        <v>1620</v>
      </c>
      <c r="S26" s="216">
        <f t="shared" si="17"/>
        <v>3240</v>
      </c>
      <c r="T26" s="216">
        <f t="shared" si="17"/>
        <v>6480</v>
      </c>
      <c r="U26" s="216">
        <f t="shared" si="17"/>
        <v>12960</v>
      </c>
      <c r="V26" s="216">
        <f t="shared" si="17"/>
        <v>25920</v>
      </c>
      <c r="W26" s="216">
        <f t="shared" si="17"/>
        <v>51840</v>
      </c>
      <c r="X26" s="216">
        <f t="shared" si="17"/>
        <v>103680</v>
      </c>
      <c r="Y26" s="216">
        <f t="shared" si="17"/>
        <v>207360</v>
      </c>
      <c r="Z26" s="216">
        <f t="shared" si="17"/>
        <v>414720</v>
      </c>
      <c r="AA26" s="216">
        <f t="shared" si="17"/>
        <v>829440</v>
      </c>
      <c r="AB26" s="216">
        <f t="shared" si="17"/>
        <v>1658880</v>
      </c>
      <c r="AC26" s="216">
        <f t="shared" si="17"/>
        <v>3317760</v>
      </c>
      <c r="AD26" s="216">
        <f t="shared" si="17"/>
        <v>6635520</v>
      </c>
      <c r="AE26" s="216">
        <f t="shared" si="17"/>
        <v>13271040</v>
      </c>
      <c r="AF26" s="239">
        <f t="shared" ref="AF26:AJ26" si="18">AF18*$B$10</f>
        <v>26542080</v>
      </c>
      <c r="AG26" s="208">
        <f t="shared" si="18"/>
        <v>53084160</v>
      </c>
      <c r="AH26" s="208">
        <f t="shared" si="18"/>
        <v>106168320</v>
      </c>
      <c r="AI26" s="208">
        <f t="shared" si="18"/>
        <v>212336640</v>
      </c>
      <c r="AJ26" s="209">
        <f t="shared" si="18"/>
        <v>267758055.00000003</v>
      </c>
      <c r="AK26" s="199">
        <f t="shared" si="17"/>
        <v>267758055.00000003</v>
      </c>
      <c r="AL26" s="247">
        <f>AL18*B10</f>
        <v>18743063.850000005</v>
      </c>
      <c r="AM26" s="25"/>
      <c r="AN26" s="25"/>
      <c r="AO26" s="69"/>
    </row>
    <row r="27" spans="1:41" x14ac:dyDescent="0.25">
      <c r="A27" s="41" t="s">
        <v>174</v>
      </c>
      <c r="B27" s="16"/>
      <c r="C27" s="16"/>
      <c r="D27" s="16"/>
      <c r="E27" s="16"/>
      <c r="F27" s="16"/>
      <c r="G27" s="16"/>
      <c r="H27" s="16"/>
      <c r="I27" s="16"/>
      <c r="J27" s="16"/>
      <c r="K27" s="16"/>
      <c r="L27" s="206">
        <f>L26-(1*$B$10)*(2^(((L17 - 14) - $B$14)/$L$43))</f>
        <v>19.620930925469978</v>
      </c>
      <c r="M27" s="207">
        <f>M26-(1*$B$10)*(2^(((M17 - 14) - $B$14)/$L$43))</f>
        <v>36.378729583441825</v>
      </c>
      <c r="N27" s="207">
        <f>N26-(1*$B$10)*(2^(((N17 - 14) - $B$14)/$L$43))</f>
        <v>81.153190145960366</v>
      </c>
      <c r="O27" s="207">
        <f>O26-(1*$B$10)*(2^(((O17 - 14) - $B$14)/$L$43))</f>
        <v>177.22190063694103</v>
      </c>
      <c r="P27" s="205">
        <f t="shared" ref="P27:S27" si="19">MAX(P26-(($L$18*$B$10)*(2^(((P17 -14) - $L$17)/HLOOKUP((P17-14)-$B$14,$L$41:$AL$43,3,TRUE)))),0)</f>
        <v>373.16151942648673</v>
      </c>
      <c r="Q27" s="205">
        <f t="shared" si="19"/>
        <v>765.08635794363818</v>
      </c>
      <c r="R27" s="205">
        <f t="shared" si="19"/>
        <v>1570.8214285714287</v>
      </c>
      <c r="S27" s="205">
        <f t="shared" si="19"/>
        <v>3181.9387841598559</v>
      </c>
      <c r="T27" s="205">
        <f>MAX(T26-(($L$18*$B$10)*(2^(((T17 -14) - $L$17)/HLOOKUP((T17-14)-$B$14,$L$41:$AL$43,3,TRUE)))),0)</f>
        <v>6379.3926009765419</v>
      </c>
      <c r="U27" s="205">
        <f>MAX(U26-(($L$18*$B$10)*(2^(((U17 -14) - $L$17)/HLOOKUP((U17-14)-$B$14,$L$41:$AL$43,3,TRUE)))),0)</f>
        <v>12775.828395301851</v>
      </c>
      <c r="V27" s="205">
        <f>MAX(V26-(($L$18*$B$10)*(2^(((V17 -14) - $L$17)/HLOOKUP((V17-14)-$B$14,$L$41:$AL$43,3,TRUE)))),0)</f>
        <v>25528.741071428572</v>
      </c>
      <c r="W27" s="205">
        <f>MAX(W26-(($L$18*$B$10)*(2^(((W17 -14) - $L$17)/HLOOKUP((W17-14)-$B$14,$L$41:$AL$43,3,TRUE)))),0)</f>
        <v>50899.098214285717</v>
      </c>
      <c r="X27" s="205">
        <f>MAX(X26-(($L$18*$B$10)*(2^(((X17 -14) - $L$17)/HLOOKUP((X17-14)-$B$14,$L$41:$AL$43,3,TRUE)))),0)</f>
        <v>101676.69642857143</v>
      </c>
      <c r="Y27" s="205">
        <f>MAX(Y26-(($L$18*$B$10)*(2^(((Y17 -14) - $L$17)/HLOOKUP((Y17-14)-$B$14,$L$41:$AL$43,3,TRUE)))),0)</f>
        <v>199026.97562021526</v>
      </c>
      <c r="Z27" s="205">
        <f>MAX(Z26-(($L$18*$B$10)*(2^(((Z17 -14) - $L$17)/HLOOKUP((Z17-14)-$B$14,$L$41:$AL$43,3,TRUE)))),0)</f>
        <v>324856.2857142858</v>
      </c>
      <c r="AA27" s="205">
        <f>MAX(AA26-(($L$18*$B$10)*(2^(((AA17 -14) - $L$17)/HLOOKUP((AA17-14)-$B$14,$L$41:$AL$43,3,TRUE)))),0)</f>
        <v>0</v>
      </c>
      <c r="AB27" s="205">
        <f>MAX(AB26-(($L$18*$B$10)*(2^(((AB17 -14) - $L$17)/HLOOKUP((AB17-14)-$B$14,$L$41:$AL$43,3,TRUE)))),0)</f>
        <v>0</v>
      </c>
      <c r="AC27" s="205">
        <f>MAX(AC26-(($L$18*$B$10)*(2^(((AC17 -14) - $L$17)/HLOOKUP((AC17-14)-$B$14,$L$41:$AL$43,3,TRUE)))),0)</f>
        <v>104615.20536390832</v>
      </c>
      <c r="AD27" s="205">
        <f>MAX(AD26-(($L$18*$B$10)*(2^(((AD17 -14) - $L$17)/HLOOKUP((AD17-14)-$B$14,$L$41:$AL$43,3,TRUE)))),0)</f>
        <v>795898.3546639448</v>
      </c>
      <c r="AE27" s="205">
        <f>MAX(AE26-(($L$18*$B$10)*(2^(((AE17 -14) - $L$17)/HLOOKUP((AE17-14)-$B$14,$L$41:$AL$43,3,TRUE)))),0)</f>
        <v>2340751.8896809574</v>
      </c>
      <c r="AF27" s="242">
        <f>MAX(AF26-(($L$18*$B$10)*(2^(((AF17 -14) - $L$17)/HLOOKUP((AF17-14)-$B$14,$L$41:$AL$43,3,TRUE)))),0)</f>
        <v>5718566.8368820287</v>
      </c>
      <c r="AG27" s="203">
        <f>MAX(AG26-(($L$18*$B$10)*(2^(((AG17 -14) - $L$17)/HLOOKUP((AG17-14)-$B$14,$L$41:$AL$43,3,TRUE)))),0)</f>
        <v>12956587.42770496</v>
      </c>
      <c r="AH27" s="203">
        <f>MAX(AH26-(($L$18*$B$10)*(2^(((AH17 -14) - $L$17)/HLOOKUP((AH17-14)-$B$14,$L$41:$AL$43,3,TRUE)))),0)</f>
        <v>28233792.975793749</v>
      </c>
      <c r="AI27" s="203">
        <f>MAX(AI26-(($L$18*$B$10)*(2^(((AI17 -14) - $L$17)/HLOOKUP((AI17-14)-$B$14,$L$41:$AL$43,3,TRUE)))),0)</f>
        <v>60126300.846717447</v>
      </c>
      <c r="AJ27" s="204">
        <f>MAX(AJ26-(($L$18*$B$10)*(2^(((AJ17 -14) - $L$17)/HLOOKUP((AJ17-14)-$B$14,$L$41:$AL$43,3,TRUE)))),0)</f>
        <v>0</v>
      </c>
      <c r="AK27" s="199">
        <f>MAX(AK26-(($L$18*$B$10)*(2^(((AK17 -14) - $L$17)/HLOOKUP((AK17-14)-$B$14,$L$41:$AL$43,3,TRUE)))),0)</f>
        <v>0</v>
      </c>
      <c r="AL27" s="245"/>
      <c r="AM27" s="25"/>
      <c r="AN27" s="25"/>
      <c r="AO27" s="69"/>
    </row>
    <row r="28" spans="1:41" x14ac:dyDescent="0.25">
      <c r="A28" s="62" t="s">
        <v>111</v>
      </c>
      <c r="B28" s="9"/>
      <c r="C28" s="9"/>
      <c r="D28" s="9"/>
      <c r="E28" s="9"/>
      <c r="F28" s="9"/>
      <c r="G28" s="9"/>
      <c r="H28" s="9"/>
      <c r="I28" s="9"/>
      <c r="J28" s="9"/>
      <c r="K28" s="5"/>
      <c r="L28" s="225">
        <f>(1*($B$11+$B$12))*(2^(((L17 - 7) - $B$14)/$L$43))</f>
        <v>2.9796216359494587</v>
      </c>
      <c r="M28" s="211">
        <f t="shared" ref="M28:O28" si="20">($L$18*($B$11+$B$12))*(2^(((M17-7)-$L$17)/HLOOKUP((M17-7)-$B$14,$L$41:$AL$43,3,TRUE)))</f>
        <v>6.6590498985850246</v>
      </c>
      <c r="N28" s="211">
        <f t="shared" si="20"/>
        <v>9.3937329355254953</v>
      </c>
      <c r="O28" s="211">
        <f t="shared" si="20"/>
        <v>11.815592437748149</v>
      </c>
      <c r="P28" s="211">
        <f>($L$18*($B$11+$B$12))*(2^(((P17-7)-$L$17)/HLOOKUP((P17-7)-$B$14,$L$41:$AL$43,3,TRUE)))</f>
        <v>12.534285987853202</v>
      </c>
      <c r="Q28" s="211">
        <f>($L$18*($B$11+$B$12))*(2^(((Q17-7)-$L$17)/HLOOKUP((Q17-7)-$B$14,$L$41:$AL$43,3,TRUE)))</f>
        <v>23.599266437601273</v>
      </c>
      <c r="R28" s="211">
        <f>($L$18*($B$11+$B$12))*(2^(((R17-7)-$L$17)/HLOOKUP((R17-7)-$B$14,$L$41:$AL$43,3,TRUE)))</f>
        <v>49.779972972921911</v>
      </c>
      <c r="S28" s="211">
        <f>($L$18*($B$11+$B$12))*(2^(((S17-7)-$L$17)/HLOOKUP((S17-7)-$B$14,$L$41:$AL$43,3,TRUE)))</f>
        <v>108.90640436467176</v>
      </c>
      <c r="T28" s="211">
        <f>($L$18*($B$11+$B$12))*(2^(((T17-7)-$L$17)/HLOOKUP((T17-7)-$B$14,$L$41:$AL$43,3,TRUE)))</f>
        <v>220.70535714285711</v>
      </c>
      <c r="U28" s="211">
        <f>($L$18*($B$11+$B$12))*(2^(((U17-7)-$L$17)/HLOOKUP((U17-7)-$B$14,$L$41:$AL$43,3,TRUE)))</f>
        <v>322.92231652302479</v>
      </c>
      <c r="V28" s="211">
        <f>($L$18*($B$11+$B$12))*(2^(((V17-7)-$L$17)/HLOOKUP((V17-7)-$B$14,$L$41:$AL$43,3,TRUE)))</f>
        <v>573.20080200802715</v>
      </c>
      <c r="W28" s="211">
        <f>($L$18*($B$11+$B$12))*(2^(((W17-7)-$L$17)/HLOOKUP((W17-7)-$B$14,$L$41:$AL$43,3,TRUE)))</f>
        <v>1576.9999999999995</v>
      </c>
      <c r="X28" s="211">
        <f>($L$18*($B$11+$B$12))*(2^(((X17-7)-$L$17)/HLOOKUP((X17-7)-$B$14,$L$41:$AL$43,3,TRUE)))</f>
        <v>4145.4455784766114</v>
      </c>
      <c r="Y28" s="211">
        <f>($L$18*($B$11+$B$12))*(2^(((Y17-7)-$L$17)/HLOOKUP((Y17-7)-$B$14,$L$41:$AL$43,3,TRUE)))</f>
        <v>14658.884770024193</v>
      </c>
      <c r="Z28" s="211">
        <f>($L$18*($B$11+$B$12))*(2^(((Z17-7)-$L$17)/HLOOKUP((Z17-7)-$B$14,$L$41:$AL$43,3,TRUE)))</f>
        <v>64486.753877005009</v>
      </c>
      <c r="AA28" s="211">
        <f>($L$18*($B$11+$B$12))*(2^(((AA17-7)-$L$17)/HLOOKUP((AA17-7)-$B$14,$L$41:$AL$43,3,TRUE)))</f>
        <v>1105681.2116311616</v>
      </c>
      <c r="AB28" s="211">
        <f>($L$18*($B$11+$B$12))*(2^(((AB17-7)-$L$17)/HLOOKUP((AB17-7)-$B$14,$L$41:$AL$43,3,TRUE)))</f>
        <v>1229875.0672395315</v>
      </c>
      <c r="AC28" s="211">
        <f>($L$18*($B$11+$B$12))*(2^(((AC17-7)-$L$17)/HLOOKUP((AC17-7)-$B$14,$L$41:$AL$43,3,TRUE)))</f>
        <v>1775562.7810543231</v>
      </c>
      <c r="AD28" s="211">
        <f>($L$18*($B$11+$B$12))*(2^(((AD17-7)-$L$17)/HLOOKUP((AD17-7)-$B$14,$L$41:$AL$43,3,TRUE)))</f>
        <v>2885928.7145459251</v>
      </c>
      <c r="AE28" s="211">
        <f>($L$18*($B$11+$B$12))*(2^(((AE17-7)-$L$17)/HLOOKUP((AE17-7)-$B$14,$L$41:$AL$43,3,TRUE)))</f>
        <v>4999795.2658267329</v>
      </c>
      <c r="AF28" s="239">
        <f>($L$18*($B$11+$B$12))*(2^(((AF17-7)-$L$17)/HLOOKUP((AF17-7)-$B$14,$L$41:$AL$43,3,TRUE)))</f>
        <v>9000136.0751800332</v>
      </c>
      <c r="AG28" s="208">
        <f>($L$18*($B$11+$B$12))*(2^(((AG17-7)-$L$17)/HLOOKUP((AG17-7)-$B$14,$L$41:$AL$43,3,TRUE)))</f>
        <v>16607592.095156716</v>
      </c>
      <c r="AH28" s="208">
        <f>($L$18*($B$11+$B$12))*(2^(((AH17-7)-$L$17)/HLOOKUP((AH17-7)-$B$14,$L$41:$AL$43,3,TRUE)))</f>
        <v>31169287.448839433</v>
      </c>
      <c r="AI28" s="208">
        <f>($L$18*($B$11+$B$12))*(2^(((AI17-7)-$L$17)/HLOOKUP((AI17-7)-$B$14,$L$41:$AL$43,3,TRUE)))</f>
        <v>59211503.196096517</v>
      </c>
      <c r="AJ28" s="209">
        <f>($L$18*($B$11+$B$12))*(2^(((AJ17-7)-$L$17)/HLOOKUP((AJ17-7)-$B$14,$L$41:$AL$43,3,TRUE)))</f>
        <v>113493866.51274788</v>
      </c>
      <c r="AK28" s="208">
        <f>($L$18*($B$11+$B$12))*(2^(((AK17 - 7) - $L$17)/AK43))</f>
        <v>36978974.081116162</v>
      </c>
      <c r="AL28" s="245">
        <f>AL18*(B11+B12)</f>
        <v>4396521.1500000004</v>
      </c>
      <c r="AM28" s="45"/>
      <c r="AN28" s="45"/>
      <c r="AO28" s="69"/>
    </row>
    <row r="29" spans="1:41" x14ac:dyDescent="0.25">
      <c r="A29" s="37" t="s">
        <v>160</v>
      </c>
      <c r="B29" s="38"/>
      <c r="C29" s="39"/>
      <c r="D29" s="39"/>
      <c r="E29" s="39"/>
      <c r="F29" s="39"/>
      <c r="G29" s="39"/>
      <c r="H29" s="39"/>
      <c r="I29" s="39"/>
      <c r="J29" s="39"/>
      <c r="K29" s="63"/>
      <c r="L29" s="206">
        <f t="shared" ref="L29:Y29" si="21">L28</f>
        <v>2.9796216359494587</v>
      </c>
      <c r="M29" s="207">
        <f t="shared" si="21"/>
        <v>6.6590498985850246</v>
      </c>
      <c r="N29" s="207">
        <f t="shared" si="21"/>
        <v>9.3937329355254953</v>
      </c>
      <c r="O29" s="207">
        <f t="shared" si="21"/>
        <v>11.815592437748149</v>
      </c>
      <c r="P29" s="207">
        <f t="shared" si="21"/>
        <v>12.534285987853202</v>
      </c>
      <c r="Q29" s="207">
        <f t="shared" si="21"/>
        <v>23.599266437601273</v>
      </c>
      <c r="R29" s="207">
        <f t="shared" si="21"/>
        <v>49.779972972921911</v>
      </c>
      <c r="S29" s="207">
        <f t="shared" si="21"/>
        <v>108.90640436467176</v>
      </c>
      <c r="T29" s="207">
        <f t="shared" si="21"/>
        <v>220.70535714285711</v>
      </c>
      <c r="U29" s="207">
        <f t="shared" si="21"/>
        <v>322.92231652302479</v>
      </c>
      <c r="V29" s="207">
        <f t="shared" si="21"/>
        <v>573.20080200802715</v>
      </c>
      <c r="W29" s="207">
        <f t="shared" si="21"/>
        <v>1576.9999999999995</v>
      </c>
      <c r="X29" s="207">
        <f t="shared" si="21"/>
        <v>4145.4455784766114</v>
      </c>
      <c r="Y29" s="207">
        <f t="shared" si="21"/>
        <v>14658.884770024193</v>
      </c>
      <c r="Z29" s="198">
        <f t="shared" ref="Z29:AA29" si="22">MAX(Z28-($L$18*$B$11)*(2^(((Z17 - 42) - $L$17)/HLOOKUP((Z17-42)-$B$14,$L$41:$AL$43,3,TRUE)))-Z31,0)</f>
        <v>58944.211012749765</v>
      </c>
      <c r="AA29" s="198">
        <f t="shared" si="22"/>
        <v>1032538.7643113311</v>
      </c>
      <c r="AB29" s="198">
        <f>MAX(AB28-($L$18*$B$11)*(2^(((AB17 - 42) - $L$17)/HLOOKUP((AB17-42)-$B$14,$L$41:$AL$43,3,TRUE)))-AB31,0)</f>
        <v>1036924.6295448794</v>
      </c>
      <c r="AC29" s="198">
        <f>MAX(AC28-($L$18*$B$11)*(2^(((AC17 - 42) - $L$17)/HLOOKUP((AC17-42)-$B$14,$L$41:$AL$43,3,TRUE)))-AC31,0)</f>
        <v>0</v>
      </c>
      <c r="AD29" s="198">
        <f>MAX(AD28-($L$18*$B$11)*(2^(((AD17 - 42) - $L$17)/HLOOKUP((AD17-42)-$B$14,$L$41:$AL$43,3,TRUE)))-AD31,0)</f>
        <v>806460.24572003365</v>
      </c>
      <c r="AE29" s="198">
        <f>MAX(AE28-($L$18*$B$11)*(2^(((AE17 - 42) - $L$17)/HLOOKUP((AE17-42)-$B$14,$L$41:$AL$43,3,TRUE)))-AE31,0)</f>
        <v>2236346.6338918954</v>
      </c>
      <c r="AF29" s="242">
        <f>MAX(AF28-($L$18*$B$11)*(2^(((AF17 - 42) - $L$17)/HLOOKUP((AF17-42)-$B$14,$L$41:$AL$43,3,TRUE)))-AF31,0)</f>
        <v>4707066.1146779386</v>
      </c>
      <c r="AG29" s="203">
        <f>MAX(AG28-($L$18*$B$11)*(2^(((AG17 - 42) - $L$17)/HLOOKUP((AG17-42)-$B$14,$L$41:$AL$43,3,TRUE)))-AG31,0)</f>
        <v>9372340.5915325433</v>
      </c>
      <c r="AH29" s="203">
        <f>MAX(AH28-($L$18*$B$11)*(2^(((AH17 - 42) - $L$17)/HLOOKUP((AH17-42)-$B$14,$L$41:$AL$43,3,TRUE)))-AH31,0)</f>
        <v>18380963.455984969</v>
      </c>
      <c r="AI29" s="203">
        <f>MAX(AI28-($L$18*$B$11)*(2^(((AI17 - 42) - $L$17)/HLOOKUP((AI17-42)-$B$14,$L$41:$AL$43,3,TRUE)))-AI31,0)</f>
        <v>35915707.543904886</v>
      </c>
      <c r="AJ29" s="204">
        <f>MAX(AJ28-($L$18*$B$11)*(2^(((AJ17 - 42) - $L$17)/HLOOKUP((AJ17-42)-$B$14,$L$41:$AL$43,3,TRUE)))-AJ31,0)</f>
        <v>70186411.016182497</v>
      </c>
      <c r="AK29" s="199">
        <f>MAX(AK28-($L$18*$B$11)*(2^(((AK17 - 42) - $L$17)/HLOOKUP((AK17-42)-$B$14,$L$41:$AL$43,3,TRUE)))-AK31,0)</f>
        <v>0</v>
      </c>
      <c r="AL29" s="247"/>
      <c r="AM29" s="45"/>
      <c r="AN29" s="45"/>
      <c r="AO29" s="69"/>
    </row>
    <row r="30" spans="1:41" x14ac:dyDescent="0.25">
      <c r="A30" s="62" t="s">
        <v>112</v>
      </c>
      <c r="B30" s="9"/>
      <c r="C30" s="9"/>
      <c r="D30" s="9"/>
      <c r="E30" s="9"/>
      <c r="F30" s="9"/>
      <c r="G30" s="9"/>
      <c r="H30" s="9"/>
      <c r="I30" s="9"/>
      <c r="J30" s="9"/>
      <c r="K30" s="5"/>
      <c r="L30" s="225">
        <f>(1*$B$12)*(2^(((L17 - 14) -$B$14)/$L$43))</f>
        <v>0.35133142435370507</v>
      </c>
      <c r="M30" s="222">
        <f>(1*$B$12)*(2^(((M17 - 14) -$B$14)/$L$43))</f>
        <v>0.8793994084295168</v>
      </c>
      <c r="N30" s="222">
        <f>(1*$B$12)*(2^(((N17 - 14) -$B$14)/$L$43))</f>
        <v>1.2405438181505943</v>
      </c>
      <c r="O30" s="222">
        <f>(1*$B$12)*(2^(((O17 - 14) -$B$14)/$L$43))</f>
        <v>1.5603765038925292</v>
      </c>
      <c r="P30" s="211">
        <f t="shared" ref="P30:S30" si="23">($L$18*$B$12)*(2^(((P17 - 14) - $L$17)/HLOOKUP((P17-14)-$B$14,$L$41:$AL$43,3,TRUE)))</f>
        <v>1.9653383070069901</v>
      </c>
      <c r="Q30" s="211">
        <f t="shared" si="23"/>
        <v>2.7724470405161594</v>
      </c>
      <c r="R30" s="211">
        <f t="shared" si="23"/>
        <v>3.0357142857142851</v>
      </c>
      <c r="S30" s="211">
        <f t="shared" si="23"/>
        <v>3.5840256691447028</v>
      </c>
      <c r="T30" s="211">
        <f>($L$18*$B$12)*(2^(((T17 - 14) - $L$17)/HLOOKUP((T17-14)-$B$14,$L$41:$AL$43,3,TRUE)))</f>
        <v>6.2103332730529663</v>
      </c>
      <c r="U30" s="211">
        <f>($L$18*$B$12)*(2^(((U17 - 14) - $L$17)/HLOOKUP((U17-14)-$B$14,$L$41:$AL$43,3,TRUE)))</f>
        <v>11.368617573959821</v>
      </c>
      <c r="V30" s="211">
        <f>($L$18*$B$12)*(2^(((V17 - 14) - $L$17)/HLOOKUP((V17-14)-$B$14,$L$41:$AL$43,3,TRUE)))</f>
        <v>24.151785714285708</v>
      </c>
      <c r="W30" s="211">
        <f>($L$18*$B$12)*(2^(((W17 - 14) - $L$17)/HLOOKUP((W17-14)-$B$14,$L$41:$AL$43,3,TRUE)))</f>
        <v>58.080357142857132</v>
      </c>
      <c r="X30" s="211">
        <f>($L$18*$B$12)*(2^(((X17 - 14) - $L$17)/HLOOKUP((X17-14)-$B$14,$L$41:$AL$43,3,TRUE)))</f>
        <v>123.66071428571428</v>
      </c>
      <c r="Y30" s="211">
        <f>($L$18*$B$12)*(2^(((Y17 - 14) - $L$17)/HLOOKUP((Y17-14)-$B$14,$L$41:$AL$43,3,TRUE)))</f>
        <v>514.38422097436683</v>
      </c>
      <c r="Z30" s="211">
        <f>($L$18*$B$12)*(2^(((Z17 - 14) - $L$17)/HLOOKUP((Z17-14)-$B$14,$L$41:$AL$43,3,TRUE)))</f>
        <v>5547.1428571428523</v>
      </c>
      <c r="AA30" s="211">
        <f>($L$18*$B$12)*(2^(((AA17 - 14) - $L$17)/HLOOKUP((AA17-14)-$B$14,$L$41:$AL$43,3,TRUE)))</f>
        <v>75559.287615657406</v>
      </c>
      <c r="AB30" s="211">
        <f>($L$18*$B$12)*(2^(((AB17 - 14) - $L$17)/HLOOKUP((AB17-14)-$B$14,$L$41:$AL$43,3,TRUE)))</f>
        <v>115270.54460090687</v>
      </c>
      <c r="AC30" s="211">
        <f>($L$18*$B$12)*(2^(((AC17 - 14) - $L$17)/HLOOKUP((AC17-14)-$B$14,$L$41:$AL$43,3,TRUE)))</f>
        <v>198342.27127383283</v>
      </c>
      <c r="AD30" s="211">
        <f>($L$18*$B$12)*(2^(((AD17 - 14) - $L$17)/HLOOKUP((AD17-14)-$B$14,$L$41:$AL$43,3,TRUE)))</f>
        <v>360470.47193432442</v>
      </c>
      <c r="AE30" s="211">
        <f>($L$18*$B$12)*(2^(((AE17 - 14) - $L$17)/HLOOKUP((AE17-14)-$B$14,$L$41:$AL$43,3,TRUE)))</f>
        <v>674709.14261228649</v>
      </c>
      <c r="AF30" s="239">
        <f>($L$18*$B$12)*(2^(((AF17 - 14) - $L$17)/HLOOKUP((AF17-14)-$B$14,$L$41:$AL$43,3,TRUE)))</f>
        <v>1285402.0471060476</v>
      </c>
      <c r="AG30" s="208">
        <f>($L$18*$B$12)*(2^(((AG17 - 14) - $L$17)/HLOOKUP((AG17-14)-$B$14,$L$41:$AL$43,3,TRUE)))</f>
        <v>2477010.6526108049</v>
      </c>
      <c r="AH30" s="208">
        <f>($L$18*$B$12)*(2^(((AH17 - 14) - $L$17)/HLOOKUP((AH17-14)-$B$14,$L$41:$AL$43,3,TRUE)))</f>
        <v>4810773.2730991514</v>
      </c>
      <c r="AI30" s="208">
        <f>($L$18*$B$12)*(2^(((AI17 - 14) - $L$17)/HLOOKUP((AI17-14)-$B$14,$L$41:$AL$43,3,TRUE)))</f>
        <v>9395699.9477334898</v>
      </c>
      <c r="AJ30" s="209">
        <f>($L$18*$B$12)*(2^(((AJ17 - 14) - $L$17)/HLOOKUP((AJ17-14)-$B$14,$L$41:$AL$43,3,TRUE)))</f>
        <v>18426270.038077962</v>
      </c>
      <c r="AK30" s="208">
        <f>($L$18*$B$12)*(2^(((AK17 - 14) - $L$17)/HLOOKUP((AK17-14)-$B$14,$L$41:$AL$43,3,TRUE)))</f>
        <v>36250098.950821251</v>
      </c>
      <c r="AL30" s="245">
        <f>AL18*B12</f>
        <v>1156979.2500000002</v>
      </c>
      <c r="AM30" s="45"/>
      <c r="AN30" s="45"/>
      <c r="AO30" s="69"/>
    </row>
    <row r="31" spans="1:41" x14ac:dyDescent="0.25">
      <c r="A31" s="37" t="s">
        <v>161</v>
      </c>
      <c r="B31" s="38"/>
      <c r="C31" s="39"/>
      <c r="D31" s="39"/>
      <c r="E31" s="39"/>
      <c r="F31" s="39"/>
      <c r="G31" s="39"/>
      <c r="H31" s="39"/>
      <c r="I31" s="39"/>
      <c r="J31" s="39"/>
      <c r="K31" s="63"/>
      <c r="L31" s="206">
        <f t="shared" ref="L31:W31" si="24">L30</f>
        <v>0.35133142435370507</v>
      </c>
      <c r="M31" s="207">
        <f t="shared" si="24"/>
        <v>0.8793994084295168</v>
      </c>
      <c r="N31" s="207">
        <f t="shared" si="24"/>
        <v>1.2405438181505943</v>
      </c>
      <c r="O31" s="207">
        <f t="shared" si="24"/>
        <v>1.5603765038925292</v>
      </c>
      <c r="P31" s="207">
        <f t="shared" si="24"/>
        <v>1.9653383070069901</v>
      </c>
      <c r="Q31" s="207">
        <f t="shared" si="24"/>
        <v>2.7724470405161594</v>
      </c>
      <c r="R31" s="207">
        <f t="shared" si="24"/>
        <v>3.0357142857142851</v>
      </c>
      <c r="S31" s="207">
        <f t="shared" si="24"/>
        <v>3.5840256691447028</v>
      </c>
      <c r="T31" s="207">
        <f t="shared" si="24"/>
        <v>6.2103332730529663</v>
      </c>
      <c r="U31" s="207">
        <f t="shared" si="24"/>
        <v>11.368617573959821</v>
      </c>
      <c r="V31" s="207">
        <f t="shared" si="24"/>
        <v>24.151785714285708</v>
      </c>
      <c r="W31" s="207">
        <f t="shared" si="24"/>
        <v>58.080357142857132</v>
      </c>
      <c r="X31" s="205">
        <f t="shared" ref="X31:Z31" si="25">MAX(X30-($L$18*$B$12)*(2^(((X17 - 35) - $L$17)/HLOOKUP((X17-35)-$B$14,$L$41:$AL$43,3,TRUE))),0)</f>
        <v>121.90833273345505</v>
      </c>
      <c r="Y31" s="205">
        <f t="shared" si="25"/>
        <v>511.27485454338046</v>
      </c>
      <c r="Z31" s="205">
        <f t="shared" si="25"/>
        <v>5534.0428642552415</v>
      </c>
      <c r="AA31" s="205">
        <f>MAX(AA30-($L$18*$B$12)*(2^(((AA17 - 35) - $L$17)/HLOOKUP((AA17-35)-$B$14,$L$41:$AL$43,3,TRUE))),0)</f>
        <v>70705.32231983055</v>
      </c>
      <c r="AB31" s="205">
        <f>MAX(AB30-($L$18*$B$12)*(2^(((AB17 - 35) - $L$17)/HLOOKUP((AB17-35)-$B$14,$L$41:$AL$43,3,TRUE))),0)</f>
        <v>52949.22458796404</v>
      </c>
      <c r="AC31" s="205">
        <f>MAX(AC30-($L$18*$B$12)*(2^(((AC17 - 35) - $L$17)/HLOOKUP((AC17-35)-$B$14,$L$41:$AL$43,3,TRUE))),0)</f>
        <v>98878.012316485532</v>
      </c>
      <c r="AD31" s="205">
        <f>MAX(AD30-($L$18*$B$12)*(2^(((AD17 - 35) - $L$17)/HLOOKUP((AD17-35)-$B$14,$L$41:$AL$43,3,TRUE))),0)</f>
        <v>184980.28702756495</v>
      </c>
      <c r="AE31" s="205">
        <f>MAX(AE30-($L$18*$B$12)*(2^(((AE17 - 35) - $L$17)/HLOOKUP((AE17-35)-$B$14,$L$41:$AL$43,3,TRUE))),0)</f>
        <v>350640.87438768358</v>
      </c>
      <c r="AF31" s="242">
        <f>MAX(AF30-($L$18*$B$12)*(2^(((AF17 - 35) - $L$17)/HLOOKUP((AF17-35)-$B$14,$L$41:$AL$43,3,TRUE))),0)</f>
        <v>672091.27746660192</v>
      </c>
      <c r="AG31" s="203">
        <f>MAX(AG30-($L$18*$B$12)*(2^(((AG17 - 35) - $L$17)/HLOOKUP((AG17-35)-$B$14,$L$41:$AL$43,3,TRUE))),0)</f>
        <v>1299076.7625165107</v>
      </c>
      <c r="AH31" s="203">
        <f>MAX(AH30-($L$18*$B$12)*(2^(((AH17 - 35) - $L$17)/HLOOKUP((AH17-35)-$B$14,$L$41:$AL$43,3,TRUE))),0)</f>
        <v>2526752.8191017783</v>
      </c>
      <c r="AI31" s="203">
        <f>MAX(AI30-($L$18*$B$12)*(2^(((AI17 - 35) - $L$17)/HLOOKUP((AI17-35)-$B$14,$L$41:$AL$43,3,TRUE))),0)</f>
        <v>4937999.9818585301</v>
      </c>
      <c r="AJ31" s="204">
        <f>MAX(AJ30-($L$18*$B$12)*(2^(((AJ17 - 35) - $L$17)/HLOOKUP((AJ17-35)-$B$14,$L$41:$AL$43,3,TRUE))),0)</f>
        <v>9685607.0673875548</v>
      </c>
      <c r="AK31" s="199">
        <f>MAX(AK30-($L$18*$B$12)*(2^(((AK17 - 35) - $L$17)/HLOOKUP((AK17-35)-$B$14,$L$41:$AL$43,3,TRUE))),0)</f>
        <v>19052296.697909959</v>
      </c>
      <c r="AL31" s="245"/>
      <c r="AM31" s="45"/>
      <c r="AN31" s="45"/>
      <c r="AO31" s="69"/>
    </row>
    <row r="32" spans="1:41" x14ac:dyDescent="0.25">
      <c r="A32" s="41" t="s">
        <v>56</v>
      </c>
      <c r="B32" s="15"/>
      <c r="C32" s="16"/>
      <c r="D32" s="16"/>
      <c r="E32" s="16"/>
      <c r="F32" s="16"/>
      <c r="G32" s="16"/>
      <c r="H32" s="16"/>
      <c r="I32" s="16"/>
      <c r="J32" s="16"/>
      <c r="K32" s="16"/>
      <c r="L32" s="226">
        <f t="shared" ref="L32:AK32" si="26">L18*$B$13</f>
        <v>1.25</v>
      </c>
      <c r="M32" s="227">
        <f t="shared" si="26"/>
        <v>2.5</v>
      </c>
      <c r="N32" s="227">
        <f t="shared" si="26"/>
        <v>5</v>
      </c>
      <c r="O32" s="227">
        <f t="shared" si="26"/>
        <v>10</v>
      </c>
      <c r="P32" s="227">
        <f t="shared" si="26"/>
        <v>20</v>
      </c>
      <c r="Q32" s="227">
        <f t="shared" si="26"/>
        <v>40</v>
      </c>
      <c r="R32" s="227">
        <f t="shared" si="26"/>
        <v>80</v>
      </c>
      <c r="S32" s="227">
        <f t="shared" si="26"/>
        <v>160</v>
      </c>
      <c r="T32" s="227">
        <f t="shared" si="26"/>
        <v>320</v>
      </c>
      <c r="U32" s="227">
        <f t="shared" si="26"/>
        <v>640</v>
      </c>
      <c r="V32" s="227">
        <f t="shared" si="26"/>
        <v>1280</v>
      </c>
      <c r="W32" s="227">
        <f t="shared" si="26"/>
        <v>2560</v>
      </c>
      <c r="X32" s="227">
        <f t="shared" si="26"/>
        <v>5120</v>
      </c>
      <c r="Y32" s="227">
        <f t="shared" si="26"/>
        <v>10240</v>
      </c>
      <c r="Z32" s="227">
        <f t="shared" si="26"/>
        <v>20480</v>
      </c>
      <c r="AA32" s="227">
        <f t="shared" si="26"/>
        <v>40960</v>
      </c>
      <c r="AB32" s="227">
        <f t="shared" si="26"/>
        <v>81920</v>
      </c>
      <c r="AC32" s="227">
        <f t="shared" si="26"/>
        <v>163840</v>
      </c>
      <c r="AD32" s="227">
        <f t="shared" si="26"/>
        <v>327680</v>
      </c>
      <c r="AE32" s="227">
        <f t="shared" si="26"/>
        <v>655360</v>
      </c>
      <c r="AF32" s="241">
        <f t="shared" ref="AF32:AJ32" si="27">AF18*$B$13</f>
        <v>1310720</v>
      </c>
      <c r="AG32" s="199">
        <f t="shared" si="27"/>
        <v>2621440</v>
      </c>
      <c r="AH32" s="199">
        <f t="shared" si="27"/>
        <v>5242880</v>
      </c>
      <c r="AI32" s="199">
        <f t="shared" si="27"/>
        <v>10485760</v>
      </c>
      <c r="AJ32" s="200">
        <f t="shared" si="27"/>
        <v>13222620</v>
      </c>
      <c r="AK32" s="208">
        <f t="shared" si="26"/>
        <v>13222620</v>
      </c>
      <c r="AL32" s="245">
        <f>AL18*B13</f>
        <v>925583.40000000014</v>
      </c>
      <c r="AM32" s="45"/>
      <c r="AN32" s="45"/>
      <c r="AO32" s="69"/>
    </row>
    <row r="33" spans="1:41" x14ac:dyDescent="0.25">
      <c r="A33" s="37" t="s">
        <v>55</v>
      </c>
      <c r="B33" s="38"/>
      <c r="C33" s="39"/>
      <c r="D33" s="39"/>
      <c r="E33" s="39"/>
      <c r="F33" s="39"/>
      <c r="G33" s="39"/>
      <c r="H33" s="39"/>
      <c r="I33" s="39"/>
      <c r="J33" s="39"/>
      <c r="K33" s="39"/>
      <c r="L33" s="201"/>
      <c r="M33" s="202"/>
      <c r="N33" s="202"/>
      <c r="O33" s="202"/>
      <c r="P33" s="202"/>
      <c r="Q33" s="202"/>
      <c r="R33" s="202"/>
      <c r="S33" s="202"/>
      <c r="T33" s="202"/>
      <c r="U33" s="202"/>
      <c r="V33" s="202"/>
      <c r="W33" s="202"/>
      <c r="X33" s="210">
        <f t="shared" ref="X33:Z33" si="28">($L$18*$B$13)*(2^(((X17-35)-$L$17)/HLOOKUP((X17-35)-$B$14,$L$41:$AL$43,3,TRUE)))</f>
        <v>1.4019052418073734</v>
      </c>
      <c r="Y33" s="210">
        <f t="shared" si="28"/>
        <v>2.487493144789084</v>
      </c>
      <c r="Z33" s="210">
        <f t="shared" si="28"/>
        <v>10.479994310088824</v>
      </c>
      <c r="AA33" s="210">
        <f>($L$18*$B$13)*(2^(((AA17-35)-$L$17)/HLOOKUP((AA17-35)-$B$14,$L$41:$AL$43,3,TRUE)))</f>
        <v>3883.1722366614895</v>
      </c>
      <c r="AB33" s="210">
        <f>($L$18*$B$13)*(2^(((AB17-35)-$L$17)/HLOOKUP((AB17-35)-$B$14,$L$41:$AL$43,3,TRUE)))</f>
        <v>49857.056010354267</v>
      </c>
      <c r="AC33" s="210">
        <f>($L$18*$B$13)*(2^(((AC17-35)-$L$17)/HLOOKUP((AC17-35)-$B$14,$L$41:$AL$43,3,TRUE)))</f>
        <v>79571.407165877841</v>
      </c>
      <c r="AD33" s="210">
        <f>($L$18*$B$13)*(2^(((AD17-35)-$L$17)/HLOOKUP((AD17-35)-$B$14,$L$41:$AL$43,3,TRUE)))</f>
        <v>140392.1479254076</v>
      </c>
      <c r="AE33" s="210">
        <f>($L$18*$B$13)*(2^(((AE17-35)-$L$17)/HLOOKUP((AE17-35)-$B$14,$L$41:$AL$43,3,TRUE)))</f>
        <v>259254.6145796823</v>
      </c>
      <c r="AF33" s="242">
        <f>($L$18*$B$13)*(2^(((AF17-35)-$L$17)/HLOOKUP((AF17-35)-$B$14,$L$41:$AL$43,3,TRUE)))</f>
        <v>490648.61571155657</v>
      </c>
      <c r="AG33" s="203">
        <f>($L$18*$B$13)*(2^(((AG17-35)-$L$17)/HLOOKUP((AG17-35)-$B$14,$L$41:$AL$43,3,TRUE)))</f>
        <v>942347.11207543546</v>
      </c>
      <c r="AH33" s="203">
        <f>($L$18*$B$13)*(2^(((AH17-35)-$L$17)/HLOOKUP((AH17-35)-$B$14,$L$41:$AL$43,3,TRUE)))</f>
        <v>1827216.3631978985</v>
      </c>
      <c r="AI33" s="203">
        <f>($L$18*$B$13)*(2^(((AI17-35)-$L$17)/HLOOKUP((AI17-35)-$B$14,$L$41:$AL$43,3,TRUE)))</f>
        <v>3566159.9726999681</v>
      </c>
      <c r="AJ33" s="204">
        <f>($L$18*$B$13)*(2^(((AJ17-35)-$L$17)/HLOOKUP((AJ17-35)-$B$14,$L$41:$AL$43,3,TRUE)))</f>
        <v>6992530.3765523257</v>
      </c>
      <c r="AK33" s="203">
        <f>($L$18*$B$13)*(2^(((AK17-35)-$L$17)/HLOOKUP((AK17-35)-$B$14,$L$41:$AL$43,3,TRUE)))</f>
        <v>13758241.802329034</v>
      </c>
      <c r="AL33" s="248">
        <f>($L$18*$B$13)*(2^(((AL17 - 35) - $L$17)/AL43))</f>
        <v>2104890.2579097911</v>
      </c>
      <c r="AM33" s="45"/>
      <c r="AN33" s="45"/>
      <c r="AO33" s="69"/>
    </row>
    <row r="34" spans="1:41" s="69" customFormat="1" hidden="1" x14ac:dyDescent="0.25">
      <c r="A34" s="48" t="s">
        <v>106</v>
      </c>
      <c r="B34" s="25"/>
      <c r="C34" s="47"/>
      <c r="D34" s="47"/>
      <c r="E34" s="47"/>
      <c r="F34" s="47"/>
      <c r="G34" s="47"/>
      <c r="H34" s="47"/>
      <c r="I34" s="47"/>
      <c r="J34" s="47"/>
      <c r="K34" s="47"/>
      <c r="L34" s="150">
        <f t="shared" ref="L34:AK34" si="29">L17-7</f>
        <v>43875</v>
      </c>
      <c r="M34" s="150">
        <f t="shared" si="29"/>
        <v>43883</v>
      </c>
      <c r="N34" s="150">
        <f t="shared" si="29"/>
        <v>43886</v>
      </c>
      <c r="O34" s="150">
        <f t="shared" si="29"/>
        <v>43888</v>
      </c>
      <c r="P34" s="150">
        <f t="shared" si="29"/>
        <v>43891</v>
      </c>
      <c r="Q34" s="150">
        <f t="shared" si="29"/>
        <v>43894</v>
      </c>
      <c r="R34" s="150">
        <f t="shared" si="29"/>
        <v>43897</v>
      </c>
      <c r="S34" s="150">
        <f t="shared" si="29"/>
        <v>43899</v>
      </c>
      <c r="T34" s="150">
        <f t="shared" si="29"/>
        <v>43901</v>
      </c>
      <c r="U34" s="150">
        <f t="shared" si="29"/>
        <v>43903</v>
      </c>
      <c r="V34" s="150">
        <f t="shared" si="29"/>
        <v>43905</v>
      </c>
      <c r="W34" s="150">
        <f t="shared" si="29"/>
        <v>43908</v>
      </c>
      <c r="X34" s="150">
        <f t="shared" si="29"/>
        <v>43911</v>
      </c>
      <c r="Y34" s="150">
        <f t="shared" si="29"/>
        <v>43916</v>
      </c>
      <c r="Z34" s="150">
        <f t="shared" si="29"/>
        <v>43925</v>
      </c>
      <c r="AA34" s="150">
        <f t="shared" si="29"/>
        <v>43945</v>
      </c>
      <c r="AB34" s="150">
        <f t="shared" si="29"/>
        <v>43965</v>
      </c>
      <c r="AC34" s="150">
        <f t="shared" si="29"/>
        <v>43985</v>
      </c>
      <c r="AD34" s="150">
        <f t="shared" si="29"/>
        <v>44005</v>
      </c>
      <c r="AE34" s="150">
        <f t="shared" si="29"/>
        <v>44025</v>
      </c>
      <c r="AF34" s="150"/>
      <c r="AG34" s="150"/>
      <c r="AH34" s="150"/>
      <c r="AI34" s="150"/>
      <c r="AJ34" s="150"/>
      <c r="AK34" s="150">
        <f t="shared" si="29"/>
        <v>44145</v>
      </c>
      <c r="AL34" s="150"/>
      <c r="AM34" s="45"/>
      <c r="AN34" s="45"/>
    </row>
    <row r="35" spans="1:41" s="69" customFormat="1" hidden="1" x14ac:dyDescent="0.25">
      <c r="A35" s="48" t="s">
        <v>104</v>
      </c>
      <c r="B35" s="25"/>
      <c r="C35" s="47"/>
      <c r="D35" s="47"/>
      <c r="E35" s="47"/>
      <c r="F35" s="47"/>
      <c r="G35" s="47"/>
      <c r="H35" s="47"/>
      <c r="I35" s="47"/>
      <c r="J35" s="47"/>
      <c r="K35" s="47"/>
      <c r="L35" s="150">
        <f t="shared" ref="L35:AK35" si="30">L17-14</f>
        <v>43868</v>
      </c>
      <c r="M35" s="150">
        <f t="shared" si="30"/>
        <v>43876</v>
      </c>
      <c r="N35" s="150">
        <f t="shared" si="30"/>
        <v>43879</v>
      </c>
      <c r="O35" s="150">
        <f t="shared" si="30"/>
        <v>43881</v>
      </c>
      <c r="P35" s="150">
        <f t="shared" si="30"/>
        <v>43884</v>
      </c>
      <c r="Q35" s="150">
        <f t="shared" si="30"/>
        <v>43887</v>
      </c>
      <c r="R35" s="150">
        <f t="shared" si="30"/>
        <v>43890</v>
      </c>
      <c r="S35" s="150">
        <f t="shared" si="30"/>
        <v>43892</v>
      </c>
      <c r="T35" s="150">
        <f t="shared" si="30"/>
        <v>43894</v>
      </c>
      <c r="U35" s="150">
        <f t="shared" si="30"/>
        <v>43896</v>
      </c>
      <c r="V35" s="150">
        <f t="shared" si="30"/>
        <v>43898</v>
      </c>
      <c r="W35" s="150">
        <f t="shared" si="30"/>
        <v>43901</v>
      </c>
      <c r="X35" s="150">
        <f t="shared" si="30"/>
        <v>43904</v>
      </c>
      <c r="Y35" s="150">
        <f t="shared" si="30"/>
        <v>43909</v>
      </c>
      <c r="Z35" s="150">
        <f t="shared" si="30"/>
        <v>43918</v>
      </c>
      <c r="AA35" s="150">
        <f t="shared" si="30"/>
        <v>43938</v>
      </c>
      <c r="AB35" s="150">
        <f t="shared" si="30"/>
        <v>43958</v>
      </c>
      <c r="AC35" s="150">
        <f t="shared" si="30"/>
        <v>43978</v>
      </c>
      <c r="AD35" s="150">
        <f t="shared" si="30"/>
        <v>43998</v>
      </c>
      <c r="AE35" s="150">
        <f t="shared" si="30"/>
        <v>44018</v>
      </c>
      <c r="AF35" s="150"/>
      <c r="AG35" s="150"/>
      <c r="AH35" s="150"/>
      <c r="AI35" s="150"/>
      <c r="AJ35" s="150"/>
      <c r="AK35" s="150">
        <f t="shared" si="30"/>
        <v>44138</v>
      </c>
      <c r="AL35" s="150"/>
      <c r="AM35" s="45"/>
      <c r="AN35" s="45"/>
    </row>
    <row r="36" spans="1:41" s="69" customFormat="1" hidden="1" x14ac:dyDescent="0.25">
      <c r="A36" s="48" t="s">
        <v>107</v>
      </c>
      <c r="B36" s="25"/>
      <c r="C36" s="47"/>
      <c r="D36" s="47"/>
      <c r="E36" s="47"/>
      <c r="F36" s="47"/>
      <c r="G36" s="47"/>
      <c r="H36" s="47"/>
      <c r="I36" s="47"/>
      <c r="J36" s="47"/>
      <c r="K36" s="47"/>
      <c r="L36" s="150">
        <f t="shared" ref="L36:AK36" si="31">L17-(7*5)</f>
        <v>43847</v>
      </c>
      <c r="M36" s="150">
        <f t="shared" si="31"/>
        <v>43855</v>
      </c>
      <c r="N36" s="150">
        <f t="shared" si="31"/>
        <v>43858</v>
      </c>
      <c r="O36" s="150">
        <f t="shared" si="31"/>
        <v>43860</v>
      </c>
      <c r="P36" s="150">
        <f t="shared" si="31"/>
        <v>43863</v>
      </c>
      <c r="Q36" s="150">
        <f t="shared" si="31"/>
        <v>43866</v>
      </c>
      <c r="R36" s="150">
        <f t="shared" si="31"/>
        <v>43869</v>
      </c>
      <c r="S36" s="150">
        <f t="shared" si="31"/>
        <v>43871</v>
      </c>
      <c r="T36" s="150">
        <f t="shared" si="31"/>
        <v>43873</v>
      </c>
      <c r="U36" s="150">
        <f t="shared" si="31"/>
        <v>43875</v>
      </c>
      <c r="V36" s="150">
        <f t="shared" si="31"/>
        <v>43877</v>
      </c>
      <c r="W36" s="150">
        <f t="shared" si="31"/>
        <v>43880</v>
      </c>
      <c r="X36" s="150">
        <f t="shared" si="31"/>
        <v>43883</v>
      </c>
      <c r="Y36" s="150">
        <f t="shared" si="31"/>
        <v>43888</v>
      </c>
      <c r="Z36" s="150">
        <f t="shared" si="31"/>
        <v>43897</v>
      </c>
      <c r="AA36" s="150">
        <f t="shared" si="31"/>
        <v>43917</v>
      </c>
      <c r="AB36" s="150">
        <f t="shared" si="31"/>
        <v>43937</v>
      </c>
      <c r="AC36" s="150">
        <f t="shared" si="31"/>
        <v>43957</v>
      </c>
      <c r="AD36" s="150">
        <f t="shared" si="31"/>
        <v>43977</v>
      </c>
      <c r="AE36" s="150">
        <f t="shared" si="31"/>
        <v>43997</v>
      </c>
      <c r="AF36" s="150"/>
      <c r="AG36" s="150"/>
      <c r="AH36" s="150"/>
      <c r="AI36" s="150"/>
      <c r="AJ36" s="150"/>
      <c r="AK36" s="150">
        <f t="shared" si="31"/>
        <v>44117</v>
      </c>
      <c r="AL36" s="150"/>
      <c r="AM36" s="45"/>
      <c r="AN36" s="45"/>
    </row>
    <row r="37" spans="1:41" s="69" customFormat="1" hidden="1" x14ac:dyDescent="0.25">
      <c r="A37" s="48" t="s">
        <v>105</v>
      </c>
      <c r="B37" s="25"/>
      <c r="C37" s="47"/>
      <c r="D37" s="47"/>
      <c r="E37" s="47"/>
      <c r="F37" s="47"/>
      <c r="G37" s="47"/>
      <c r="H37" s="47"/>
      <c r="I37" s="47"/>
      <c r="J37" s="47"/>
      <c r="K37" s="47"/>
      <c r="L37" s="150">
        <f t="shared" ref="L37:AK37" si="32">L17-(6*7)</f>
        <v>43840</v>
      </c>
      <c r="M37" s="150">
        <f t="shared" si="32"/>
        <v>43848</v>
      </c>
      <c r="N37" s="150">
        <f t="shared" si="32"/>
        <v>43851</v>
      </c>
      <c r="O37" s="150">
        <f t="shared" si="32"/>
        <v>43853</v>
      </c>
      <c r="P37" s="150">
        <f t="shared" si="32"/>
        <v>43856</v>
      </c>
      <c r="Q37" s="150">
        <f t="shared" si="32"/>
        <v>43859</v>
      </c>
      <c r="R37" s="150">
        <f t="shared" si="32"/>
        <v>43862</v>
      </c>
      <c r="S37" s="150">
        <f t="shared" si="32"/>
        <v>43864</v>
      </c>
      <c r="T37" s="150">
        <f t="shared" si="32"/>
        <v>43866</v>
      </c>
      <c r="U37" s="150">
        <f t="shared" si="32"/>
        <v>43868</v>
      </c>
      <c r="V37" s="150">
        <f t="shared" si="32"/>
        <v>43870</v>
      </c>
      <c r="W37" s="150">
        <f t="shared" si="32"/>
        <v>43873</v>
      </c>
      <c r="X37" s="150">
        <f t="shared" si="32"/>
        <v>43876</v>
      </c>
      <c r="Y37" s="150">
        <f t="shared" si="32"/>
        <v>43881</v>
      </c>
      <c r="Z37" s="150">
        <f t="shared" si="32"/>
        <v>43890</v>
      </c>
      <c r="AA37" s="150">
        <f t="shared" si="32"/>
        <v>43910</v>
      </c>
      <c r="AB37" s="150">
        <f t="shared" si="32"/>
        <v>43930</v>
      </c>
      <c r="AC37" s="150">
        <f t="shared" si="32"/>
        <v>43950</v>
      </c>
      <c r="AD37" s="150">
        <f t="shared" si="32"/>
        <v>43970</v>
      </c>
      <c r="AE37" s="150">
        <f t="shared" si="32"/>
        <v>43990</v>
      </c>
      <c r="AF37" s="150"/>
      <c r="AG37" s="150"/>
      <c r="AH37" s="150"/>
      <c r="AI37" s="150"/>
      <c r="AJ37" s="150"/>
      <c r="AK37" s="150">
        <f t="shared" si="32"/>
        <v>44110</v>
      </c>
      <c r="AL37" s="150"/>
      <c r="AM37" s="45"/>
      <c r="AN37" s="45"/>
    </row>
    <row r="39" spans="1:41" x14ac:dyDescent="0.25">
      <c r="A39" s="53" t="s">
        <v>48</v>
      </c>
      <c r="B39" s="15"/>
      <c r="C39" s="16"/>
      <c r="D39" s="16"/>
      <c r="E39" s="16"/>
      <c r="F39" s="16"/>
      <c r="G39" s="16"/>
      <c r="H39" s="16"/>
      <c r="I39" s="16"/>
      <c r="J39" s="16"/>
      <c r="K39" s="16"/>
    </row>
    <row r="40" spans="1:41" s="69" customFormat="1" x14ac:dyDescent="0.25">
      <c r="A40" s="143" t="s">
        <v>102</v>
      </c>
      <c r="B40" s="25"/>
      <c r="C40" s="47"/>
      <c r="D40" s="47"/>
      <c r="E40" s="47"/>
      <c r="F40" s="47"/>
      <c r="G40" s="47"/>
      <c r="H40" s="47"/>
      <c r="I40" s="47"/>
      <c r="J40" s="47"/>
      <c r="K40" s="47"/>
      <c r="L40" s="141">
        <f t="shared" ref="L40:AL40" si="33">(L17-$B$14)/7</f>
        <v>4.4285714285714288</v>
      </c>
      <c r="M40" s="141">
        <f t="shared" si="33"/>
        <v>5.5714285714285712</v>
      </c>
      <c r="N40" s="145">
        <f t="shared" si="33"/>
        <v>6</v>
      </c>
      <c r="O40" s="145">
        <f t="shared" si="33"/>
        <v>6.2857142857142856</v>
      </c>
      <c r="P40" s="141">
        <f t="shared" si="33"/>
        <v>6.7142857142857144</v>
      </c>
      <c r="Q40" s="145">
        <f t="shared" si="33"/>
        <v>7.1428571428571432</v>
      </c>
      <c r="R40" s="141">
        <f t="shared" si="33"/>
        <v>7.5714285714285712</v>
      </c>
      <c r="S40" s="145">
        <f t="shared" si="33"/>
        <v>7.8571428571428568</v>
      </c>
      <c r="T40" s="145">
        <f t="shared" si="33"/>
        <v>8.1428571428571423</v>
      </c>
      <c r="U40" s="142">
        <f t="shared" si="33"/>
        <v>8.4285714285714288</v>
      </c>
      <c r="V40" s="145">
        <f t="shared" si="33"/>
        <v>8.7142857142857135</v>
      </c>
      <c r="W40" s="145">
        <f t="shared" si="33"/>
        <v>9.1428571428571423</v>
      </c>
      <c r="X40" s="141">
        <f t="shared" si="33"/>
        <v>9.5714285714285712</v>
      </c>
      <c r="Y40" s="142">
        <f t="shared" si="33"/>
        <v>10.285714285714286</v>
      </c>
      <c r="Z40" s="142">
        <f t="shared" si="33"/>
        <v>11.571428571428571</v>
      </c>
      <c r="AA40" s="144">
        <f t="shared" si="33"/>
        <v>14.428571428571429</v>
      </c>
      <c r="AB40" s="144">
        <f t="shared" si="33"/>
        <v>17.285714285714285</v>
      </c>
      <c r="AC40" s="142">
        <f t="shared" si="33"/>
        <v>20.142857142857142</v>
      </c>
      <c r="AD40" s="144">
        <f t="shared" si="33"/>
        <v>23</v>
      </c>
      <c r="AE40" s="141">
        <f t="shared" si="33"/>
        <v>25.857142857142858</v>
      </c>
      <c r="AF40" s="141">
        <f t="shared" ref="AF40:AJ40" si="34">(AF17-$B$14)/7</f>
        <v>28.714285714285715</v>
      </c>
      <c r="AG40" s="141">
        <f t="shared" si="34"/>
        <v>31.571428571428573</v>
      </c>
      <c r="AH40" s="141">
        <f t="shared" si="34"/>
        <v>34.428571428571431</v>
      </c>
      <c r="AI40" s="141">
        <f t="shared" si="34"/>
        <v>37.285714285714285</v>
      </c>
      <c r="AJ40" s="141">
        <f t="shared" si="34"/>
        <v>40.142857142857146</v>
      </c>
      <c r="AK40" s="144">
        <f t="shared" si="33"/>
        <v>43</v>
      </c>
      <c r="AL40" s="144">
        <f t="shared" si="33"/>
        <v>51</v>
      </c>
    </row>
    <row r="41" spans="1:41" s="69" customFormat="1" x14ac:dyDescent="0.25">
      <c r="A41" s="143" t="s">
        <v>101</v>
      </c>
      <c r="B41" s="25"/>
      <c r="C41" s="47"/>
      <c r="D41" s="47"/>
      <c r="E41" s="47"/>
      <c r="F41" s="47"/>
      <c r="G41" s="47"/>
      <c r="H41" s="47"/>
      <c r="I41" s="47"/>
      <c r="J41" s="47"/>
      <c r="K41" s="47"/>
      <c r="L41" s="290">
        <f>L17-$B$14</f>
        <v>31</v>
      </c>
      <c r="M41" s="234">
        <f t="shared" ref="M41:Q41" si="35">M17-$B$14</f>
        <v>39</v>
      </c>
      <c r="N41" s="234">
        <f t="shared" si="35"/>
        <v>42</v>
      </c>
      <c r="O41" s="234">
        <f t="shared" si="35"/>
        <v>44</v>
      </c>
      <c r="P41" s="234">
        <f t="shared" si="35"/>
        <v>47</v>
      </c>
      <c r="Q41" s="234">
        <f t="shared" si="35"/>
        <v>50</v>
      </c>
      <c r="R41" s="234">
        <f>R17-$B$14</f>
        <v>53</v>
      </c>
      <c r="S41" s="234">
        <f t="shared" ref="S41:AL41" si="36">S17-$B$14</f>
        <v>55</v>
      </c>
      <c r="T41" s="234">
        <f t="shared" si="36"/>
        <v>57</v>
      </c>
      <c r="U41" s="234">
        <f t="shared" si="36"/>
        <v>59</v>
      </c>
      <c r="V41" s="234">
        <f t="shared" si="36"/>
        <v>61</v>
      </c>
      <c r="W41" s="234">
        <f t="shared" si="36"/>
        <v>64</v>
      </c>
      <c r="X41" s="234">
        <f t="shared" si="36"/>
        <v>67</v>
      </c>
      <c r="Y41" s="234">
        <f t="shared" si="36"/>
        <v>72</v>
      </c>
      <c r="Z41" s="234">
        <f t="shared" si="36"/>
        <v>81</v>
      </c>
      <c r="AA41" s="234">
        <f t="shared" si="36"/>
        <v>101</v>
      </c>
      <c r="AB41" s="234">
        <f t="shared" si="36"/>
        <v>121</v>
      </c>
      <c r="AC41" s="234">
        <f t="shared" si="36"/>
        <v>141</v>
      </c>
      <c r="AD41" s="234">
        <f t="shared" si="36"/>
        <v>161</v>
      </c>
      <c r="AE41" s="235">
        <f t="shared" si="36"/>
        <v>181</v>
      </c>
      <c r="AF41" s="275">
        <f t="shared" ref="AF41:AJ41" si="37">AF17-$B$14</f>
        <v>201</v>
      </c>
      <c r="AG41" s="191">
        <f t="shared" si="37"/>
        <v>221</v>
      </c>
      <c r="AH41" s="191">
        <f t="shared" si="37"/>
        <v>241</v>
      </c>
      <c r="AI41" s="191">
        <f t="shared" si="37"/>
        <v>261</v>
      </c>
      <c r="AJ41" s="191">
        <f t="shared" si="37"/>
        <v>281</v>
      </c>
      <c r="AK41" s="191">
        <f t="shared" si="36"/>
        <v>301</v>
      </c>
      <c r="AL41" s="191">
        <f t="shared" si="36"/>
        <v>357</v>
      </c>
    </row>
    <row r="42" spans="1:41" x14ac:dyDescent="0.25">
      <c r="A42" s="41" t="s">
        <v>42</v>
      </c>
      <c r="B42" s="16"/>
      <c r="C42" s="16"/>
      <c r="D42" s="16"/>
      <c r="E42" s="16"/>
      <c r="F42" s="16"/>
      <c r="G42" s="16"/>
      <c r="H42" s="16"/>
      <c r="I42" s="16"/>
      <c r="J42" s="16"/>
      <c r="K42" s="16"/>
      <c r="L42" s="146">
        <v>35</v>
      </c>
      <c r="M42" s="147">
        <v>68</v>
      </c>
      <c r="N42" s="148">
        <v>124</v>
      </c>
      <c r="O42" s="148">
        <v>221</v>
      </c>
      <c r="P42" s="148">
        <v>541</v>
      </c>
      <c r="Q42" s="148">
        <v>1301</v>
      </c>
      <c r="R42" s="148">
        <v>2770</v>
      </c>
      <c r="S42" s="148">
        <v>4596</v>
      </c>
      <c r="T42" s="148">
        <v>9296</v>
      </c>
      <c r="U42" s="148">
        <v>19497</v>
      </c>
      <c r="V42" s="148">
        <v>33745</v>
      </c>
      <c r="W42" s="148">
        <v>68673</v>
      </c>
      <c r="X42" s="148">
        <v>124256</v>
      </c>
      <c r="Y42" s="148">
        <v>246729</v>
      </c>
      <c r="Z42" s="148">
        <v>532879</v>
      </c>
      <c r="AA42" s="183">
        <f t="shared" ref="AA42:AE42" si="38">Z42*2</f>
        <v>1065758</v>
      </c>
      <c r="AB42" s="183">
        <f t="shared" si="38"/>
        <v>2131516</v>
      </c>
      <c r="AC42" s="183">
        <f t="shared" si="38"/>
        <v>4263032</v>
      </c>
      <c r="AD42" s="183">
        <f t="shared" si="38"/>
        <v>8526064</v>
      </c>
      <c r="AE42" s="183">
        <f t="shared" si="38"/>
        <v>17052128</v>
      </c>
      <c r="AF42" s="187">
        <f t="shared" ref="AF42" si="39">AE42*2</f>
        <v>34104256</v>
      </c>
      <c r="AG42" s="187">
        <f t="shared" ref="AG42" si="40">AF42*2</f>
        <v>68208512</v>
      </c>
      <c r="AH42" s="187">
        <f t="shared" ref="AH42" si="41">AG42*2</f>
        <v>136417024</v>
      </c>
      <c r="AI42" s="187">
        <f t="shared" ref="AI42" si="42">AH42*2</f>
        <v>272834048</v>
      </c>
      <c r="AJ42" s="187">
        <f t="shared" ref="AJ42" si="43">AI42*2</f>
        <v>545668096</v>
      </c>
      <c r="AK42" s="187">
        <f>AK18</f>
        <v>330565500</v>
      </c>
      <c r="AL42" s="188">
        <f>AK18</f>
        <v>330565500</v>
      </c>
    </row>
    <row r="43" spans="1:41" x14ac:dyDescent="0.25">
      <c r="A43" s="41" t="s">
        <v>158</v>
      </c>
      <c r="B43" s="16"/>
      <c r="C43" s="16"/>
      <c r="D43" s="16"/>
      <c r="E43" s="16"/>
      <c r="F43" s="16"/>
      <c r="G43" s="16"/>
      <c r="H43" s="16"/>
      <c r="I43" s="16"/>
      <c r="J43" s="16"/>
      <c r="K43" s="16"/>
      <c r="L43" s="194">
        <f>(L17-B14)/(LOG(L42/1)/LOG(2))</f>
        <v>6.0437296787073755</v>
      </c>
      <c r="M43" s="174">
        <f>(M17-$L$17)/(LOG(M42/$L$42)/LOG(2))</f>
        <v>8.3491634837954933</v>
      </c>
      <c r="N43" s="174">
        <f t="shared" ref="N43:AL43" si="44">(N17-$L$17)/(LOG(N42/$L$42)/LOG(2))</f>
        <v>6.0276836381926202</v>
      </c>
      <c r="O43" s="174">
        <f t="shared" si="44"/>
        <v>4.8897556767514709</v>
      </c>
      <c r="P43" s="174">
        <f t="shared" si="44"/>
        <v>4.0504260147273037</v>
      </c>
      <c r="Q43" s="174">
        <f t="shared" si="44"/>
        <v>3.6425526786068976</v>
      </c>
      <c r="R43" s="174">
        <f t="shared" si="44"/>
        <v>3.4885266554096432</v>
      </c>
      <c r="S43" s="174">
        <f t="shared" si="44"/>
        <v>3.4106023942314652</v>
      </c>
      <c r="T43" s="174">
        <f t="shared" si="44"/>
        <v>3.2285658193110911</v>
      </c>
      <c r="U43" s="174">
        <f t="shared" si="44"/>
        <v>3.0696094738227448</v>
      </c>
      <c r="V43" s="174">
        <f t="shared" si="44"/>
        <v>3.0262975828994785</v>
      </c>
      <c r="W43" s="174">
        <f t="shared" si="44"/>
        <v>3.0169573981449558</v>
      </c>
      <c r="X43" s="174">
        <f t="shared" si="44"/>
        <v>3.0524841647231944</v>
      </c>
      <c r="Y43" s="174">
        <f t="shared" si="44"/>
        <v>3.2073133617644127</v>
      </c>
      <c r="Z43" s="174">
        <f t="shared" si="44"/>
        <v>3.598632838088669</v>
      </c>
      <c r="AA43" s="184">
        <f t="shared" ref="AA43" si="45">(AA17-$L$17)/(LOG(AA42/$L$42)/LOG(2))</f>
        <v>4.6998269419886523</v>
      </c>
      <c r="AB43" s="184">
        <f t="shared" si="44"/>
        <v>5.6624552170310309</v>
      </c>
      <c r="AC43" s="184">
        <f t="shared" si="44"/>
        <v>6.5111236426066794</v>
      </c>
      <c r="AD43" s="184">
        <f t="shared" si="44"/>
        <v>7.2649378623736265</v>
      </c>
      <c r="AE43" s="184">
        <f t="shared" si="44"/>
        <v>7.938958748873322</v>
      </c>
      <c r="AF43" s="189">
        <f t="shared" ref="AF43" si="46">(AF17-$L$17)/(LOG(AF42/$L$42)/LOG(2))</f>
        <v>8.545218975733512</v>
      </c>
      <c r="AG43" s="189">
        <f t="shared" ref="AG43" si="47">(AG17-$L$17)/(LOG(AG42/$L$42)/LOG(2))</f>
        <v>9.0934476694670465</v>
      </c>
      <c r="AH43" s="189">
        <f t="shared" ref="AH43" si="48">(AH17-$L$17)/(LOG(AH42/$L$42)/LOG(2))</f>
        <v>9.5915964736238752</v>
      </c>
      <c r="AI43" s="189">
        <f t="shared" ref="AI43" si="49">(AI17-$L$17)/(LOG(AI42/$L$42)/LOG(2))</f>
        <v>10.046227744414034</v>
      </c>
      <c r="AJ43" s="189">
        <f t="shared" ref="AJ43" si="50">(AJ17-$L$17)/(LOG(AJ42/$L$42)/LOG(2))</f>
        <v>10.462805267565606</v>
      </c>
      <c r="AK43" s="189">
        <f t="shared" si="44"/>
        <v>11.652457477451284</v>
      </c>
      <c r="AL43" s="190">
        <f t="shared" si="44"/>
        <v>14.069263472774512</v>
      </c>
    </row>
    <row r="44" spans="1:41" x14ac:dyDescent="0.25">
      <c r="A44" s="41" t="s">
        <v>199</v>
      </c>
      <c r="B44" s="16"/>
      <c r="C44" s="16"/>
      <c r="D44" s="16"/>
      <c r="E44" s="16"/>
      <c r="F44" s="16"/>
      <c r="G44" s="16"/>
      <c r="H44" s="16"/>
      <c r="I44" s="16"/>
      <c r="J44" s="16"/>
      <c r="K44" s="16"/>
      <c r="L44" s="279">
        <v>29</v>
      </c>
      <c r="M44" s="276">
        <v>60</v>
      </c>
      <c r="N44" s="276">
        <v>106</v>
      </c>
      <c r="O44" s="276">
        <v>200</v>
      </c>
      <c r="P44" s="276">
        <v>504</v>
      </c>
      <c r="Q44" s="276">
        <v>1248</v>
      </c>
      <c r="R44" s="276">
        <v>2664</v>
      </c>
      <c r="S44" s="276">
        <v>4434</v>
      </c>
      <c r="T44" s="276">
        <v>9032</v>
      </c>
      <c r="U44" s="276">
        <v>19092</v>
      </c>
      <c r="V44" s="276">
        <v>33150</v>
      </c>
      <c r="W44" s="276">
        <v>67231</v>
      </c>
      <c r="X44" s="276">
        <v>118766</v>
      </c>
      <c r="Y44" s="276">
        <v>230155</v>
      </c>
      <c r="Z44" s="276">
        <v>481849</v>
      </c>
      <c r="AA44" s="280"/>
      <c r="AB44" s="280"/>
      <c r="AC44" s="280"/>
      <c r="AD44" s="280"/>
      <c r="AE44" s="280"/>
      <c r="AF44" s="189"/>
      <c r="AG44" s="189"/>
      <c r="AH44" s="189"/>
      <c r="AI44" s="189"/>
      <c r="AJ44" s="189"/>
      <c r="AK44" s="189"/>
      <c r="AL44" s="190"/>
    </row>
    <row r="45" spans="1:41" x14ac:dyDescent="0.25">
      <c r="A45" s="41" t="s">
        <v>63</v>
      </c>
      <c r="B45" s="16"/>
      <c r="C45" s="16"/>
      <c r="D45" s="16"/>
      <c r="E45" s="16"/>
      <c r="F45" s="16"/>
      <c r="G45" s="16"/>
      <c r="H45" s="16"/>
      <c r="I45" s="16"/>
      <c r="J45" s="16"/>
      <c r="K45" s="16"/>
      <c r="L45" s="233">
        <f>L42-L46-L44</f>
        <v>6</v>
      </c>
      <c r="M45" s="149">
        <f t="shared" ref="M45:Z45" si="51">M42-M46-M44</f>
        <v>7</v>
      </c>
      <c r="N45" s="149">
        <f t="shared" si="51"/>
        <v>9</v>
      </c>
      <c r="O45" s="149">
        <f t="shared" si="51"/>
        <v>9</v>
      </c>
      <c r="P45" s="149">
        <f t="shared" si="51"/>
        <v>15</v>
      </c>
      <c r="Q45" s="149">
        <f t="shared" si="51"/>
        <v>15</v>
      </c>
      <c r="R45" s="149">
        <f t="shared" si="51"/>
        <v>49</v>
      </c>
      <c r="S45" s="149">
        <f t="shared" si="51"/>
        <v>75</v>
      </c>
      <c r="T45" s="149">
        <f t="shared" si="51"/>
        <v>114</v>
      </c>
      <c r="U45" s="149">
        <f t="shared" si="51"/>
        <v>150</v>
      </c>
      <c r="V45" s="149">
        <f t="shared" si="51"/>
        <v>181</v>
      </c>
      <c r="W45" s="149">
        <f t="shared" si="51"/>
        <v>414</v>
      </c>
      <c r="X45" s="149">
        <f t="shared" si="51"/>
        <v>3268</v>
      </c>
      <c r="Y45" s="149">
        <f t="shared" si="51"/>
        <v>10486</v>
      </c>
      <c r="Z45" s="149">
        <f t="shared" si="51"/>
        <v>30453</v>
      </c>
      <c r="AA45" s="254">
        <v>32634</v>
      </c>
      <c r="AB45" s="254"/>
      <c r="AC45" s="185"/>
      <c r="AD45" s="185"/>
      <c r="AE45" s="185"/>
      <c r="AF45" s="187"/>
      <c r="AG45" s="107"/>
      <c r="AH45" s="107"/>
      <c r="AI45" s="107"/>
      <c r="AJ45" s="107"/>
      <c r="AK45" s="107"/>
      <c r="AL45" s="108"/>
    </row>
    <row r="46" spans="1:41" x14ac:dyDescent="0.25">
      <c r="A46" s="49" t="s">
        <v>43</v>
      </c>
      <c r="B46" s="38"/>
      <c r="C46" s="39"/>
      <c r="D46" s="39"/>
      <c r="E46" s="39"/>
      <c r="F46" s="39"/>
      <c r="G46" s="39"/>
      <c r="H46" s="39"/>
      <c r="I46" s="39"/>
      <c r="J46" s="39"/>
      <c r="K46" s="39"/>
      <c r="L46" s="67">
        <v>0</v>
      </c>
      <c r="M46" s="68">
        <v>1</v>
      </c>
      <c r="N46" s="52">
        <v>9</v>
      </c>
      <c r="O46" s="52">
        <v>12</v>
      </c>
      <c r="P46" s="52">
        <v>22</v>
      </c>
      <c r="Q46" s="52">
        <v>38</v>
      </c>
      <c r="R46" s="52">
        <v>57</v>
      </c>
      <c r="S46" s="52">
        <v>87</v>
      </c>
      <c r="T46" s="52">
        <v>150</v>
      </c>
      <c r="U46" s="52">
        <v>255</v>
      </c>
      <c r="V46" s="52">
        <v>414</v>
      </c>
      <c r="W46" s="52">
        <v>1028</v>
      </c>
      <c r="X46" s="52">
        <v>2222</v>
      </c>
      <c r="Y46" s="52">
        <v>6088</v>
      </c>
      <c r="Z46" s="52">
        <v>20577</v>
      </c>
      <c r="AA46" s="255">
        <v>22108</v>
      </c>
      <c r="AB46" s="255"/>
      <c r="AC46" s="186"/>
      <c r="AD46" s="186"/>
      <c r="AE46" s="186"/>
      <c r="AF46" s="187"/>
      <c r="AG46" s="107"/>
      <c r="AH46" s="107"/>
      <c r="AI46" s="107"/>
      <c r="AJ46" s="107"/>
      <c r="AK46" s="107"/>
      <c r="AL46" s="108"/>
    </row>
    <row r="47" spans="1:41" x14ac:dyDescent="0.25">
      <c r="B47" s="3"/>
      <c r="L47" s="35"/>
      <c r="M47" s="35"/>
      <c r="N47" s="35"/>
      <c r="O47" s="35"/>
      <c r="P47" s="35"/>
      <c r="Q47" s="35"/>
      <c r="R47" s="35"/>
      <c r="S47" s="35"/>
      <c r="T47" s="35"/>
      <c r="U47" s="35"/>
      <c r="V47" s="35"/>
      <c r="W47" s="35"/>
      <c r="X47" s="35"/>
      <c r="Y47" s="35"/>
      <c r="Z47" s="35"/>
      <c r="AA47" s="35"/>
      <c r="AB47" s="35"/>
      <c r="AC47" s="35"/>
    </row>
    <row r="48" spans="1:41" x14ac:dyDescent="0.25">
      <c r="A48" s="74" t="s">
        <v>49</v>
      </c>
      <c r="AC48" s="16"/>
    </row>
    <row r="49" spans="1:38" x14ac:dyDescent="0.25">
      <c r="A49" s="4" t="s">
        <v>0</v>
      </c>
      <c r="B49" s="193" t="s">
        <v>119</v>
      </c>
      <c r="C49" s="5" t="s">
        <v>3</v>
      </c>
      <c r="D49" s="193" t="s">
        <v>51</v>
      </c>
      <c r="E49" s="58" t="s">
        <v>2</v>
      </c>
      <c r="F49" s="9" t="s">
        <v>3</v>
      </c>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5"/>
      <c r="AL49" s="47"/>
    </row>
    <row r="50" spans="1:38" x14ac:dyDescent="0.25">
      <c r="A50" s="41" t="s">
        <v>12</v>
      </c>
      <c r="B50" s="13">
        <f>'Population by Age - Wikipedia'!D41</f>
        <v>3.6394890344941602E-2</v>
      </c>
      <c r="C50" s="12">
        <f>$B$5*B50</f>
        <v>12030895.124320794</v>
      </c>
      <c r="D50" s="22">
        <f>'AU Infection Rate by Age'!C4</f>
        <v>2.8847876724601325E-2</v>
      </c>
      <c r="E50" s="5"/>
      <c r="F50" s="16"/>
      <c r="G50" s="16"/>
      <c r="H50" s="16"/>
      <c r="I50" s="16"/>
      <c r="J50" s="16"/>
      <c r="K50" s="16"/>
      <c r="L50" s="18">
        <f t="shared" ref="L50:AK50" si="52">L$18*$D$50</f>
        <v>0.90149614764379138</v>
      </c>
      <c r="M50" s="19">
        <f t="shared" si="52"/>
        <v>1.8029922952875828</v>
      </c>
      <c r="N50" s="19">
        <f t="shared" si="52"/>
        <v>3.6059845905751655</v>
      </c>
      <c r="O50" s="19">
        <f t="shared" si="52"/>
        <v>7.211969181150331</v>
      </c>
      <c r="P50" s="19">
        <f t="shared" si="52"/>
        <v>14.423938362300662</v>
      </c>
      <c r="Q50" s="19">
        <f t="shared" si="52"/>
        <v>28.847876724601324</v>
      </c>
      <c r="R50" s="19">
        <f t="shared" si="52"/>
        <v>57.695753449202648</v>
      </c>
      <c r="S50" s="19">
        <f t="shared" si="52"/>
        <v>115.3915068984053</v>
      </c>
      <c r="T50" s="19">
        <f t="shared" si="52"/>
        <v>230.78301379681059</v>
      </c>
      <c r="U50" s="19">
        <f t="shared" si="52"/>
        <v>461.56602759362119</v>
      </c>
      <c r="V50" s="19">
        <f t="shared" si="52"/>
        <v>923.13205518724237</v>
      </c>
      <c r="W50" s="19">
        <f t="shared" si="52"/>
        <v>1846.2641103744847</v>
      </c>
      <c r="X50" s="19">
        <f t="shared" si="52"/>
        <v>3692.5282207489695</v>
      </c>
      <c r="Y50" s="19">
        <f t="shared" si="52"/>
        <v>7385.056441497939</v>
      </c>
      <c r="Z50" s="19">
        <f t="shared" si="52"/>
        <v>14770.112882995878</v>
      </c>
      <c r="AA50" s="19">
        <f t="shared" si="52"/>
        <v>29540.225765991756</v>
      </c>
      <c r="AB50" s="19">
        <f t="shared" si="52"/>
        <v>59080.451531983512</v>
      </c>
      <c r="AC50" s="19">
        <f t="shared" si="52"/>
        <v>118160.90306396702</v>
      </c>
      <c r="AD50" s="19">
        <f t="shared" si="52"/>
        <v>236321.80612793405</v>
      </c>
      <c r="AE50" s="19">
        <f t="shared" si="52"/>
        <v>472643.61225586809</v>
      </c>
      <c r="AF50" s="18">
        <f t="shared" si="52"/>
        <v>945287.22451173619</v>
      </c>
      <c r="AG50" s="19">
        <f t="shared" si="52"/>
        <v>1890574.4490234724</v>
      </c>
      <c r="AH50" s="19">
        <f t="shared" si="52"/>
        <v>3781148.8980469448</v>
      </c>
      <c r="AI50" s="19">
        <f t="shared" si="52"/>
        <v>7562297.7960938895</v>
      </c>
      <c r="AJ50" s="19">
        <f t="shared" si="52"/>
        <v>9536112.7934061997</v>
      </c>
      <c r="AK50" s="60">
        <f t="shared" si="52"/>
        <v>9536112.7934061997</v>
      </c>
      <c r="AL50" s="45"/>
    </row>
    <row r="51" spans="1:38" x14ac:dyDescent="0.25">
      <c r="A51" s="41"/>
      <c r="B51" s="6"/>
      <c r="C51" s="10"/>
      <c r="D51" s="8"/>
      <c r="E51" s="27">
        <v>0.14799999999999999</v>
      </c>
      <c r="F51" s="10"/>
      <c r="G51" s="10"/>
      <c r="H51" s="10"/>
      <c r="I51" s="10"/>
      <c r="J51" s="10"/>
      <c r="K51" s="10"/>
      <c r="L51" s="29">
        <f t="shared" ref="L51:AK51" si="53">L$18*$D$50*$E$51</f>
        <v>0.13342142985128111</v>
      </c>
      <c r="M51" s="30">
        <f t="shared" si="53"/>
        <v>0.26684285970256222</v>
      </c>
      <c r="N51" s="30">
        <f t="shared" si="53"/>
        <v>0.53368571940512444</v>
      </c>
      <c r="O51" s="30">
        <f t="shared" si="53"/>
        <v>1.0673714388102489</v>
      </c>
      <c r="P51" s="30">
        <f t="shared" si="53"/>
        <v>2.1347428776204977</v>
      </c>
      <c r="Q51" s="30">
        <f t="shared" si="53"/>
        <v>4.2694857552409955</v>
      </c>
      <c r="R51" s="30">
        <f t="shared" si="53"/>
        <v>8.538971510481991</v>
      </c>
      <c r="S51" s="30">
        <f t="shared" si="53"/>
        <v>17.077943020963982</v>
      </c>
      <c r="T51" s="30">
        <f t="shared" si="53"/>
        <v>34.155886041927964</v>
      </c>
      <c r="U51" s="30">
        <f t="shared" si="53"/>
        <v>68.311772083855928</v>
      </c>
      <c r="V51" s="30">
        <f t="shared" si="53"/>
        <v>136.62354416771186</v>
      </c>
      <c r="W51" s="30">
        <f t="shared" si="53"/>
        <v>273.24708833542371</v>
      </c>
      <c r="X51" s="30">
        <f t="shared" si="53"/>
        <v>546.49417667084742</v>
      </c>
      <c r="Y51" s="30">
        <f t="shared" si="53"/>
        <v>1092.9883533416948</v>
      </c>
      <c r="Z51" s="30">
        <f t="shared" si="53"/>
        <v>2185.9767066833897</v>
      </c>
      <c r="AA51" s="30">
        <f t="shared" si="53"/>
        <v>4371.9534133667794</v>
      </c>
      <c r="AB51" s="30">
        <f t="shared" si="53"/>
        <v>8743.9068267335588</v>
      </c>
      <c r="AC51" s="30">
        <f t="shared" si="53"/>
        <v>17487.813653467118</v>
      </c>
      <c r="AD51" s="30">
        <f t="shared" si="53"/>
        <v>34975.627306934235</v>
      </c>
      <c r="AE51" s="30">
        <f t="shared" si="53"/>
        <v>69951.25461386847</v>
      </c>
      <c r="AF51" s="29">
        <f t="shared" si="53"/>
        <v>139902.50922773694</v>
      </c>
      <c r="AG51" s="30">
        <f t="shared" si="53"/>
        <v>279805.01845547388</v>
      </c>
      <c r="AH51" s="30">
        <f t="shared" si="53"/>
        <v>559610.03691094776</v>
      </c>
      <c r="AI51" s="30">
        <f t="shared" si="53"/>
        <v>1119220.0738218955</v>
      </c>
      <c r="AJ51" s="30">
        <f t="shared" si="53"/>
        <v>1411344.6934241175</v>
      </c>
      <c r="AK51" s="71">
        <f t="shared" si="53"/>
        <v>1411344.6934241175</v>
      </c>
      <c r="AL51" s="45"/>
    </row>
    <row r="52" spans="1:38" x14ac:dyDescent="0.25">
      <c r="A52" s="41" t="s">
        <v>13</v>
      </c>
      <c r="B52" s="6">
        <f>'Population by Age - Wikipedia'!D37</f>
        <v>5.3752877231864643E-2</v>
      </c>
      <c r="C52" s="10">
        <f t="shared" ref="C52:C66" si="54">$B$5*B52</f>
        <v>17768846.73858995</v>
      </c>
      <c r="D52" s="23">
        <f>'AU Infection Rate by Age'!C5</f>
        <v>0.10661171833004837</v>
      </c>
      <c r="E52" s="17"/>
      <c r="F52" s="16"/>
      <c r="G52" s="16"/>
      <c r="H52" s="16"/>
      <c r="I52" s="16"/>
      <c r="J52" s="16"/>
      <c r="K52" s="16"/>
      <c r="L52" s="20">
        <f t="shared" ref="L52:AK52" si="55">L$18*$D$52</f>
        <v>3.3316161978140117</v>
      </c>
      <c r="M52" s="21">
        <f t="shared" si="55"/>
        <v>6.6632323956280235</v>
      </c>
      <c r="N52" s="21">
        <f t="shared" si="55"/>
        <v>13.326464791256047</v>
      </c>
      <c r="O52" s="21">
        <f t="shared" si="55"/>
        <v>26.652929582512094</v>
      </c>
      <c r="P52" s="21">
        <f t="shared" si="55"/>
        <v>53.305859165024188</v>
      </c>
      <c r="Q52" s="21">
        <f t="shared" si="55"/>
        <v>106.61171833004838</v>
      </c>
      <c r="R52" s="21">
        <f t="shared" si="55"/>
        <v>213.22343666009675</v>
      </c>
      <c r="S52" s="21">
        <f t="shared" si="55"/>
        <v>426.4468733201935</v>
      </c>
      <c r="T52" s="21">
        <f t="shared" si="55"/>
        <v>852.89374664038701</v>
      </c>
      <c r="U52" s="21">
        <f t="shared" si="55"/>
        <v>1705.787493280774</v>
      </c>
      <c r="V52" s="21">
        <f t="shared" si="55"/>
        <v>3411.574986561548</v>
      </c>
      <c r="W52" s="21">
        <f t="shared" si="55"/>
        <v>6823.1499731230961</v>
      </c>
      <c r="X52" s="21">
        <f t="shared" si="55"/>
        <v>13646.299946246192</v>
      </c>
      <c r="Y52" s="21">
        <f t="shared" si="55"/>
        <v>27292.599892492384</v>
      </c>
      <c r="Z52" s="21">
        <f t="shared" si="55"/>
        <v>54585.199784984768</v>
      </c>
      <c r="AA52" s="21">
        <f t="shared" si="55"/>
        <v>109170.39956996954</v>
      </c>
      <c r="AB52" s="21">
        <f t="shared" si="55"/>
        <v>218340.79913993907</v>
      </c>
      <c r="AC52" s="21">
        <f t="shared" si="55"/>
        <v>436681.59827987815</v>
      </c>
      <c r="AD52" s="21">
        <f t="shared" si="55"/>
        <v>873363.1965597563</v>
      </c>
      <c r="AE52" s="21">
        <f t="shared" si="55"/>
        <v>1746726.3931195126</v>
      </c>
      <c r="AF52" s="20">
        <f t="shared" si="55"/>
        <v>3493452.7862390252</v>
      </c>
      <c r="AG52" s="21">
        <f t="shared" si="55"/>
        <v>6986905.5724780504</v>
      </c>
      <c r="AH52" s="21">
        <f t="shared" si="55"/>
        <v>13973811.144956101</v>
      </c>
      <c r="AI52" s="21">
        <f t="shared" si="55"/>
        <v>27947622.289912201</v>
      </c>
      <c r="AJ52" s="21">
        <f t="shared" si="55"/>
        <v>35242155.975631602</v>
      </c>
      <c r="AK52" s="72">
        <f t="shared" si="55"/>
        <v>35242155.975631602</v>
      </c>
      <c r="AL52" s="45"/>
    </row>
    <row r="53" spans="1:38" x14ac:dyDescent="0.25">
      <c r="A53" s="41"/>
      <c r="B53" s="6"/>
      <c r="C53" s="10"/>
      <c r="D53" s="8"/>
      <c r="E53" s="27">
        <v>0.08</v>
      </c>
      <c r="F53" s="10"/>
      <c r="G53" s="10"/>
      <c r="H53" s="10"/>
      <c r="I53" s="10"/>
      <c r="J53" s="10"/>
      <c r="K53" s="10"/>
      <c r="L53" s="29">
        <f t="shared" ref="L53:AK53" si="56">L$18*$D$52*$E$53</f>
        <v>0.26652929582512097</v>
      </c>
      <c r="M53" s="30">
        <f t="shared" si="56"/>
        <v>0.53305859165024194</v>
      </c>
      <c r="N53" s="30">
        <f t="shared" si="56"/>
        <v>1.0661171833004839</v>
      </c>
      <c r="O53" s="30">
        <f t="shared" si="56"/>
        <v>2.1322343666009678</v>
      </c>
      <c r="P53" s="30">
        <f t="shared" si="56"/>
        <v>4.2644687332019355</v>
      </c>
      <c r="Q53" s="30">
        <f t="shared" si="56"/>
        <v>8.5289374664038711</v>
      </c>
      <c r="R53" s="30">
        <f t="shared" si="56"/>
        <v>17.057874932807742</v>
      </c>
      <c r="S53" s="30">
        <f t="shared" si="56"/>
        <v>34.115749865615484</v>
      </c>
      <c r="T53" s="30">
        <f t="shared" si="56"/>
        <v>68.231499731230969</v>
      </c>
      <c r="U53" s="30">
        <f t="shared" si="56"/>
        <v>136.46299946246194</v>
      </c>
      <c r="V53" s="30">
        <f t="shared" si="56"/>
        <v>272.92599892492387</v>
      </c>
      <c r="W53" s="30">
        <f t="shared" si="56"/>
        <v>545.85199784984775</v>
      </c>
      <c r="X53" s="30">
        <f t="shared" si="56"/>
        <v>1091.7039956996955</v>
      </c>
      <c r="Y53" s="30">
        <f t="shared" si="56"/>
        <v>2183.407991399391</v>
      </c>
      <c r="Z53" s="30">
        <f t="shared" si="56"/>
        <v>4366.815982798782</v>
      </c>
      <c r="AA53" s="30">
        <f t="shared" si="56"/>
        <v>8733.631965597564</v>
      </c>
      <c r="AB53" s="30">
        <f t="shared" si="56"/>
        <v>17467.263931195128</v>
      </c>
      <c r="AC53" s="30">
        <f t="shared" si="56"/>
        <v>34934.527862390256</v>
      </c>
      <c r="AD53" s="30">
        <f t="shared" si="56"/>
        <v>69869.055724780512</v>
      </c>
      <c r="AE53" s="30">
        <f t="shared" si="56"/>
        <v>139738.11144956102</v>
      </c>
      <c r="AF53" s="29">
        <f t="shared" si="56"/>
        <v>279476.22289912205</v>
      </c>
      <c r="AG53" s="30">
        <f t="shared" si="56"/>
        <v>558952.44579824409</v>
      </c>
      <c r="AH53" s="30">
        <f t="shared" si="56"/>
        <v>1117904.8915964882</v>
      </c>
      <c r="AI53" s="30">
        <f t="shared" si="56"/>
        <v>2235809.7831929764</v>
      </c>
      <c r="AJ53" s="30">
        <f t="shared" si="56"/>
        <v>2819372.4780505281</v>
      </c>
      <c r="AK53" s="71">
        <f t="shared" si="56"/>
        <v>2819372.4780505281</v>
      </c>
      <c r="AL53" s="45"/>
    </row>
    <row r="54" spans="1:38" x14ac:dyDescent="0.25">
      <c r="A54" s="41" t="s">
        <v>14</v>
      </c>
      <c r="B54" s="6">
        <f>'Population by Age - Wikipedia'!D33</f>
        <v>9.4748533661399834E-2</v>
      </c>
      <c r="C54" s="10">
        <f t="shared" si="54"/>
        <v>31320596.404047467</v>
      </c>
      <c r="D54" s="23">
        <f>'AU Infection Rate by Age'!C6</f>
        <v>0.16735352087439526</v>
      </c>
      <c r="E54" s="17"/>
      <c r="F54" s="10"/>
      <c r="G54" s="10"/>
      <c r="H54" s="10"/>
      <c r="I54" s="10"/>
      <c r="J54" s="10"/>
      <c r="K54" s="10"/>
      <c r="L54" s="20">
        <f t="shared" ref="L54:AK54" si="57">L$18*$D$54</f>
        <v>5.2297975273248518</v>
      </c>
      <c r="M54" s="21">
        <f t="shared" si="57"/>
        <v>10.459595054649704</v>
      </c>
      <c r="N54" s="21">
        <f t="shared" si="57"/>
        <v>20.919190109299407</v>
      </c>
      <c r="O54" s="21">
        <f t="shared" si="57"/>
        <v>41.838380218598815</v>
      </c>
      <c r="P54" s="21">
        <f t="shared" si="57"/>
        <v>83.676760437197629</v>
      </c>
      <c r="Q54" s="21">
        <f t="shared" si="57"/>
        <v>167.35352087439526</v>
      </c>
      <c r="R54" s="21">
        <f t="shared" si="57"/>
        <v>334.70704174879052</v>
      </c>
      <c r="S54" s="21">
        <f t="shared" si="57"/>
        <v>669.41408349758103</v>
      </c>
      <c r="T54" s="21">
        <f t="shared" si="57"/>
        <v>1338.8281669951621</v>
      </c>
      <c r="U54" s="21">
        <f t="shared" si="57"/>
        <v>2677.6563339903241</v>
      </c>
      <c r="V54" s="21">
        <f t="shared" si="57"/>
        <v>5355.3126679806483</v>
      </c>
      <c r="W54" s="21">
        <f t="shared" si="57"/>
        <v>10710.625335961297</v>
      </c>
      <c r="X54" s="21">
        <f t="shared" si="57"/>
        <v>21421.250671922593</v>
      </c>
      <c r="Y54" s="21">
        <f t="shared" si="57"/>
        <v>42842.501343845186</v>
      </c>
      <c r="Z54" s="21">
        <f t="shared" si="57"/>
        <v>85685.002687690372</v>
      </c>
      <c r="AA54" s="21">
        <f t="shared" si="57"/>
        <v>171370.00537538074</v>
      </c>
      <c r="AB54" s="21">
        <f t="shared" si="57"/>
        <v>342740.01075076149</v>
      </c>
      <c r="AC54" s="21">
        <f t="shared" si="57"/>
        <v>685480.02150152298</v>
      </c>
      <c r="AD54" s="21">
        <f t="shared" si="57"/>
        <v>1370960.043003046</v>
      </c>
      <c r="AE54" s="21">
        <f t="shared" si="57"/>
        <v>2741920.0860060919</v>
      </c>
      <c r="AF54" s="20">
        <f t="shared" si="57"/>
        <v>5483840.1720121838</v>
      </c>
      <c r="AG54" s="21">
        <f t="shared" si="57"/>
        <v>10967680.344024368</v>
      </c>
      <c r="AH54" s="21">
        <f t="shared" si="57"/>
        <v>21935360.688048735</v>
      </c>
      <c r="AI54" s="21">
        <f t="shared" si="57"/>
        <v>43870721.376097471</v>
      </c>
      <c r="AJ54" s="21">
        <f t="shared" si="57"/>
        <v>55321300.304604903</v>
      </c>
      <c r="AK54" s="72">
        <f t="shared" si="57"/>
        <v>55321300.304604903</v>
      </c>
      <c r="AL54" s="45"/>
    </row>
    <row r="55" spans="1:38" x14ac:dyDescent="0.25">
      <c r="A55" s="41"/>
      <c r="B55" s="6"/>
      <c r="C55" s="10"/>
      <c r="D55" s="8"/>
      <c r="E55" s="27">
        <v>3.5999999999999997E-2</v>
      </c>
      <c r="F55" s="10"/>
      <c r="G55" s="10"/>
      <c r="H55" s="10"/>
      <c r="I55" s="10"/>
      <c r="J55" s="10"/>
      <c r="K55" s="10"/>
      <c r="L55" s="29">
        <f t="shared" ref="L55:AK55" si="58">L$18*$D$54*$E$55</f>
        <v>0.18827271098369466</v>
      </c>
      <c r="M55" s="30">
        <f t="shared" si="58"/>
        <v>0.37654542196738933</v>
      </c>
      <c r="N55" s="30">
        <f t="shared" si="58"/>
        <v>0.75309084393477865</v>
      </c>
      <c r="O55" s="30">
        <f t="shared" si="58"/>
        <v>1.5061816878695573</v>
      </c>
      <c r="P55" s="30">
        <f t="shared" si="58"/>
        <v>3.0123633757391146</v>
      </c>
      <c r="Q55" s="30">
        <f t="shared" si="58"/>
        <v>6.0247267514782292</v>
      </c>
      <c r="R55" s="30">
        <f t="shared" si="58"/>
        <v>12.049453502956458</v>
      </c>
      <c r="S55" s="30">
        <f t="shared" si="58"/>
        <v>24.098907005912917</v>
      </c>
      <c r="T55" s="30">
        <f t="shared" si="58"/>
        <v>48.197814011825834</v>
      </c>
      <c r="U55" s="30">
        <f t="shared" si="58"/>
        <v>96.395628023651668</v>
      </c>
      <c r="V55" s="30">
        <f t="shared" si="58"/>
        <v>192.79125604730334</v>
      </c>
      <c r="W55" s="30">
        <f t="shared" si="58"/>
        <v>385.58251209460667</v>
      </c>
      <c r="X55" s="30">
        <f t="shared" si="58"/>
        <v>771.16502418921334</v>
      </c>
      <c r="Y55" s="30">
        <f t="shared" si="58"/>
        <v>1542.3300483784267</v>
      </c>
      <c r="Z55" s="30">
        <f t="shared" si="58"/>
        <v>3084.6600967568534</v>
      </c>
      <c r="AA55" s="30">
        <f t="shared" si="58"/>
        <v>6169.3201935137067</v>
      </c>
      <c r="AB55" s="30">
        <f t="shared" si="58"/>
        <v>12338.640387027413</v>
      </c>
      <c r="AC55" s="30">
        <f t="shared" si="58"/>
        <v>24677.280774054827</v>
      </c>
      <c r="AD55" s="30">
        <f t="shared" si="58"/>
        <v>49354.561548109654</v>
      </c>
      <c r="AE55" s="30">
        <f t="shared" si="58"/>
        <v>98709.123096219308</v>
      </c>
      <c r="AF55" s="29">
        <f t="shared" si="58"/>
        <v>197418.24619243862</v>
      </c>
      <c r="AG55" s="30">
        <f t="shared" si="58"/>
        <v>394836.49238487723</v>
      </c>
      <c r="AH55" s="30">
        <f t="shared" si="58"/>
        <v>789672.98476975446</v>
      </c>
      <c r="AI55" s="30">
        <f t="shared" si="58"/>
        <v>1579345.9695395089</v>
      </c>
      <c r="AJ55" s="30">
        <f t="shared" si="58"/>
        <v>1991566.8109657764</v>
      </c>
      <c r="AK55" s="71">
        <f t="shared" si="58"/>
        <v>1991566.8109657764</v>
      </c>
      <c r="AL55" s="45"/>
    </row>
    <row r="56" spans="1:38" x14ac:dyDescent="0.25">
      <c r="A56" s="41" t="s">
        <v>15</v>
      </c>
      <c r="B56" s="6">
        <f>'Population by Age - Wikipedia'!D29</f>
        <v>0.13591428809571979</v>
      </c>
      <c r="C56" s="10">
        <f t="shared" si="54"/>
        <v>44928574.60150566</v>
      </c>
      <c r="D56" s="23">
        <f>'AU Infection Rate by Age'!C7</f>
        <v>0.15534850385235621</v>
      </c>
      <c r="E56" s="17"/>
      <c r="F56" s="10"/>
      <c r="G56" s="10"/>
      <c r="H56" s="10"/>
      <c r="I56" s="10"/>
      <c r="J56" s="10"/>
      <c r="K56" s="10"/>
      <c r="L56" s="20">
        <f t="shared" ref="L56:AK56" si="59">L$18*$D$56</f>
        <v>4.8546407453861313</v>
      </c>
      <c r="M56" s="21">
        <f t="shared" si="59"/>
        <v>9.7092814907722627</v>
      </c>
      <c r="N56" s="21">
        <f t="shared" si="59"/>
        <v>19.418562981544525</v>
      </c>
      <c r="O56" s="21">
        <f t="shared" si="59"/>
        <v>38.837125963089051</v>
      </c>
      <c r="P56" s="21">
        <f t="shared" si="59"/>
        <v>77.674251926178101</v>
      </c>
      <c r="Q56" s="21">
        <f t="shared" si="59"/>
        <v>155.3485038523562</v>
      </c>
      <c r="R56" s="21">
        <f t="shared" si="59"/>
        <v>310.69700770471241</v>
      </c>
      <c r="S56" s="21">
        <f t="shared" si="59"/>
        <v>621.39401540942481</v>
      </c>
      <c r="T56" s="21">
        <f t="shared" si="59"/>
        <v>1242.7880308188496</v>
      </c>
      <c r="U56" s="21">
        <f t="shared" si="59"/>
        <v>2485.5760616376992</v>
      </c>
      <c r="V56" s="21">
        <f t="shared" si="59"/>
        <v>4971.1521232753985</v>
      </c>
      <c r="W56" s="21">
        <f t="shared" si="59"/>
        <v>9942.304246550797</v>
      </c>
      <c r="X56" s="21">
        <f t="shared" si="59"/>
        <v>19884.608493101594</v>
      </c>
      <c r="Y56" s="21">
        <f t="shared" si="59"/>
        <v>39769.216986203188</v>
      </c>
      <c r="Z56" s="21">
        <f t="shared" si="59"/>
        <v>79538.433972406376</v>
      </c>
      <c r="AA56" s="21">
        <f t="shared" si="59"/>
        <v>159076.86794481275</v>
      </c>
      <c r="AB56" s="21">
        <f t="shared" si="59"/>
        <v>318153.7358896255</v>
      </c>
      <c r="AC56" s="21">
        <f t="shared" si="59"/>
        <v>636307.47177925101</v>
      </c>
      <c r="AD56" s="21">
        <f t="shared" si="59"/>
        <v>1272614.943558502</v>
      </c>
      <c r="AE56" s="21">
        <f t="shared" si="59"/>
        <v>2545229.887117004</v>
      </c>
      <c r="AF56" s="20">
        <f t="shared" si="59"/>
        <v>5090459.774234008</v>
      </c>
      <c r="AG56" s="21">
        <f t="shared" si="59"/>
        <v>10180919.548468016</v>
      </c>
      <c r="AH56" s="21">
        <f t="shared" si="59"/>
        <v>20361839.096936032</v>
      </c>
      <c r="AI56" s="21">
        <f t="shared" si="59"/>
        <v>40723678.193872064</v>
      </c>
      <c r="AJ56" s="21">
        <f t="shared" si="59"/>
        <v>51352855.850206055</v>
      </c>
      <c r="AK56" s="72">
        <f t="shared" si="59"/>
        <v>51352855.850206055</v>
      </c>
      <c r="AL56" s="45"/>
    </row>
    <row r="57" spans="1:38" x14ac:dyDescent="0.25">
      <c r="A57" s="41"/>
      <c r="B57" s="6"/>
      <c r="C57" s="10"/>
      <c r="D57" s="8"/>
      <c r="E57" s="27">
        <v>1.2999999999999999E-2</v>
      </c>
      <c r="F57" s="10"/>
      <c r="G57" s="10"/>
      <c r="H57" s="10"/>
      <c r="I57" s="10"/>
      <c r="J57" s="10"/>
      <c r="K57" s="10"/>
      <c r="L57" s="29">
        <f t="shared" ref="L57:AK57" si="60">L$18*$D$56*$E$57</f>
        <v>6.3110329690019701E-2</v>
      </c>
      <c r="M57" s="30">
        <f t="shared" si="60"/>
        <v>0.1262206593800394</v>
      </c>
      <c r="N57" s="30">
        <f t="shared" si="60"/>
        <v>0.2524413187600788</v>
      </c>
      <c r="O57" s="30">
        <f t="shared" si="60"/>
        <v>0.50488263752015761</v>
      </c>
      <c r="P57" s="30">
        <f t="shared" si="60"/>
        <v>1.0097652750403152</v>
      </c>
      <c r="Q57" s="30">
        <f t="shared" si="60"/>
        <v>2.0195305500806304</v>
      </c>
      <c r="R57" s="30">
        <f t="shared" si="60"/>
        <v>4.0390611001612609</v>
      </c>
      <c r="S57" s="30">
        <f t="shared" si="60"/>
        <v>8.0781222003225217</v>
      </c>
      <c r="T57" s="30">
        <f t="shared" si="60"/>
        <v>16.156244400645043</v>
      </c>
      <c r="U57" s="30">
        <f t="shared" si="60"/>
        <v>32.312488801290087</v>
      </c>
      <c r="V57" s="30">
        <f t="shared" si="60"/>
        <v>64.624977602580174</v>
      </c>
      <c r="W57" s="30">
        <f t="shared" si="60"/>
        <v>129.24995520516035</v>
      </c>
      <c r="X57" s="30">
        <f t="shared" si="60"/>
        <v>258.49991041032069</v>
      </c>
      <c r="Y57" s="30">
        <f t="shared" si="60"/>
        <v>516.99982082064139</v>
      </c>
      <c r="Z57" s="30">
        <f t="shared" si="60"/>
        <v>1033.9996416412828</v>
      </c>
      <c r="AA57" s="30">
        <f t="shared" si="60"/>
        <v>2067.9992832825656</v>
      </c>
      <c r="AB57" s="30">
        <f t="shared" si="60"/>
        <v>4135.9985665651311</v>
      </c>
      <c r="AC57" s="30">
        <f t="shared" si="60"/>
        <v>8271.9971331302622</v>
      </c>
      <c r="AD57" s="30">
        <f t="shared" si="60"/>
        <v>16543.994266260524</v>
      </c>
      <c r="AE57" s="30">
        <f t="shared" si="60"/>
        <v>33087.988532521049</v>
      </c>
      <c r="AF57" s="29">
        <f t="shared" si="60"/>
        <v>66175.977065042098</v>
      </c>
      <c r="AG57" s="30">
        <f t="shared" si="60"/>
        <v>132351.9541300842</v>
      </c>
      <c r="AH57" s="30">
        <f t="shared" si="60"/>
        <v>264703.90826016839</v>
      </c>
      <c r="AI57" s="30">
        <f t="shared" si="60"/>
        <v>529407.81652033678</v>
      </c>
      <c r="AJ57" s="30">
        <f t="shared" si="60"/>
        <v>667587.12605267868</v>
      </c>
      <c r="AK57" s="71">
        <f t="shared" si="60"/>
        <v>667587.12605267868</v>
      </c>
      <c r="AL57" s="45"/>
    </row>
    <row r="58" spans="1:38" x14ac:dyDescent="0.25">
      <c r="A58" s="41" t="s">
        <v>16</v>
      </c>
      <c r="B58" s="6">
        <f>'Population by Age - Wikipedia'!D25</f>
        <v>0.14121517441978385</v>
      </c>
      <c r="C58" s="10">
        <f t="shared" si="54"/>
        <v>46680864.739663057</v>
      </c>
      <c r="D58" s="23">
        <f>'AU Infection Rate by Age'!C8</f>
        <v>0.12972585558143701</v>
      </c>
      <c r="E58" s="17"/>
      <c r="F58" s="10"/>
      <c r="G58" s="10"/>
      <c r="H58" s="10"/>
      <c r="I58" s="10"/>
      <c r="J58" s="10"/>
      <c r="K58" s="10"/>
      <c r="L58" s="20">
        <f t="shared" ref="L58:AK58" si="61">L$18*$D$58</f>
        <v>4.0539329869199063</v>
      </c>
      <c r="M58" s="21">
        <f t="shared" si="61"/>
        <v>8.1078659738398127</v>
      </c>
      <c r="N58" s="21">
        <f t="shared" si="61"/>
        <v>16.215731947679625</v>
      </c>
      <c r="O58" s="21">
        <f t="shared" si="61"/>
        <v>32.431463895359251</v>
      </c>
      <c r="P58" s="21">
        <f t="shared" si="61"/>
        <v>64.862927790718501</v>
      </c>
      <c r="Q58" s="21">
        <f t="shared" si="61"/>
        <v>129.725855581437</v>
      </c>
      <c r="R58" s="21">
        <f t="shared" si="61"/>
        <v>259.45171116287401</v>
      </c>
      <c r="S58" s="21">
        <f t="shared" si="61"/>
        <v>518.90342232574801</v>
      </c>
      <c r="T58" s="21">
        <f t="shared" si="61"/>
        <v>1037.806844651496</v>
      </c>
      <c r="U58" s="21">
        <f t="shared" si="61"/>
        <v>2075.613689302992</v>
      </c>
      <c r="V58" s="21">
        <f t="shared" si="61"/>
        <v>4151.2273786059841</v>
      </c>
      <c r="W58" s="21">
        <f t="shared" si="61"/>
        <v>8302.4547572119682</v>
      </c>
      <c r="X58" s="21">
        <f t="shared" si="61"/>
        <v>16604.909514423936</v>
      </c>
      <c r="Y58" s="21">
        <f t="shared" si="61"/>
        <v>33209.819028847873</v>
      </c>
      <c r="Z58" s="21">
        <f t="shared" si="61"/>
        <v>66419.638057695745</v>
      </c>
      <c r="AA58" s="21">
        <f t="shared" si="61"/>
        <v>132839.27611539149</v>
      </c>
      <c r="AB58" s="21">
        <f t="shared" si="61"/>
        <v>265678.55223078298</v>
      </c>
      <c r="AC58" s="21">
        <f t="shared" si="61"/>
        <v>531357.10446156596</v>
      </c>
      <c r="AD58" s="21">
        <f t="shared" si="61"/>
        <v>1062714.2089231319</v>
      </c>
      <c r="AE58" s="21">
        <f t="shared" si="61"/>
        <v>2125428.4178462639</v>
      </c>
      <c r="AF58" s="20">
        <f t="shared" si="61"/>
        <v>4250856.8356925277</v>
      </c>
      <c r="AG58" s="21">
        <f t="shared" si="61"/>
        <v>8501713.6713850554</v>
      </c>
      <c r="AH58" s="21">
        <f t="shared" si="61"/>
        <v>17003427.342770111</v>
      </c>
      <c r="AI58" s="21">
        <f t="shared" si="61"/>
        <v>34006854.685540222</v>
      </c>
      <c r="AJ58" s="21">
        <f t="shared" si="61"/>
        <v>42882892.313205518</v>
      </c>
      <c r="AK58" s="72">
        <f t="shared" si="61"/>
        <v>42882892.313205518</v>
      </c>
      <c r="AL58" s="45"/>
    </row>
    <row r="59" spans="1:38" x14ac:dyDescent="0.25">
      <c r="A59" s="41"/>
      <c r="B59" s="6"/>
      <c r="C59" s="10"/>
      <c r="D59" s="8"/>
      <c r="E59" s="27">
        <v>4.0000000000000001E-3</v>
      </c>
      <c r="F59" s="10"/>
      <c r="G59" s="10"/>
      <c r="H59" s="10"/>
      <c r="I59" s="10"/>
      <c r="J59" s="10"/>
      <c r="K59" s="10"/>
      <c r="L59" s="29">
        <f t="shared" ref="L59:AK59" si="62">L$18*$D$58*$E$59</f>
        <v>1.6215731947679626E-2</v>
      </c>
      <c r="M59" s="30">
        <f t="shared" si="62"/>
        <v>3.2431463895359253E-2</v>
      </c>
      <c r="N59" s="30">
        <f t="shared" si="62"/>
        <v>6.4862927790718505E-2</v>
      </c>
      <c r="O59" s="30">
        <f t="shared" si="62"/>
        <v>0.12972585558143701</v>
      </c>
      <c r="P59" s="30">
        <f t="shared" si="62"/>
        <v>0.25945171116287402</v>
      </c>
      <c r="Q59" s="30">
        <f t="shared" si="62"/>
        <v>0.51890342232574804</v>
      </c>
      <c r="R59" s="30">
        <f t="shared" si="62"/>
        <v>1.0378068446514961</v>
      </c>
      <c r="S59" s="30">
        <f t="shared" si="62"/>
        <v>2.0756136893029922</v>
      </c>
      <c r="T59" s="30">
        <f t="shared" si="62"/>
        <v>4.1512273786059843</v>
      </c>
      <c r="U59" s="30">
        <f t="shared" si="62"/>
        <v>8.3024547572119687</v>
      </c>
      <c r="V59" s="30">
        <f t="shared" si="62"/>
        <v>16.604909514423937</v>
      </c>
      <c r="W59" s="30">
        <f t="shared" si="62"/>
        <v>33.209819028847875</v>
      </c>
      <c r="X59" s="30">
        <f t="shared" si="62"/>
        <v>66.419638057695749</v>
      </c>
      <c r="Y59" s="30">
        <f t="shared" si="62"/>
        <v>132.8392761153915</v>
      </c>
      <c r="Z59" s="30">
        <f t="shared" si="62"/>
        <v>265.678552230783</v>
      </c>
      <c r="AA59" s="30">
        <f t="shared" si="62"/>
        <v>531.357104461566</v>
      </c>
      <c r="AB59" s="30">
        <f t="shared" si="62"/>
        <v>1062.714208923132</v>
      </c>
      <c r="AC59" s="30">
        <f t="shared" si="62"/>
        <v>2125.428417846264</v>
      </c>
      <c r="AD59" s="30">
        <f t="shared" si="62"/>
        <v>4250.856835692528</v>
      </c>
      <c r="AE59" s="30">
        <f t="shared" si="62"/>
        <v>8501.7136713850559</v>
      </c>
      <c r="AF59" s="29">
        <f t="shared" si="62"/>
        <v>17003.427342770112</v>
      </c>
      <c r="AG59" s="30">
        <f t="shared" si="62"/>
        <v>34006.854685540224</v>
      </c>
      <c r="AH59" s="30">
        <f t="shared" si="62"/>
        <v>68013.709371080447</v>
      </c>
      <c r="AI59" s="30">
        <f t="shared" si="62"/>
        <v>136027.41874216089</v>
      </c>
      <c r="AJ59" s="30">
        <f t="shared" si="62"/>
        <v>171531.56925282208</v>
      </c>
      <c r="AK59" s="71">
        <f t="shared" si="62"/>
        <v>171531.56925282208</v>
      </c>
      <c r="AL59" s="45"/>
    </row>
    <row r="60" spans="1:38" x14ac:dyDescent="0.25">
      <c r="A60" s="41" t="s">
        <v>17</v>
      </c>
      <c r="B60" s="6">
        <f>'Population by Age - Wikipedia'!D21</f>
        <v>0.13001561499489589</v>
      </c>
      <c r="C60" s="10">
        <f t="shared" si="54"/>
        <v>42978676.778595254</v>
      </c>
      <c r="D60" s="23">
        <f>'AU Infection Rate by Age'!C9</f>
        <v>0.15731947679627306</v>
      </c>
      <c r="E60" s="17"/>
      <c r="F60" s="10"/>
      <c r="G60" s="14"/>
      <c r="H60" s="14"/>
      <c r="I60" s="14"/>
      <c r="J60" s="10"/>
      <c r="K60" s="10"/>
      <c r="L60" s="20">
        <f t="shared" ref="L60:AK60" si="63">L$18*$D$60</f>
        <v>4.9162336498835328</v>
      </c>
      <c r="M60" s="21">
        <f t="shared" si="63"/>
        <v>9.8324672997670657</v>
      </c>
      <c r="N60" s="21">
        <f t="shared" si="63"/>
        <v>19.664934599534131</v>
      </c>
      <c r="O60" s="21">
        <f t="shared" si="63"/>
        <v>39.329869199068263</v>
      </c>
      <c r="P60" s="21">
        <f t="shared" si="63"/>
        <v>78.659738398136525</v>
      </c>
      <c r="Q60" s="21">
        <f t="shared" si="63"/>
        <v>157.31947679627305</v>
      </c>
      <c r="R60" s="21">
        <f t="shared" si="63"/>
        <v>314.6389535925461</v>
      </c>
      <c r="S60" s="21">
        <f t="shared" si="63"/>
        <v>629.2779071850922</v>
      </c>
      <c r="T60" s="21">
        <f t="shared" si="63"/>
        <v>1258.5558143701844</v>
      </c>
      <c r="U60" s="21">
        <f t="shared" si="63"/>
        <v>2517.1116287403688</v>
      </c>
      <c r="V60" s="21">
        <f t="shared" si="63"/>
        <v>5034.2232574807376</v>
      </c>
      <c r="W60" s="21">
        <f t="shared" si="63"/>
        <v>10068.446514961475</v>
      </c>
      <c r="X60" s="21">
        <f t="shared" si="63"/>
        <v>20136.893029922951</v>
      </c>
      <c r="Y60" s="21">
        <f t="shared" si="63"/>
        <v>40273.786059845901</v>
      </c>
      <c r="Z60" s="21">
        <f t="shared" si="63"/>
        <v>80547.572119691802</v>
      </c>
      <c r="AA60" s="21">
        <f t="shared" si="63"/>
        <v>161095.1442393836</v>
      </c>
      <c r="AB60" s="21">
        <f t="shared" si="63"/>
        <v>322190.28847876721</v>
      </c>
      <c r="AC60" s="21">
        <f t="shared" si="63"/>
        <v>644380.57695753442</v>
      </c>
      <c r="AD60" s="21">
        <f t="shared" si="63"/>
        <v>1288761.1539150688</v>
      </c>
      <c r="AE60" s="21">
        <f t="shared" si="63"/>
        <v>2577522.3078301377</v>
      </c>
      <c r="AF60" s="20">
        <f t="shared" si="63"/>
        <v>5155044.6156602753</v>
      </c>
      <c r="AG60" s="21">
        <f t="shared" si="63"/>
        <v>10310089.231320551</v>
      </c>
      <c r="AH60" s="21">
        <f t="shared" si="63"/>
        <v>20620178.462641101</v>
      </c>
      <c r="AI60" s="21">
        <f t="shared" si="63"/>
        <v>41240356.925282203</v>
      </c>
      <c r="AJ60" s="21">
        <f t="shared" si="63"/>
        <v>52004391.506898403</v>
      </c>
      <c r="AK60" s="72">
        <f t="shared" si="63"/>
        <v>52004391.506898403</v>
      </c>
      <c r="AL60" s="45"/>
    </row>
    <row r="61" spans="1:38" x14ac:dyDescent="0.25">
      <c r="A61" s="41"/>
      <c r="B61" s="6"/>
      <c r="C61" s="10"/>
      <c r="D61" s="8"/>
      <c r="E61" s="27">
        <v>2E-3</v>
      </c>
      <c r="F61" s="10"/>
      <c r="G61" s="10"/>
      <c r="H61" s="10"/>
      <c r="I61" s="10"/>
      <c r="J61" s="10"/>
      <c r="K61" s="10"/>
      <c r="L61" s="29">
        <f t="shared" ref="L61:AK61" si="64">L$18*$D$60*$E$61</f>
        <v>9.8324672997670663E-3</v>
      </c>
      <c r="M61" s="30">
        <f t="shared" si="64"/>
        <v>1.9664934599534133E-2</v>
      </c>
      <c r="N61" s="30">
        <f t="shared" si="64"/>
        <v>3.9329869199068265E-2</v>
      </c>
      <c r="O61" s="30">
        <f t="shared" si="64"/>
        <v>7.8659738398136531E-2</v>
      </c>
      <c r="P61" s="30">
        <f t="shared" si="64"/>
        <v>0.15731947679627306</v>
      </c>
      <c r="Q61" s="30">
        <f t="shared" si="64"/>
        <v>0.31463895359254612</v>
      </c>
      <c r="R61" s="30">
        <f t="shared" si="64"/>
        <v>0.62927790718509224</v>
      </c>
      <c r="S61" s="30">
        <f t="shared" si="64"/>
        <v>1.2585558143701845</v>
      </c>
      <c r="T61" s="30">
        <f t="shared" si="64"/>
        <v>2.517111628740369</v>
      </c>
      <c r="U61" s="30">
        <f t="shared" si="64"/>
        <v>5.034223257480738</v>
      </c>
      <c r="V61" s="30">
        <f t="shared" si="64"/>
        <v>10.068446514961476</v>
      </c>
      <c r="W61" s="30">
        <f t="shared" si="64"/>
        <v>20.136893029922952</v>
      </c>
      <c r="X61" s="30">
        <f t="shared" si="64"/>
        <v>40.273786059845904</v>
      </c>
      <c r="Y61" s="30">
        <f t="shared" si="64"/>
        <v>80.547572119691807</v>
      </c>
      <c r="Z61" s="30">
        <f t="shared" si="64"/>
        <v>161.09514423938361</v>
      </c>
      <c r="AA61" s="30">
        <f t="shared" si="64"/>
        <v>322.19028847876723</v>
      </c>
      <c r="AB61" s="30">
        <f t="shared" si="64"/>
        <v>644.38057695753446</v>
      </c>
      <c r="AC61" s="30">
        <f t="shared" si="64"/>
        <v>1288.7611539150689</v>
      </c>
      <c r="AD61" s="30">
        <f t="shared" si="64"/>
        <v>2577.5223078301378</v>
      </c>
      <c r="AE61" s="30">
        <f t="shared" si="64"/>
        <v>5155.0446156602757</v>
      </c>
      <c r="AF61" s="29">
        <f t="shared" si="64"/>
        <v>10310.089231320551</v>
      </c>
      <c r="AG61" s="30">
        <f t="shared" si="64"/>
        <v>20620.178462641103</v>
      </c>
      <c r="AH61" s="30">
        <f t="shared" si="64"/>
        <v>41240.356925282205</v>
      </c>
      <c r="AI61" s="30">
        <f t="shared" si="64"/>
        <v>82480.713850564411</v>
      </c>
      <c r="AJ61" s="30">
        <f t="shared" si="64"/>
        <v>104008.78301379681</v>
      </c>
      <c r="AK61" s="71">
        <f t="shared" si="64"/>
        <v>104008.78301379681</v>
      </c>
      <c r="AL61" s="45"/>
    </row>
    <row r="62" spans="1:38" x14ac:dyDescent="0.25">
      <c r="A62" s="41" t="s">
        <v>18</v>
      </c>
      <c r="B62" s="6">
        <f>'Population by Age - Wikipedia'!D17</f>
        <v>0.13826223457843137</v>
      </c>
      <c r="C62" s="10">
        <f t="shared" si="54"/>
        <v>45704724.704536453</v>
      </c>
      <c r="D62" s="23">
        <f>'AU Infection Rate by Age'!C10</f>
        <v>0.2160903063967031</v>
      </c>
      <c r="E62" s="17"/>
      <c r="F62" s="10"/>
      <c r="G62" s="10"/>
      <c r="H62" s="10"/>
      <c r="I62" s="10"/>
      <c r="J62" s="10"/>
      <c r="K62" s="10"/>
      <c r="L62" s="20">
        <f t="shared" ref="L62:AK62" si="65">L$18*$D$62</f>
        <v>6.7528220748969714</v>
      </c>
      <c r="M62" s="21">
        <f t="shared" si="65"/>
        <v>13.505644149793943</v>
      </c>
      <c r="N62" s="21">
        <f t="shared" si="65"/>
        <v>27.011288299587886</v>
      </c>
      <c r="O62" s="21">
        <f t="shared" si="65"/>
        <v>54.022576599175771</v>
      </c>
      <c r="P62" s="21">
        <f t="shared" si="65"/>
        <v>108.04515319835154</v>
      </c>
      <c r="Q62" s="21">
        <f t="shared" si="65"/>
        <v>216.09030639670308</v>
      </c>
      <c r="R62" s="21">
        <f t="shared" si="65"/>
        <v>432.18061279340617</v>
      </c>
      <c r="S62" s="21">
        <f t="shared" si="65"/>
        <v>864.36122558681234</v>
      </c>
      <c r="T62" s="21">
        <f t="shared" si="65"/>
        <v>1728.7224511736247</v>
      </c>
      <c r="U62" s="21">
        <f t="shared" si="65"/>
        <v>3457.4449023472494</v>
      </c>
      <c r="V62" s="21">
        <f t="shared" si="65"/>
        <v>6914.8898046944987</v>
      </c>
      <c r="W62" s="21">
        <f t="shared" si="65"/>
        <v>13829.779609388997</v>
      </c>
      <c r="X62" s="21">
        <f t="shared" si="65"/>
        <v>27659.559218777995</v>
      </c>
      <c r="Y62" s="21">
        <f t="shared" si="65"/>
        <v>55319.11843755599</v>
      </c>
      <c r="Z62" s="21">
        <f t="shared" si="65"/>
        <v>110638.23687511198</v>
      </c>
      <c r="AA62" s="21">
        <f t="shared" si="65"/>
        <v>221276.47375022396</v>
      </c>
      <c r="AB62" s="21">
        <f t="shared" si="65"/>
        <v>442552.94750044792</v>
      </c>
      <c r="AC62" s="21">
        <f t="shared" si="65"/>
        <v>885105.89500089583</v>
      </c>
      <c r="AD62" s="21">
        <f t="shared" si="65"/>
        <v>1770211.7900017917</v>
      </c>
      <c r="AE62" s="21">
        <f t="shared" si="65"/>
        <v>3540423.5800035833</v>
      </c>
      <c r="AF62" s="20">
        <f t="shared" si="65"/>
        <v>7080847.1600071667</v>
      </c>
      <c r="AG62" s="21">
        <f t="shared" si="65"/>
        <v>14161694.320014333</v>
      </c>
      <c r="AH62" s="21">
        <f t="shared" si="65"/>
        <v>28323388.640028667</v>
      </c>
      <c r="AI62" s="21">
        <f t="shared" si="65"/>
        <v>56646777.280057333</v>
      </c>
      <c r="AJ62" s="21">
        <f t="shared" si="65"/>
        <v>71432000.179179356</v>
      </c>
      <c r="AK62" s="72">
        <f t="shared" si="65"/>
        <v>71432000.179179356</v>
      </c>
      <c r="AL62" s="45"/>
    </row>
    <row r="63" spans="1:38" x14ac:dyDescent="0.25">
      <c r="A63" s="41"/>
      <c r="B63" s="6"/>
      <c r="C63" s="10"/>
      <c r="D63" s="8"/>
      <c r="E63" s="27">
        <v>2E-3</v>
      </c>
      <c r="F63" s="10"/>
      <c r="G63" s="10"/>
      <c r="H63" s="10"/>
      <c r="I63" s="10"/>
      <c r="J63" s="10"/>
      <c r="K63" s="10"/>
      <c r="L63" s="29">
        <f t="shared" ref="L63:AK63" si="66">L$18*$D$62*$E$63</f>
        <v>1.3505644149793944E-2</v>
      </c>
      <c r="M63" s="30">
        <f t="shared" si="66"/>
        <v>2.7011288299587887E-2</v>
      </c>
      <c r="N63" s="30">
        <f t="shared" si="66"/>
        <v>5.4022576599175774E-2</v>
      </c>
      <c r="O63" s="30">
        <f t="shared" si="66"/>
        <v>0.10804515319835155</v>
      </c>
      <c r="P63" s="30">
        <f t="shared" si="66"/>
        <v>0.2160903063967031</v>
      </c>
      <c r="Q63" s="30">
        <f t="shared" si="66"/>
        <v>0.43218061279340619</v>
      </c>
      <c r="R63" s="30">
        <f t="shared" si="66"/>
        <v>0.86436122558681239</v>
      </c>
      <c r="S63" s="30">
        <f t="shared" si="66"/>
        <v>1.7287224511736248</v>
      </c>
      <c r="T63" s="30">
        <f t="shared" si="66"/>
        <v>3.4574449023472495</v>
      </c>
      <c r="U63" s="30">
        <f t="shared" si="66"/>
        <v>6.9148898046944991</v>
      </c>
      <c r="V63" s="30">
        <f t="shared" si="66"/>
        <v>13.829779609388998</v>
      </c>
      <c r="W63" s="30">
        <f t="shared" si="66"/>
        <v>27.659559218777996</v>
      </c>
      <c r="X63" s="30">
        <f t="shared" si="66"/>
        <v>55.319118437555993</v>
      </c>
      <c r="Y63" s="30">
        <f t="shared" si="66"/>
        <v>110.63823687511199</v>
      </c>
      <c r="Z63" s="30">
        <f t="shared" si="66"/>
        <v>221.27647375022397</v>
      </c>
      <c r="AA63" s="30">
        <f t="shared" si="66"/>
        <v>442.55294750044794</v>
      </c>
      <c r="AB63" s="30">
        <f t="shared" si="66"/>
        <v>885.10589500089588</v>
      </c>
      <c r="AC63" s="30">
        <f t="shared" si="66"/>
        <v>1770.2117900017918</v>
      </c>
      <c r="AD63" s="30">
        <f t="shared" si="66"/>
        <v>3540.4235800035835</v>
      </c>
      <c r="AE63" s="30">
        <f t="shared" si="66"/>
        <v>7080.8471600071671</v>
      </c>
      <c r="AF63" s="29">
        <f t="shared" si="66"/>
        <v>14161.694320014334</v>
      </c>
      <c r="AG63" s="30">
        <f t="shared" si="66"/>
        <v>28323.388640028668</v>
      </c>
      <c r="AH63" s="30">
        <f t="shared" si="66"/>
        <v>56646.777280057337</v>
      </c>
      <c r="AI63" s="30">
        <f t="shared" si="66"/>
        <v>113293.55456011467</v>
      </c>
      <c r="AJ63" s="30">
        <f t="shared" si="66"/>
        <v>142864.00035835872</v>
      </c>
      <c r="AK63" s="71">
        <f t="shared" si="66"/>
        <v>142864.00035835872</v>
      </c>
      <c r="AL63" s="45"/>
    </row>
    <row r="64" spans="1:38" x14ac:dyDescent="0.25">
      <c r="A64" s="42" t="s">
        <v>19</v>
      </c>
      <c r="B64" s="6">
        <f>'Population by Age - Wikipedia'!D13</f>
        <v>0.13835839467257338</v>
      </c>
      <c r="C64" s="10">
        <f t="shared" si="54"/>
        <v>45736511.914136559</v>
      </c>
      <c r="D64" s="23">
        <f>'AU Infection Rate by Age'!C11</f>
        <v>2.8847876724601325E-2</v>
      </c>
      <c r="E64" s="17"/>
      <c r="F64" s="10"/>
      <c r="G64" s="10"/>
      <c r="H64" s="10"/>
      <c r="I64" s="10"/>
      <c r="J64" s="10"/>
      <c r="K64" s="10"/>
      <c r="L64" s="20">
        <f t="shared" ref="L64:AK64" si="67">L$18*$D$64</f>
        <v>0.90149614764379138</v>
      </c>
      <c r="M64" s="21">
        <f t="shared" si="67"/>
        <v>1.8029922952875828</v>
      </c>
      <c r="N64" s="21">
        <f t="shared" si="67"/>
        <v>3.6059845905751655</v>
      </c>
      <c r="O64" s="21">
        <f t="shared" si="67"/>
        <v>7.211969181150331</v>
      </c>
      <c r="P64" s="21">
        <f t="shared" si="67"/>
        <v>14.423938362300662</v>
      </c>
      <c r="Q64" s="21">
        <f t="shared" si="67"/>
        <v>28.847876724601324</v>
      </c>
      <c r="R64" s="21">
        <f t="shared" si="67"/>
        <v>57.695753449202648</v>
      </c>
      <c r="S64" s="21">
        <f t="shared" si="67"/>
        <v>115.3915068984053</v>
      </c>
      <c r="T64" s="21">
        <f t="shared" si="67"/>
        <v>230.78301379681059</v>
      </c>
      <c r="U64" s="21">
        <f t="shared" si="67"/>
        <v>461.56602759362119</v>
      </c>
      <c r="V64" s="21">
        <f t="shared" si="67"/>
        <v>923.13205518724237</v>
      </c>
      <c r="W64" s="21">
        <f t="shared" si="67"/>
        <v>1846.2641103744847</v>
      </c>
      <c r="X64" s="21">
        <f t="shared" si="67"/>
        <v>3692.5282207489695</v>
      </c>
      <c r="Y64" s="21">
        <f t="shared" si="67"/>
        <v>7385.056441497939</v>
      </c>
      <c r="Z64" s="21">
        <f t="shared" si="67"/>
        <v>14770.112882995878</v>
      </c>
      <c r="AA64" s="21">
        <f t="shared" si="67"/>
        <v>29540.225765991756</v>
      </c>
      <c r="AB64" s="21">
        <f t="shared" si="67"/>
        <v>59080.451531983512</v>
      </c>
      <c r="AC64" s="21">
        <f t="shared" si="67"/>
        <v>118160.90306396702</v>
      </c>
      <c r="AD64" s="21">
        <f t="shared" si="67"/>
        <v>236321.80612793405</v>
      </c>
      <c r="AE64" s="21">
        <f t="shared" si="67"/>
        <v>472643.61225586809</v>
      </c>
      <c r="AF64" s="20">
        <f t="shared" si="67"/>
        <v>945287.22451173619</v>
      </c>
      <c r="AG64" s="21">
        <f t="shared" si="67"/>
        <v>1890574.4490234724</v>
      </c>
      <c r="AH64" s="21">
        <f t="shared" si="67"/>
        <v>3781148.8980469448</v>
      </c>
      <c r="AI64" s="21">
        <f t="shared" si="67"/>
        <v>7562297.7960938895</v>
      </c>
      <c r="AJ64" s="21">
        <f t="shared" si="67"/>
        <v>9536112.7934061997</v>
      </c>
      <c r="AK64" s="72">
        <f t="shared" si="67"/>
        <v>9536112.7934061997</v>
      </c>
      <c r="AL64" s="45"/>
    </row>
    <row r="65" spans="1:38" x14ac:dyDescent="0.25">
      <c r="A65" s="42"/>
      <c r="B65" s="6"/>
      <c r="C65" s="10"/>
      <c r="D65" s="8"/>
      <c r="E65" s="27">
        <v>2E-3</v>
      </c>
      <c r="F65" s="10"/>
      <c r="G65" s="10"/>
      <c r="H65" s="10"/>
      <c r="I65" s="10"/>
      <c r="J65" s="10"/>
      <c r="K65" s="10"/>
      <c r="L65" s="29">
        <f t="shared" ref="L65:AK65" si="68">L$18*$D$64*$E$65</f>
        <v>1.8029922952875828E-3</v>
      </c>
      <c r="M65" s="30">
        <f t="shared" si="68"/>
        <v>3.6059845905751656E-3</v>
      </c>
      <c r="N65" s="30">
        <f t="shared" si="68"/>
        <v>7.2119691811503312E-3</v>
      </c>
      <c r="O65" s="30">
        <f t="shared" si="68"/>
        <v>1.4423938362300662E-2</v>
      </c>
      <c r="P65" s="30">
        <f t="shared" si="68"/>
        <v>2.8847876724601325E-2</v>
      </c>
      <c r="Q65" s="30">
        <f t="shared" si="68"/>
        <v>5.769575344920265E-2</v>
      </c>
      <c r="R65" s="30">
        <f t="shared" si="68"/>
        <v>0.1153915068984053</v>
      </c>
      <c r="S65" s="30">
        <f t="shared" si="68"/>
        <v>0.2307830137968106</v>
      </c>
      <c r="T65" s="30">
        <f t="shared" si="68"/>
        <v>0.4615660275936212</v>
      </c>
      <c r="U65" s="30">
        <f t="shared" si="68"/>
        <v>0.9231320551872424</v>
      </c>
      <c r="V65" s="30">
        <f t="shared" si="68"/>
        <v>1.8462641103744848</v>
      </c>
      <c r="W65" s="30">
        <f t="shared" si="68"/>
        <v>3.6925282207489696</v>
      </c>
      <c r="X65" s="30">
        <f t="shared" si="68"/>
        <v>7.3850564414979392</v>
      </c>
      <c r="Y65" s="30">
        <f t="shared" si="68"/>
        <v>14.770112882995878</v>
      </c>
      <c r="Z65" s="30">
        <f t="shared" si="68"/>
        <v>29.540225765991757</v>
      </c>
      <c r="AA65" s="30">
        <f t="shared" si="68"/>
        <v>59.080451531983513</v>
      </c>
      <c r="AB65" s="30">
        <f t="shared" si="68"/>
        <v>118.16090306396703</v>
      </c>
      <c r="AC65" s="30">
        <f t="shared" si="68"/>
        <v>236.32180612793405</v>
      </c>
      <c r="AD65" s="30">
        <f t="shared" si="68"/>
        <v>472.64361225586811</v>
      </c>
      <c r="AE65" s="30">
        <f t="shared" si="68"/>
        <v>945.28722451173621</v>
      </c>
      <c r="AF65" s="29">
        <f t="shared" si="68"/>
        <v>1890.5744490234724</v>
      </c>
      <c r="AG65" s="30">
        <f t="shared" si="68"/>
        <v>3781.1488980469449</v>
      </c>
      <c r="AH65" s="30">
        <f t="shared" si="68"/>
        <v>7562.2977960938897</v>
      </c>
      <c r="AI65" s="30">
        <f t="shared" si="68"/>
        <v>15124.595592187779</v>
      </c>
      <c r="AJ65" s="30">
        <f t="shared" si="68"/>
        <v>19072.225586812401</v>
      </c>
      <c r="AK65" s="71">
        <f t="shared" si="68"/>
        <v>19072.225586812401</v>
      </c>
      <c r="AL65" s="45"/>
    </row>
    <row r="66" spans="1:38" x14ac:dyDescent="0.25">
      <c r="A66" s="42" t="s">
        <v>20</v>
      </c>
      <c r="B66" s="6">
        <f>'Population by Age - Wikipedia'!D9</f>
        <v>0.13133799200038965</v>
      </c>
      <c r="C66" s="10">
        <f t="shared" si="54"/>
        <v>43415808.994604804</v>
      </c>
      <c r="D66" s="23">
        <f>'AU Infection Rate by Age'!C12</f>
        <v>9.8548647195843032E-3</v>
      </c>
      <c r="E66" s="17"/>
      <c r="F66" s="10"/>
      <c r="G66" s="10"/>
      <c r="H66" s="10"/>
      <c r="I66" s="10"/>
      <c r="J66" s="10"/>
      <c r="K66" s="10"/>
      <c r="L66" s="20">
        <f t="shared" ref="L66:AK66" si="69">L$18*$D$66</f>
        <v>0.30796452248700945</v>
      </c>
      <c r="M66" s="21">
        <f t="shared" si="69"/>
        <v>0.6159290449740189</v>
      </c>
      <c r="N66" s="21">
        <f t="shared" si="69"/>
        <v>1.2318580899480378</v>
      </c>
      <c r="O66" s="21">
        <f t="shared" si="69"/>
        <v>2.4637161798960756</v>
      </c>
      <c r="P66" s="21">
        <f t="shared" si="69"/>
        <v>4.9274323597921512</v>
      </c>
      <c r="Q66" s="21">
        <f t="shared" si="69"/>
        <v>9.8548647195843024</v>
      </c>
      <c r="R66" s="21">
        <f t="shared" si="69"/>
        <v>19.709729439168605</v>
      </c>
      <c r="S66" s="21">
        <f t="shared" si="69"/>
        <v>39.41945887833721</v>
      </c>
      <c r="T66" s="21">
        <f t="shared" si="69"/>
        <v>78.838917756674419</v>
      </c>
      <c r="U66" s="21">
        <f t="shared" si="69"/>
        <v>157.67783551334884</v>
      </c>
      <c r="V66" s="21">
        <f t="shared" si="69"/>
        <v>315.35567102669768</v>
      </c>
      <c r="W66" s="21">
        <f t="shared" si="69"/>
        <v>630.71134205339536</v>
      </c>
      <c r="X66" s="21">
        <f t="shared" si="69"/>
        <v>1261.4226841067907</v>
      </c>
      <c r="Y66" s="21">
        <f t="shared" si="69"/>
        <v>2522.8453682135814</v>
      </c>
      <c r="Z66" s="21">
        <f t="shared" si="69"/>
        <v>5045.6907364271628</v>
      </c>
      <c r="AA66" s="21">
        <f t="shared" si="69"/>
        <v>10091.381472854326</v>
      </c>
      <c r="AB66" s="21">
        <f t="shared" si="69"/>
        <v>20182.762945708651</v>
      </c>
      <c r="AC66" s="21">
        <f t="shared" si="69"/>
        <v>40365.525891417303</v>
      </c>
      <c r="AD66" s="21">
        <f t="shared" si="69"/>
        <v>80731.051782834606</v>
      </c>
      <c r="AE66" s="21">
        <f t="shared" si="69"/>
        <v>161462.10356566921</v>
      </c>
      <c r="AF66" s="20">
        <f t="shared" si="69"/>
        <v>322924.20713133842</v>
      </c>
      <c r="AG66" s="21">
        <f t="shared" si="69"/>
        <v>645848.41426267684</v>
      </c>
      <c r="AH66" s="21">
        <f t="shared" si="69"/>
        <v>1291696.8285253537</v>
      </c>
      <c r="AI66" s="21">
        <f t="shared" si="69"/>
        <v>2583393.6570507074</v>
      </c>
      <c r="AJ66" s="21">
        <f t="shared" si="69"/>
        <v>3257678.2834617449</v>
      </c>
      <c r="AK66" s="72">
        <f t="shared" si="69"/>
        <v>3257678.2834617449</v>
      </c>
      <c r="AL66" s="45"/>
    </row>
    <row r="67" spans="1:38" x14ac:dyDescent="0.25">
      <c r="A67" s="42"/>
      <c r="B67" s="7"/>
      <c r="C67" s="11"/>
      <c r="D67" s="26"/>
      <c r="E67" s="28">
        <v>0</v>
      </c>
      <c r="F67" s="10"/>
      <c r="G67" s="10"/>
      <c r="H67" s="10"/>
      <c r="I67" s="10"/>
      <c r="J67" s="10"/>
      <c r="K67" s="10"/>
      <c r="L67" s="31">
        <f t="shared" ref="L67:AK67" si="70">L$18*$D$66*$E$67</f>
        <v>0</v>
      </c>
      <c r="M67" s="32">
        <f t="shared" si="70"/>
        <v>0</v>
      </c>
      <c r="N67" s="32">
        <f t="shared" si="70"/>
        <v>0</v>
      </c>
      <c r="O67" s="32">
        <f t="shared" si="70"/>
        <v>0</v>
      </c>
      <c r="P67" s="32">
        <f t="shared" si="70"/>
        <v>0</v>
      </c>
      <c r="Q67" s="32">
        <f t="shared" si="70"/>
        <v>0</v>
      </c>
      <c r="R67" s="32">
        <f t="shared" si="70"/>
        <v>0</v>
      </c>
      <c r="S67" s="32">
        <f t="shared" si="70"/>
        <v>0</v>
      </c>
      <c r="T67" s="32">
        <f t="shared" si="70"/>
        <v>0</v>
      </c>
      <c r="U67" s="32">
        <f t="shared" si="70"/>
        <v>0</v>
      </c>
      <c r="V67" s="32">
        <f t="shared" si="70"/>
        <v>0</v>
      </c>
      <c r="W67" s="32">
        <f t="shared" si="70"/>
        <v>0</v>
      </c>
      <c r="X67" s="32">
        <f t="shared" si="70"/>
        <v>0</v>
      </c>
      <c r="Y67" s="32">
        <f t="shared" si="70"/>
        <v>0</v>
      </c>
      <c r="Z67" s="32">
        <f t="shared" si="70"/>
        <v>0</v>
      </c>
      <c r="AA67" s="32">
        <f t="shared" si="70"/>
        <v>0</v>
      </c>
      <c r="AB67" s="32">
        <f t="shared" si="70"/>
        <v>0</v>
      </c>
      <c r="AC67" s="32">
        <f t="shared" si="70"/>
        <v>0</v>
      </c>
      <c r="AD67" s="32">
        <f t="shared" si="70"/>
        <v>0</v>
      </c>
      <c r="AE67" s="32">
        <f t="shared" si="70"/>
        <v>0</v>
      </c>
      <c r="AF67" s="29">
        <f t="shared" si="70"/>
        <v>0</v>
      </c>
      <c r="AG67" s="30">
        <f t="shared" si="70"/>
        <v>0</v>
      </c>
      <c r="AH67" s="30">
        <f t="shared" si="70"/>
        <v>0</v>
      </c>
      <c r="AI67" s="30">
        <f t="shared" si="70"/>
        <v>0</v>
      </c>
      <c r="AJ67" s="30">
        <f t="shared" si="70"/>
        <v>0</v>
      </c>
      <c r="AK67" s="71">
        <f t="shared" si="70"/>
        <v>0</v>
      </c>
      <c r="AL67" s="45"/>
    </row>
    <row r="68" spans="1:38" x14ac:dyDescent="0.25">
      <c r="A68" s="41" t="s">
        <v>39</v>
      </c>
      <c r="B68" s="14"/>
      <c r="C68" s="10"/>
      <c r="D68" s="10"/>
      <c r="E68" s="15"/>
      <c r="F68" s="10"/>
      <c r="G68" s="10"/>
      <c r="H68" s="10"/>
      <c r="I68" s="10"/>
      <c r="J68" s="10"/>
      <c r="K68" s="10"/>
      <c r="L68" s="18">
        <f t="shared" ref="L68:AB68" si="71">SUM(L50,L52,L54,L56,L58,L60,L62,L64,L66)</f>
        <v>31.249999999999996</v>
      </c>
      <c r="M68" s="19">
        <f t="shared" si="71"/>
        <v>62.499999999999993</v>
      </c>
      <c r="N68" s="19">
        <f t="shared" si="71"/>
        <v>124.99999999999999</v>
      </c>
      <c r="O68" s="19">
        <f t="shared" si="71"/>
        <v>249.99999999999997</v>
      </c>
      <c r="P68" s="19">
        <f t="shared" si="71"/>
        <v>499.99999999999994</v>
      </c>
      <c r="Q68" s="19">
        <f>SUM(Q50,Q52,Q54,Q56,Q58,Q60,Q62,Q64,Q66)</f>
        <v>999.99999999999989</v>
      </c>
      <c r="R68" s="19">
        <f t="shared" si="71"/>
        <v>1999.9999999999998</v>
      </c>
      <c r="S68" s="19">
        <f t="shared" si="71"/>
        <v>3999.9999999999995</v>
      </c>
      <c r="T68" s="19">
        <f t="shared" si="71"/>
        <v>7999.9999999999991</v>
      </c>
      <c r="U68" s="19">
        <f t="shared" si="71"/>
        <v>15999.999999999998</v>
      </c>
      <c r="V68" s="19">
        <f t="shared" si="71"/>
        <v>31999.999999999996</v>
      </c>
      <c r="W68" s="19">
        <f t="shared" si="71"/>
        <v>63999.999999999993</v>
      </c>
      <c r="X68" s="19">
        <f t="shared" si="71"/>
        <v>127999.99999999999</v>
      </c>
      <c r="Y68" s="19">
        <f t="shared" si="71"/>
        <v>255999.99999999997</v>
      </c>
      <c r="Z68" s="19">
        <f t="shared" si="71"/>
        <v>511999.99999999994</v>
      </c>
      <c r="AA68" s="19">
        <f t="shared" si="71"/>
        <v>1023999.9999999999</v>
      </c>
      <c r="AB68" s="19">
        <f t="shared" si="71"/>
        <v>2047999.9999999998</v>
      </c>
      <c r="AC68" s="19">
        <f t="shared" ref="AC68:AE69" si="72">SUM(AC50,AC52,AC54,AC56,AC58,AC60,AC62,AC64,AC66)</f>
        <v>4095999.9999999995</v>
      </c>
      <c r="AD68" s="19">
        <f t="shared" si="72"/>
        <v>8191999.9999999991</v>
      </c>
      <c r="AE68" s="19">
        <f t="shared" si="72"/>
        <v>16383999.999999998</v>
      </c>
      <c r="AF68" s="18">
        <f t="shared" ref="AF68:AK68" si="73">SUM(AF50,AF52,AF54,AF56,AF58,AF60,AF62,AF64,AF66)</f>
        <v>32767999.999999996</v>
      </c>
      <c r="AG68" s="19">
        <f t="shared" si="73"/>
        <v>65535999.999999993</v>
      </c>
      <c r="AH68" s="19">
        <f t="shared" si="73"/>
        <v>131071999.99999999</v>
      </c>
      <c r="AI68" s="19">
        <f t="shared" si="73"/>
        <v>262143999.99999997</v>
      </c>
      <c r="AJ68" s="19">
        <f t="shared" si="73"/>
        <v>330565499.99999994</v>
      </c>
      <c r="AK68" s="60">
        <f t="shared" si="73"/>
        <v>330565499.99999994</v>
      </c>
      <c r="AL68" s="45"/>
    </row>
    <row r="69" spans="1:38" x14ac:dyDescent="0.25">
      <c r="A69" s="43" t="s">
        <v>38</v>
      </c>
      <c r="B69" s="44"/>
      <c r="C69" s="11"/>
      <c r="D69" s="11"/>
      <c r="E69" s="38"/>
      <c r="F69" s="11"/>
      <c r="G69" s="11"/>
      <c r="H69" s="11"/>
      <c r="I69" s="11"/>
      <c r="J69" s="11"/>
      <c r="K69" s="11"/>
      <c r="L69" s="31">
        <f>SUM(L51,L53,L55,L57,L59,L61,L63,L65,L67)</f>
        <v>0.69269060204264477</v>
      </c>
      <c r="M69" s="32">
        <f>SUM(M51,M53,M55,M57,M59,M61,M63,M65,M67)</f>
        <v>1.3853812040852895</v>
      </c>
      <c r="N69" s="32">
        <f t="shared" ref="N69:AB69" si="74">SUM(N51,N53,N55,N57,N59,N61,N63,N65,N67)</f>
        <v>2.7707624081705791</v>
      </c>
      <c r="O69" s="32">
        <f t="shared" si="74"/>
        <v>5.5415248163411581</v>
      </c>
      <c r="P69" s="32">
        <f t="shared" si="74"/>
        <v>11.083049632682316</v>
      </c>
      <c r="Q69" s="32">
        <f t="shared" si="74"/>
        <v>22.166099265364632</v>
      </c>
      <c r="R69" s="32">
        <f t="shared" si="74"/>
        <v>44.332198530729265</v>
      </c>
      <c r="S69" s="32">
        <f t="shared" si="74"/>
        <v>88.66439706145853</v>
      </c>
      <c r="T69" s="32">
        <f t="shared" si="74"/>
        <v>177.32879412291706</v>
      </c>
      <c r="U69" s="32">
        <f t="shared" si="74"/>
        <v>354.65758824583412</v>
      </c>
      <c r="V69" s="32">
        <f t="shared" si="74"/>
        <v>709.31517649166824</v>
      </c>
      <c r="W69" s="32">
        <f t="shared" si="74"/>
        <v>1418.6303529833365</v>
      </c>
      <c r="X69" s="32">
        <f t="shared" si="74"/>
        <v>2837.260705966673</v>
      </c>
      <c r="Y69" s="32">
        <f t="shared" si="74"/>
        <v>5674.5214119333459</v>
      </c>
      <c r="Z69" s="32">
        <f t="shared" si="74"/>
        <v>11349.042823866692</v>
      </c>
      <c r="AA69" s="32">
        <f t="shared" si="74"/>
        <v>22698.085647733384</v>
      </c>
      <c r="AB69" s="32">
        <f t="shared" si="74"/>
        <v>45396.171295466767</v>
      </c>
      <c r="AC69" s="32">
        <f t="shared" si="72"/>
        <v>90792.342590933535</v>
      </c>
      <c r="AD69" s="32">
        <f t="shared" si="72"/>
        <v>181584.68518186707</v>
      </c>
      <c r="AE69" s="32">
        <f t="shared" si="72"/>
        <v>363169.37036373414</v>
      </c>
      <c r="AF69" s="31">
        <f t="shared" ref="AF69:AK69" si="75">SUM(AF51,AF53,AF55,AF57,AF59,AF61,AF63,AF65,AF67)</f>
        <v>726338.74072746828</v>
      </c>
      <c r="AG69" s="32">
        <f t="shared" si="75"/>
        <v>1452677.4814549366</v>
      </c>
      <c r="AH69" s="32">
        <f t="shared" si="75"/>
        <v>2905354.9629098731</v>
      </c>
      <c r="AI69" s="32">
        <f t="shared" si="75"/>
        <v>5810709.9258197462</v>
      </c>
      <c r="AJ69" s="32">
        <f t="shared" si="75"/>
        <v>7327347.6867048908</v>
      </c>
      <c r="AK69" s="73">
        <f t="shared" si="75"/>
        <v>7327347.6867048908</v>
      </c>
      <c r="AL69" s="45"/>
    </row>
    <row r="70" spans="1:38" x14ac:dyDescent="0.25">
      <c r="A70" s="42"/>
      <c r="B70" s="14"/>
      <c r="C70" s="10"/>
      <c r="D70" s="10"/>
      <c r="E70" s="15"/>
      <c r="F70" s="10"/>
      <c r="G70" s="10"/>
      <c r="H70" s="10"/>
      <c r="I70" s="10"/>
      <c r="J70" s="10"/>
      <c r="K70" s="10"/>
      <c r="L70" s="45"/>
      <c r="M70" s="45"/>
      <c r="N70" s="45"/>
      <c r="O70" s="45"/>
      <c r="P70" s="45"/>
      <c r="Q70" s="45"/>
      <c r="R70" s="45"/>
      <c r="S70" s="45"/>
      <c r="T70" s="45"/>
      <c r="U70" s="45"/>
      <c r="V70" s="45"/>
      <c r="W70" s="45"/>
      <c r="X70" s="45"/>
      <c r="Y70" s="45"/>
      <c r="Z70" s="45"/>
      <c r="AA70" s="45"/>
      <c r="AB70" s="45"/>
      <c r="AC70" s="45"/>
    </row>
    <row r="71" spans="1:38" x14ac:dyDescent="0.25">
      <c r="A71" s="54" t="s">
        <v>50</v>
      </c>
      <c r="B71" s="14"/>
      <c r="C71" s="10"/>
      <c r="D71" s="10"/>
      <c r="E71" s="15"/>
      <c r="F71" s="10"/>
      <c r="G71" s="10"/>
      <c r="H71" s="10"/>
      <c r="I71" s="10"/>
      <c r="J71" s="10"/>
      <c r="K71" s="10"/>
      <c r="L71" s="45"/>
      <c r="M71" s="45"/>
      <c r="N71" s="45"/>
      <c r="O71" s="45"/>
      <c r="P71" s="45"/>
      <c r="Q71" s="45"/>
      <c r="R71" s="45"/>
      <c r="S71" s="45"/>
      <c r="T71" s="45"/>
      <c r="U71" s="45"/>
      <c r="V71" s="45"/>
      <c r="W71" s="45"/>
      <c r="X71" s="45"/>
      <c r="Y71" s="45"/>
      <c r="Z71" s="45"/>
      <c r="AA71" s="45"/>
      <c r="AB71" s="45"/>
      <c r="AC71" s="45"/>
    </row>
    <row r="72" spans="1:38" x14ac:dyDescent="0.25">
      <c r="A72" s="4"/>
      <c r="B72" s="9" t="s">
        <v>5</v>
      </c>
      <c r="C72" s="9" t="s">
        <v>3</v>
      </c>
      <c r="D72" s="9"/>
      <c r="E72" s="59" t="s">
        <v>2</v>
      </c>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5"/>
      <c r="AL72" s="47"/>
    </row>
    <row r="73" spans="1:38" x14ac:dyDescent="0.25">
      <c r="A73" s="48" t="s">
        <v>1</v>
      </c>
      <c r="B73" s="24">
        <v>0.36799999999999999</v>
      </c>
      <c r="C73" s="10">
        <f>$B$5 * B73</f>
        <v>121648104</v>
      </c>
      <c r="D73" s="16"/>
      <c r="E73" s="16"/>
      <c r="F73" s="16"/>
      <c r="G73" s="16"/>
      <c r="H73" s="16"/>
      <c r="I73" s="16"/>
      <c r="J73" s="16"/>
      <c r="K73" s="16"/>
      <c r="L73" s="18">
        <f t="shared" ref="L73:AK73" si="76">L$18*$B$73</f>
        <v>11.5</v>
      </c>
      <c r="M73" s="19">
        <f t="shared" si="76"/>
        <v>23</v>
      </c>
      <c r="N73" s="19">
        <f t="shared" si="76"/>
        <v>46</v>
      </c>
      <c r="O73" s="19">
        <f t="shared" si="76"/>
        <v>92</v>
      </c>
      <c r="P73" s="19">
        <f t="shared" si="76"/>
        <v>184</v>
      </c>
      <c r="Q73" s="19">
        <f t="shared" si="76"/>
        <v>368</v>
      </c>
      <c r="R73" s="19">
        <f t="shared" si="76"/>
        <v>736</v>
      </c>
      <c r="S73" s="19">
        <f t="shared" si="76"/>
        <v>1472</v>
      </c>
      <c r="T73" s="19">
        <f t="shared" si="76"/>
        <v>2944</v>
      </c>
      <c r="U73" s="19">
        <f t="shared" si="76"/>
        <v>5888</v>
      </c>
      <c r="V73" s="19">
        <f t="shared" si="76"/>
        <v>11776</v>
      </c>
      <c r="W73" s="19">
        <f t="shared" si="76"/>
        <v>23552</v>
      </c>
      <c r="X73" s="19">
        <f t="shared" si="76"/>
        <v>47104</v>
      </c>
      <c r="Y73" s="19">
        <f t="shared" si="76"/>
        <v>94208</v>
      </c>
      <c r="Z73" s="19">
        <f t="shared" si="76"/>
        <v>188416</v>
      </c>
      <c r="AA73" s="19">
        <f t="shared" si="76"/>
        <v>376832</v>
      </c>
      <c r="AB73" s="19">
        <f t="shared" si="76"/>
        <v>753664</v>
      </c>
      <c r="AC73" s="19">
        <f t="shared" si="76"/>
        <v>1507328</v>
      </c>
      <c r="AD73" s="19">
        <f t="shared" si="76"/>
        <v>3014656</v>
      </c>
      <c r="AE73" s="19">
        <f t="shared" si="76"/>
        <v>6029312</v>
      </c>
      <c r="AF73" s="18">
        <f t="shared" si="76"/>
        <v>12058624</v>
      </c>
      <c r="AG73" s="19">
        <f t="shared" si="76"/>
        <v>24117248</v>
      </c>
      <c r="AH73" s="19">
        <f t="shared" si="76"/>
        <v>48234496</v>
      </c>
      <c r="AI73" s="19">
        <f t="shared" si="76"/>
        <v>96468992</v>
      </c>
      <c r="AJ73" s="19">
        <f t="shared" si="76"/>
        <v>121648104</v>
      </c>
      <c r="AK73" s="60">
        <f t="shared" si="76"/>
        <v>121648104</v>
      </c>
      <c r="AL73" s="45"/>
    </row>
    <row r="74" spans="1:38" x14ac:dyDescent="0.25">
      <c r="A74" s="48"/>
      <c r="B74" s="16"/>
      <c r="C74" s="16"/>
      <c r="D74" s="25"/>
      <c r="E74" s="46">
        <v>0.105</v>
      </c>
      <c r="F74" s="16"/>
      <c r="G74" s="16"/>
      <c r="H74" s="16"/>
      <c r="I74" s="16"/>
      <c r="J74" s="16"/>
      <c r="K74" s="16"/>
      <c r="L74" s="29">
        <f>L73*$E$74</f>
        <v>1.2075</v>
      </c>
      <c r="M74" s="30">
        <f t="shared" ref="M74:AB74" si="77">M73*$E$74</f>
        <v>2.415</v>
      </c>
      <c r="N74" s="30">
        <f t="shared" si="77"/>
        <v>4.83</v>
      </c>
      <c r="O74" s="30">
        <f t="shared" si="77"/>
        <v>9.66</v>
      </c>
      <c r="P74" s="30">
        <f t="shared" si="77"/>
        <v>19.32</v>
      </c>
      <c r="Q74" s="30">
        <f t="shared" si="77"/>
        <v>38.64</v>
      </c>
      <c r="R74" s="30">
        <f t="shared" si="77"/>
        <v>77.28</v>
      </c>
      <c r="S74" s="30">
        <f t="shared" si="77"/>
        <v>154.56</v>
      </c>
      <c r="T74" s="30">
        <f t="shared" si="77"/>
        <v>309.12</v>
      </c>
      <c r="U74" s="30">
        <f t="shared" si="77"/>
        <v>618.24</v>
      </c>
      <c r="V74" s="30">
        <f t="shared" si="77"/>
        <v>1236.48</v>
      </c>
      <c r="W74" s="30">
        <f t="shared" si="77"/>
        <v>2472.96</v>
      </c>
      <c r="X74" s="30">
        <f t="shared" si="77"/>
        <v>4945.92</v>
      </c>
      <c r="Y74" s="30">
        <f t="shared" si="77"/>
        <v>9891.84</v>
      </c>
      <c r="Z74" s="30">
        <f t="shared" si="77"/>
        <v>19783.68</v>
      </c>
      <c r="AA74" s="30">
        <f t="shared" si="77"/>
        <v>39567.360000000001</v>
      </c>
      <c r="AB74" s="30">
        <f t="shared" si="77"/>
        <v>79134.720000000001</v>
      </c>
      <c r="AC74" s="30">
        <f>AC73*$E$74</f>
        <v>158269.44</v>
      </c>
      <c r="AD74" s="30">
        <f>AD73*$E$74</f>
        <v>316538.88</v>
      </c>
      <c r="AE74" s="30">
        <f>AE73*$E$74</f>
        <v>633077.76000000001</v>
      </c>
      <c r="AF74" s="29">
        <f t="shared" ref="AF74:AK74" si="78">AF73*$E$74</f>
        <v>1266155.52</v>
      </c>
      <c r="AG74" s="30">
        <f t="shared" si="78"/>
        <v>2532311.04</v>
      </c>
      <c r="AH74" s="30">
        <f t="shared" si="78"/>
        <v>5064622.0800000001</v>
      </c>
      <c r="AI74" s="30">
        <f t="shared" si="78"/>
        <v>10129244.16</v>
      </c>
      <c r="AJ74" s="30">
        <f t="shared" si="78"/>
        <v>12773050.92</v>
      </c>
      <c r="AK74" s="71">
        <f t="shared" si="78"/>
        <v>12773050.92</v>
      </c>
      <c r="AL74" s="45"/>
    </row>
    <row r="75" spans="1:38" x14ac:dyDescent="0.25">
      <c r="A75" s="48" t="s">
        <v>4</v>
      </c>
      <c r="B75" s="24">
        <v>9.8000000000000004E-2</v>
      </c>
      <c r="C75" s="10">
        <f>$B$5 * B75</f>
        <v>32395419</v>
      </c>
      <c r="D75" s="47"/>
      <c r="E75" s="16"/>
      <c r="F75" s="16"/>
      <c r="G75" s="16"/>
      <c r="H75" s="16"/>
      <c r="I75" s="16"/>
      <c r="J75" s="16"/>
      <c r="K75" s="16"/>
      <c r="L75" s="20">
        <f t="shared" ref="L75:AK75" si="79">L$18*$B$75</f>
        <v>3.0625</v>
      </c>
      <c r="M75" s="21">
        <f t="shared" si="79"/>
        <v>6.125</v>
      </c>
      <c r="N75" s="21">
        <f t="shared" si="79"/>
        <v>12.25</v>
      </c>
      <c r="O75" s="21">
        <f t="shared" si="79"/>
        <v>24.5</v>
      </c>
      <c r="P75" s="21">
        <f t="shared" si="79"/>
        <v>49</v>
      </c>
      <c r="Q75" s="21">
        <f t="shared" si="79"/>
        <v>98</v>
      </c>
      <c r="R75" s="21">
        <f t="shared" si="79"/>
        <v>196</v>
      </c>
      <c r="S75" s="21">
        <f t="shared" si="79"/>
        <v>392</v>
      </c>
      <c r="T75" s="21">
        <f t="shared" si="79"/>
        <v>784</v>
      </c>
      <c r="U75" s="21">
        <f t="shared" si="79"/>
        <v>1568</v>
      </c>
      <c r="V75" s="21">
        <f t="shared" si="79"/>
        <v>3136</v>
      </c>
      <c r="W75" s="21">
        <f t="shared" si="79"/>
        <v>6272</v>
      </c>
      <c r="X75" s="21">
        <f t="shared" si="79"/>
        <v>12544</v>
      </c>
      <c r="Y75" s="21">
        <f t="shared" si="79"/>
        <v>25088</v>
      </c>
      <c r="Z75" s="21">
        <f t="shared" si="79"/>
        <v>50176</v>
      </c>
      <c r="AA75" s="21">
        <f t="shared" si="79"/>
        <v>100352</v>
      </c>
      <c r="AB75" s="21">
        <f t="shared" si="79"/>
        <v>200704</v>
      </c>
      <c r="AC75" s="21">
        <f t="shared" si="79"/>
        <v>401408</v>
      </c>
      <c r="AD75" s="21">
        <f t="shared" si="79"/>
        <v>802816</v>
      </c>
      <c r="AE75" s="21">
        <f t="shared" si="79"/>
        <v>1605632</v>
      </c>
      <c r="AF75" s="20">
        <f t="shared" si="79"/>
        <v>3211264</v>
      </c>
      <c r="AG75" s="21">
        <f t="shared" si="79"/>
        <v>6422528</v>
      </c>
      <c r="AH75" s="21">
        <f t="shared" si="79"/>
        <v>12845056</v>
      </c>
      <c r="AI75" s="21">
        <f t="shared" si="79"/>
        <v>25690112</v>
      </c>
      <c r="AJ75" s="21">
        <f t="shared" si="79"/>
        <v>32395419</v>
      </c>
      <c r="AK75" s="72">
        <f t="shared" si="79"/>
        <v>32395419</v>
      </c>
      <c r="AL75" s="45"/>
    </row>
    <row r="76" spans="1:38" x14ac:dyDescent="0.25">
      <c r="A76" s="48"/>
      <c r="B76" s="16"/>
      <c r="C76" s="16"/>
      <c r="D76" s="25"/>
      <c r="E76" s="46">
        <v>7.2999999999999995E-2</v>
      </c>
      <c r="F76" s="16"/>
      <c r="G76" s="16"/>
      <c r="H76" s="16"/>
      <c r="I76" s="16"/>
      <c r="J76" s="16"/>
      <c r="K76" s="16"/>
      <c r="L76" s="29">
        <f t="shared" ref="L76:AB76" si="80">L75*$E$76</f>
        <v>0.2235625</v>
      </c>
      <c r="M76" s="30">
        <f t="shared" si="80"/>
        <v>0.44712499999999999</v>
      </c>
      <c r="N76" s="30">
        <f t="shared" si="80"/>
        <v>0.89424999999999999</v>
      </c>
      <c r="O76" s="30">
        <f t="shared" si="80"/>
        <v>1.7885</v>
      </c>
      <c r="P76" s="30">
        <f t="shared" si="80"/>
        <v>3.577</v>
      </c>
      <c r="Q76" s="30">
        <f t="shared" si="80"/>
        <v>7.1539999999999999</v>
      </c>
      <c r="R76" s="30">
        <f t="shared" si="80"/>
        <v>14.308</v>
      </c>
      <c r="S76" s="30">
        <f t="shared" si="80"/>
        <v>28.616</v>
      </c>
      <c r="T76" s="30">
        <f t="shared" si="80"/>
        <v>57.231999999999999</v>
      </c>
      <c r="U76" s="30">
        <f t="shared" si="80"/>
        <v>114.464</v>
      </c>
      <c r="V76" s="30">
        <f t="shared" si="80"/>
        <v>228.928</v>
      </c>
      <c r="W76" s="30">
        <f t="shared" si="80"/>
        <v>457.85599999999999</v>
      </c>
      <c r="X76" s="30">
        <f t="shared" si="80"/>
        <v>915.71199999999999</v>
      </c>
      <c r="Y76" s="30">
        <f t="shared" si="80"/>
        <v>1831.424</v>
      </c>
      <c r="Z76" s="30">
        <f t="shared" si="80"/>
        <v>3662.848</v>
      </c>
      <c r="AA76" s="30">
        <f t="shared" si="80"/>
        <v>7325.6959999999999</v>
      </c>
      <c r="AB76" s="30">
        <f t="shared" si="80"/>
        <v>14651.392</v>
      </c>
      <c r="AC76" s="30">
        <f>AC75*$E$76</f>
        <v>29302.784</v>
      </c>
      <c r="AD76" s="30">
        <f>AD75*$E$76</f>
        <v>58605.567999999999</v>
      </c>
      <c r="AE76" s="30">
        <f>AE75*$E$76</f>
        <v>117211.136</v>
      </c>
      <c r="AF76" s="29">
        <f t="shared" ref="AF76:AK76" si="81">AF75*$E$76</f>
        <v>234422.272</v>
      </c>
      <c r="AG76" s="30">
        <f t="shared" si="81"/>
        <v>468844.54399999999</v>
      </c>
      <c r="AH76" s="30">
        <f t="shared" si="81"/>
        <v>937689.08799999999</v>
      </c>
      <c r="AI76" s="30">
        <f t="shared" si="81"/>
        <v>1875378.176</v>
      </c>
      <c r="AJ76" s="30">
        <f t="shared" si="81"/>
        <v>2364865.5869999998</v>
      </c>
      <c r="AK76" s="71">
        <f t="shared" si="81"/>
        <v>2364865.5869999998</v>
      </c>
      <c r="AL76" s="45"/>
    </row>
    <row r="77" spans="1:38" x14ac:dyDescent="0.25">
      <c r="A77" s="48" t="s">
        <v>6</v>
      </c>
      <c r="B77" s="24">
        <v>0.13400000000000001</v>
      </c>
      <c r="C77" s="10">
        <f>$B$5 * B77</f>
        <v>44295777</v>
      </c>
      <c r="D77" s="47"/>
      <c r="E77" s="16"/>
      <c r="F77" s="16"/>
      <c r="G77" s="16"/>
      <c r="H77" s="16"/>
      <c r="I77" s="16"/>
      <c r="J77" s="16"/>
      <c r="K77" s="16"/>
      <c r="L77" s="20">
        <f t="shared" ref="L77:AK77" si="82">L$18*$B$77</f>
        <v>4.1875</v>
      </c>
      <c r="M77" s="21">
        <f t="shared" si="82"/>
        <v>8.375</v>
      </c>
      <c r="N77" s="21">
        <f t="shared" si="82"/>
        <v>16.75</v>
      </c>
      <c r="O77" s="21">
        <f t="shared" si="82"/>
        <v>33.5</v>
      </c>
      <c r="P77" s="21">
        <f t="shared" si="82"/>
        <v>67</v>
      </c>
      <c r="Q77" s="21">
        <f t="shared" si="82"/>
        <v>134</v>
      </c>
      <c r="R77" s="21">
        <f t="shared" si="82"/>
        <v>268</v>
      </c>
      <c r="S77" s="21">
        <f t="shared" si="82"/>
        <v>536</v>
      </c>
      <c r="T77" s="21">
        <f t="shared" si="82"/>
        <v>1072</v>
      </c>
      <c r="U77" s="21">
        <f t="shared" si="82"/>
        <v>2144</v>
      </c>
      <c r="V77" s="21">
        <f t="shared" si="82"/>
        <v>4288</v>
      </c>
      <c r="W77" s="21">
        <f t="shared" si="82"/>
        <v>8576</v>
      </c>
      <c r="X77" s="21">
        <f t="shared" si="82"/>
        <v>17152</v>
      </c>
      <c r="Y77" s="21">
        <f t="shared" si="82"/>
        <v>34304</v>
      </c>
      <c r="Z77" s="21">
        <f t="shared" si="82"/>
        <v>68608</v>
      </c>
      <c r="AA77" s="21">
        <f t="shared" si="82"/>
        <v>137216</v>
      </c>
      <c r="AB77" s="21">
        <f t="shared" si="82"/>
        <v>274432</v>
      </c>
      <c r="AC77" s="21">
        <f t="shared" si="82"/>
        <v>548864</v>
      </c>
      <c r="AD77" s="21">
        <f t="shared" si="82"/>
        <v>1097728</v>
      </c>
      <c r="AE77" s="21">
        <f t="shared" si="82"/>
        <v>2195456</v>
      </c>
      <c r="AF77" s="20">
        <f t="shared" si="82"/>
        <v>4390912</v>
      </c>
      <c r="AG77" s="21">
        <f t="shared" si="82"/>
        <v>8781824</v>
      </c>
      <c r="AH77" s="21">
        <f t="shared" si="82"/>
        <v>17563648</v>
      </c>
      <c r="AI77" s="21">
        <f t="shared" si="82"/>
        <v>35127296</v>
      </c>
      <c r="AJ77" s="21">
        <f t="shared" si="82"/>
        <v>44295777</v>
      </c>
      <c r="AK77" s="72">
        <f t="shared" si="82"/>
        <v>44295777</v>
      </c>
      <c r="AL77" s="45"/>
    </row>
    <row r="78" spans="1:38" x14ac:dyDescent="0.25">
      <c r="A78" s="48"/>
      <c r="B78" s="16"/>
      <c r="C78" s="16"/>
      <c r="D78" s="25"/>
      <c r="E78" s="46">
        <v>6.3E-2</v>
      </c>
      <c r="F78" s="16"/>
      <c r="G78" s="16"/>
      <c r="H78" s="16"/>
      <c r="I78" s="16"/>
      <c r="J78" s="16"/>
      <c r="K78" s="16"/>
      <c r="L78" s="29">
        <f t="shared" ref="L78:AB78" si="83">L77*$E$78</f>
        <v>0.26381250000000001</v>
      </c>
      <c r="M78" s="30">
        <f t="shared" si="83"/>
        <v>0.52762500000000001</v>
      </c>
      <c r="N78" s="30">
        <f t="shared" si="83"/>
        <v>1.05525</v>
      </c>
      <c r="O78" s="30">
        <f t="shared" si="83"/>
        <v>2.1105</v>
      </c>
      <c r="P78" s="30">
        <f t="shared" si="83"/>
        <v>4.2210000000000001</v>
      </c>
      <c r="Q78" s="30">
        <f t="shared" si="83"/>
        <v>8.4420000000000002</v>
      </c>
      <c r="R78" s="30">
        <f t="shared" si="83"/>
        <v>16.884</v>
      </c>
      <c r="S78" s="30">
        <f t="shared" si="83"/>
        <v>33.768000000000001</v>
      </c>
      <c r="T78" s="30">
        <f t="shared" si="83"/>
        <v>67.536000000000001</v>
      </c>
      <c r="U78" s="30">
        <f t="shared" si="83"/>
        <v>135.072</v>
      </c>
      <c r="V78" s="30">
        <f t="shared" si="83"/>
        <v>270.14400000000001</v>
      </c>
      <c r="W78" s="30">
        <f t="shared" si="83"/>
        <v>540.28800000000001</v>
      </c>
      <c r="X78" s="30">
        <f t="shared" si="83"/>
        <v>1080.576</v>
      </c>
      <c r="Y78" s="30">
        <f t="shared" si="83"/>
        <v>2161.152</v>
      </c>
      <c r="Z78" s="30">
        <f t="shared" si="83"/>
        <v>4322.3040000000001</v>
      </c>
      <c r="AA78" s="30">
        <f t="shared" si="83"/>
        <v>8644.6080000000002</v>
      </c>
      <c r="AB78" s="30">
        <f t="shared" si="83"/>
        <v>17289.216</v>
      </c>
      <c r="AC78" s="30">
        <f>AC77*$E$78</f>
        <v>34578.432000000001</v>
      </c>
      <c r="AD78" s="30">
        <f>AD77*$E$78</f>
        <v>69156.864000000001</v>
      </c>
      <c r="AE78" s="30">
        <f>AE77*$E$78</f>
        <v>138313.728</v>
      </c>
      <c r="AF78" s="29">
        <f t="shared" ref="AF78:AK78" si="84">AF77*$E$78</f>
        <v>276627.45600000001</v>
      </c>
      <c r="AG78" s="30">
        <f t="shared" si="84"/>
        <v>553254.91200000001</v>
      </c>
      <c r="AH78" s="30">
        <f t="shared" si="84"/>
        <v>1106509.824</v>
      </c>
      <c r="AI78" s="30">
        <f t="shared" si="84"/>
        <v>2213019.648</v>
      </c>
      <c r="AJ78" s="30">
        <f t="shared" si="84"/>
        <v>2790633.9509999999</v>
      </c>
      <c r="AK78" s="71">
        <f t="shared" si="84"/>
        <v>2790633.9509999999</v>
      </c>
      <c r="AL78" s="45"/>
    </row>
    <row r="79" spans="1:38" x14ac:dyDescent="0.25">
      <c r="A79" s="48" t="s">
        <v>7</v>
      </c>
      <c r="B79" s="24">
        <v>0.46</v>
      </c>
      <c r="C79" s="10">
        <f>$B$5 * B79</f>
        <v>152060130</v>
      </c>
      <c r="D79" s="47"/>
      <c r="E79" s="16"/>
      <c r="F79" s="16"/>
      <c r="G79" s="16"/>
      <c r="H79" s="16"/>
      <c r="I79" s="16"/>
      <c r="J79" s="16"/>
      <c r="K79" s="16"/>
      <c r="L79" s="20">
        <f t="shared" ref="L79:AK79" si="85">L$18*$B$79</f>
        <v>14.375</v>
      </c>
      <c r="M79" s="21">
        <f t="shared" si="85"/>
        <v>28.75</v>
      </c>
      <c r="N79" s="21">
        <f t="shared" si="85"/>
        <v>57.5</v>
      </c>
      <c r="O79" s="21">
        <f t="shared" si="85"/>
        <v>115</v>
      </c>
      <c r="P79" s="21">
        <f t="shared" si="85"/>
        <v>230</v>
      </c>
      <c r="Q79" s="21">
        <f t="shared" si="85"/>
        <v>460</v>
      </c>
      <c r="R79" s="21">
        <f t="shared" si="85"/>
        <v>920</v>
      </c>
      <c r="S79" s="21">
        <f t="shared" si="85"/>
        <v>1840</v>
      </c>
      <c r="T79" s="21">
        <f t="shared" si="85"/>
        <v>3680</v>
      </c>
      <c r="U79" s="21">
        <f t="shared" si="85"/>
        <v>7360</v>
      </c>
      <c r="V79" s="21">
        <f t="shared" si="85"/>
        <v>14720</v>
      </c>
      <c r="W79" s="21">
        <f t="shared" si="85"/>
        <v>29440</v>
      </c>
      <c r="X79" s="21">
        <f t="shared" si="85"/>
        <v>58880</v>
      </c>
      <c r="Y79" s="21">
        <f t="shared" si="85"/>
        <v>117760</v>
      </c>
      <c r="Z79" s="21">
        <f t="shared" si="85"/>
        <v>235520</v>
      </c>
      <c r="AA79" s="21">
        <f t="shared" si="85"/>
        <v>471040</v>
      </c>
      <c r="AB79" s="21">
        <f t="shared" si="85"/>
        <v>942080</v>
      </c>
      <c r="AC79" s="21">
        <f t="shared" si="85"/>
        <v>1884160</v>
      </c>
      <c r="AD79" s="21">
        <f t="shared" si="85"/>
        <v>3768320</v>
      </c>
      <c r="AE79" s="21">
        <f t="shared" si="85"/>
        <v>7536640</v>
      </c>
      <c r="AF79" s="20">
        <f t="shared" si="85"/>
        <v>15073280</v>
      </c>
      <c r="AG79" s="21">
        <f t="shared" si="85"/>
        <v>30146560</v>
      </c>
      <c r="AH79" s="21">
        <f t="shared" si="85"/>
        <v>60293120</v>
      </c>
      <c r="AI79" s="21">
        <f t="shared" si="85"/>
        <v>120586240</v>
      </c>
      <c r="AJ79" s="21">
        <f t="shared" si="85"/>
        <v>152060130</v>
      </c>
      <c r="AK79" s="72">
        <f t="shared" si="85"/>
        <v>152060130</v>
      </c>
      <c r="AL79" s="45"/>
    </row>
    <row r="80" spans="1:38" x14ac:dyDescent="0.25">
      <c r="A80" s="48"/>
      <c r="B80" s="16"/>
      <c r="C80" s="16"/>
      <c r="D80" s="25"/>
      <c r="E80" s="46">
        <v>0.06</v>
      </c>
      <c r="F80" s="16"/>
      <c r="G80" s="16"/>
      <c r="H80" s="16"/>
      <c r="I80" s="16"/>
      <c r="J80" s="16"/>
      <c r="K80" s="16"/>
      <c r="L80" s="29">
        <f t="shared" ref="L80:AB80" si="86">L79*$E$80</f>
        <v>0.86249999999999993</v>
      </c>
      <c r="M80" s="30">
        <f t="shared" si="86"/>
        <v>1.7249999999999999</v>
      </c>
      <c r="N80" s="30">
        <f t="shared" si="86"/>
        <v>3.4499999999999997</v>
      </c>
      <c r="O80" s="30">
        <f t="shared" si="86"/>
        <v>6.8999999999999995</v>
      </c>
      <c r="P80" s="30">
        <f t="shared" si="86"/>
        <v>13.799999999999999</v>
      </c>
      <c r="Q80" s="30">
        <f t="shared" si="86"/>
        <v>27.599999999999998</v>
      </c>
      <c r="R80" s="30">
        <f t="shared" si="86"/>
        <v>55.199999999999996</v>
      </c>
      <c r="S80" s="30">
        <f t="shared" si="86"/>
        <v>110.39999999999999</v>
      </c>
      <c r="T80" s="30">
        <f t="shared" si="86"/>
        <v>220.79999999999998</v>
      </c>
      <c r="U80" s="30">
        <f t="shared" si="86"/>
        <v>441.59999999999997</v>
      </c>
      <c r="V80" s="30">
        <f t="shared" si="86"/>
        <v>883.19999999999993</v>
      </c>
      <c r="W80" s="30">
        <f t="shared" si="86"/>
        <v>1766.3999999999999</v>
      </c>
      <c r="X80" s="30">
        <f t="shared" si="86"/>
        <v>3532.7999999999997</v>
      </c>
      <c r="Y80" s="30">
        <f t="shared" si="86"/>
        <v>7065.5999999999995</v>
      </c>
      <c r="Z80" s="30">
        <f t="shared" si="86"/>
        <v>14131.199999999999</v>
      </c>
      <c r="AA80" s="30">
        <f t="shared" si="86"/>
        <v>28262.399999999998</v>
      </c>
      <c r="AB80" s="30">
        <f t="shared" si="86"/>
        <v>56524.799999999996</v>
      </c>
      <c r="AC80" s="30">
        <f>AC79*$E$80</f>
        <v>113049.59999999999</v>
      </c>
      <c r="AD80" s="30">
        <f>AD79*$E$80</f>
        <v>226099.19999999998</v>
      </c>
      <c r="AE80" s="30">
        <f>AE79*$E$80</f>
        <v>452198.39999999997</v>
      </c>
      <c r="AF80" s="29">
        <f t="shared" ref="AF80:AK80" si="87">AF79*$E$80</f>
        <v>904396.79999999993</v>
      </c>
      <c r="AG80" s="30">
        <f t="shared" si="87"/>
        <v>1808793.5999999999</v>
      </c>
      <c r="AH80" s="30">
        <f t="shared" si="87"/>
        <v>3617587.1999999997</v>
      </c>
      <c r="AI80" s="30">
        <f t="shared" si="87"/>
        <v>7235174.3999999994</v>
      </c>
      <c r="AJ80" s="30">
        <f t="shared" si="87"/>
        <v>9123607.7999999989</v>
      </c>
      <c r="AK80" s="71">
        <f t="shared" si="87"/>
        <v>9123607.7999999989</v>
      </c>
      <c r="AL80" s="45"/>
    </row>
    <row r="81" spans="1:38" x14ac:dyDescent="0.25">
      <c r="A81" s="48" t="s">
        <v>8</v>
      </c>
      <c r="B81" s="24">
        <v>4.3899999999999998E-3</v>
      </c>
      <c r="C81" s="10">
        <f>$B$5 * B81</f>
        <v>1451182.5449999999</v>
      </c>
      <c r="D81" s="47"/>
      <c r="E81" s="16"/>
      <c r="F81" s="16"/>
      <c r="G81" s="16"/>
      <c r="H81" s="16"/>
      <c r="I81" s="16"/>
      <c r="J81" s="16"/>
      <c r="K81" s="16"/>
      <c r="L81" s="20">
        <f t="shared" ref="L81:AK81" si="88">L$18*$B$81</f>
        <v>0.13718749999999999</v>
      </c>
      <c r="M81" s="21">
        <f t="shared" si="88"/>
        <v>0.27437499999999998</v>
      </c>
      <c r="N81" s="21">
        <f t="shared" si="88"/>
        <v>0.54874999999999996</v>
      </c>
      <c r="O81" s="21">
        <f t="shared" si="88"/>
        <v>1.0974999999999999</v>
      </c>
      <c r="P81" s="21">
        <f t="shared" si="88"/>
        <v>2.1949999999999998</v>
      </c>
      <c r="Q81" s="21">
        <f t="shared" si="88"/>
        <v>4.3899999999999997</v>
      </c>
      <c r="R81" s="21">
        <f t="shared" si="88"/>
        <v>8.7799999999999994</v>
      </c>
      <c r="S81" s="21">
        <f t="shared" si="88"/>
        <v>17.559999999999999</v>
      </c>
      <c r="T81" s="21">
        <f t="shared" si="88"/>
        <v>35.119999999999997</v>
      </c>
      <c r="U81" s="21">
        <f t="shared" si="88"/>
        <v>70.239999999999995</v>
      </c>
      <c r="V81" s="21">
        <f t="shared" si="88"/>
        <v>140.47999999999999</v>
      </c>
      <c r="W81" s="21">
        <f t="shared" si="88"/>
        <v>280.95999999999998</v>
      </c>
      <c r="X81" s="21">
        <f t="shared" si="88"/>
        <v>561.91999999999996</v>
      </c>
      <c r="Y81" s="21">
        <f t="shared" si="88"/>
        <v>1123.8399999999999</v>
      </c>
      <c r="Z81" s="21">
        <f t="shared" si="88"/>
        <v>2247.6799999999998</v>
      </c>
      <c r="AA81" s="21">
        <f t="shared" si="88"/>
        <v>4495.3599999999997</v>
      </c>
      <c r="AB81" s="21">
        <f t="shared" si="88"/>
        <v>8990.7199999999993</v>
      </c>
      <c r="AC81" s="21">
        <f t="shared" si="88"/>
        <v>17981.439999999999</v>
      </c>
      <c r="AD81" s="21">
        <f t="shared" si="88"/>
        <v>35962.879999999997</v>
      </c>
      <c r="AE81" s="21">
        <f t="shared" si="88"/>
        <v>71925.759999999995</v>
      </c>
      <c r="AF81" s="20">
        <f t="shared" si="88"/>
        <v>143851.51999999999</v>
      </c>
      <c r="AG81" s="21">
        <f t="shared" si="88"/>
        <v>287703.03999999998</v>
      </c>
      <c r="AH81" s="21">
        <f t="shared" si="88"/>
        <v>575406.07999999996</v>
      </c>
      <c r="AI81" s="21">
        <f t="shared" si="88"/>
        <v>1150812.1599999999</v>
      </c>
      <c r="AJ81" s="21">
        <f t="shared" si="88"/>
        <v>1451182.5449999999</v>
      </c>
      <c r="AK81" s="72">
        <f t="shared" si="88"/>
        <v>1451182.5449999999</v>
      </c>
      <c r="AL81" s="45"/>
    </row>
    <row r="82" spans="1:38" x14ac:dyDescent="0.25">
      <c r="A82" s="48"/>
      <c r="B82" s="16"/>
      <c r="C82" s="16"/>
      <c r="D82" s="25"/>
      <c r="E82" s="46">
        <v>5.6000000000000001E-2</v>
      </c>
      <c r="F82" s="16"/>
      <c r="G82" s="16"/>
      <c r="H82" s="16"/>
      <c r="I82" s="16"/>
      <c r="J82" s="16"/>
      <c r="K82" s="16"/>
      <c r="L82" s="29">
        <f t="shared" ref="L82:AB82" si="89">L81*$E$82</f>
        <v>7.6824999999999992E-3</v>
      </c>
      <c r="M82" s="30">
        <f t="shared" si="89"/>
        <v>1.5364999999999998E-2</v>
      </c>
      <c r="N82" s="30">
        <f t="shared" si="89"/>
        <v>3.0729999999999997E-2</v>
      </c>
      <c r="O82" s="30">
        <f t="shared" si="89"/>
        <v>6.1459999999999994E-2</v>
      </c>
      <c r="P82" s="30">
        <f t="shared" si="89"/>
        <v>0.12291999999999999</v>
      </c>
      <c r="Q82" s="30">
        <f t="shared" si="89"/>
        <v>0.24583999999999998</v>
      </c>
      <c r="R82" s="30">
        <f t="shared" si="89"/>
        <v>0.49167999999999995</v>
      </c>
      <c r="S82" s="30">
        <f t="shared" si="89"/>
        <v>0.9833599999999999</v>
      </c>
      <c r="T82" s="30">
        <f t="shared" si="89"/>
        <v>1.9667199999999998</v>
      </c>
      <c r="U82" s="30">
        <f t="shared" si="89"/>
        <v>3.9334399999999996</v>
      </c>
      <c r="V82" s="30">
        <f t="shared" si="89"/>
        <v>7.8668799999999992</v>
      </c>
      <c r="W82" s="30">
        <f t="shared" si="89"/>
        <v>15.733759999999998</v>
      </c>
      <c r="X82" s="30">
        <f t="shared" si="89"/>
        <v>31.467519999999997</v>
      </c>
      <c r="Y82" s="30">
        <f t="shared" si="89"/>
        <v>62.935039999999994</v>
      </c>
      <c r="Z82" s="30">
        <f t="shared" si="89"/>
        <v>125.87007999999999</v>
      </c>
      <c r="AA82" s="30">
        <f t="shared" si="89"/>
        <v>251.74015999999997</v>
      </c>
      <c r="AB82" s="30">
        <f t="shared" si="89"/>
        <v>503.48031999999995</v>
      </c>
      <c r="AC82" s="30">
        <f>AC81*$E$82</f>
        <v>1006.9606399999999</v>
      </c>
      <c r="AD82" s="30">
        <f>AD81*$E$82</f>
        <v>2013.9212799999998</v>
      </c>
      <c r="AE82" s="30">
        <f>AE81*$E$82</f>
        <v>4027.8425599999996</v>
      </c>
      <c r="AF82" s="29">
        <f t="shared" ref="AF82:AK82" si="90">AF81*$E$82</f>
        <v>8055.6851199999992</v>
      </c>
      <c r="AG82" s="30">
        <f t="shared" si="90"/>
        <v>16111.370239999998</v>
      </c>
      <c r="AH82" s="30">
        <f t="shared" si="90"/>
        <v>32222.740479999997</v>
      </c>
      <c r="AI82" s="30">
        <f t="shared" si="90"/>
        <v>64445.480959999994</v>
      </c>
      <c r="AJ82" s="30">
        <f t="shared" si="90"/>
        <v>81266.222519999996</v>
      </c>
      <c r="AK82" s="71">
        <f t="shared" si="90"/>
        <v>81266.222519999996</v>
      </c>
      <c r="AL82" s="45"/>
    </row>
    <row r="83" spans="1:38" x14ac:dyDescent="0.25">
      <c r="A83" s="48" t="s">
        <v>9</v>
      </c>
      <c r="B83" s="24">
        <v>0.155</v>
      </c>
      <c r="C83" s="10">
        <f>$B$5 * B83</f>
        <v>51237652.5</v>
      </c>
      <c r="D83" s="47"/>
      <c r="E83" s="16"/>
      <c r="F83" s="16"/>
      <c r="G83" s="16"/>
      <c r="H83" s="16"/>
      <c r="I83" s="16"/>
      <c r="J83" s="16"/>
      <c r="K83" s="16"/>
      <c r="L83" s="20">
        <f t="shared" ref="L83:AK83" si="91">L$18*$B$83</f>
        <v>4.84375</v>
      </c>
      <c r="M83" s="21">
        <f t="shared" si="91"/>
        <v>9.6875</v>
      </c>
      <c r="N83" s="21">
        <f t="shared" si="91"/>
        <v>19.375</v>
      </c>
      <c r="O83" s="21">
        <f t="shared" si="91"/>
        <v>38.75</v>
      </c>
      <c r="P83" s="21">
        <f t="shared" si="91"/>
        <v>77.5</v>
      </c>
      <c r="Q83" s="21">
        <f t="shared" si="91"/>
        <v>155</v>
      </c>
      <c r="R83" s="21">
        <f t="shared" si="91"/>
        <v>310</v>
      </c>
      <c r="S83" s="21">
        <f t="shared" si="91"/>
        <v>620</v>
      </c>
      <c r="T83" s="21">
        <f t="shared" si="91"/>
        <v>1240</v>
      </c>
      <c r="U83" s="21">
        <f t="shared" si="91"/>
        <v>2480</v>
      </c>
      <c r="V83" s="21">
        <f t="shared" si="91"/>
        <v>4960</v>
      </c>
      <c r="W83" s="21">
        <f t="shared" si="91"/>
        <v>9920</v>
      </c>
      <c r="X83" s="21">
        <f t="shared" si="91"/>
        <v>19840</v>
      </c>
      <c r="Y83" s="21">
        <f t="shared" si="91"/>
        <v>39680</v>
      </c>
      <c r="Z83" s="21">
        <f t="shared" si="91"/>
        <v>79360</v>
      </c>
      <c r="AA83" s="21">
        <f t="shared" si="91"/>
        <v>158720</v>
      </c>
      <c r="AB83" s="21">
        <f t="shared" si="91"/>
        <v>317440</v>
      </c>
      <c r="AC83" s="21">
        <f t="shared" si="91"/>
        <v>634880</v>
      </c>
      <c r="AD83" s="21">
        <f t="shared" si="91"/>
        <v>1269760</v>
      </c>
      <c r="AE83" s="21">
        <f t="shared" si="91"/>
        <v>2539520</v>
      </c>
      <c r="AF83" s="20">
        <f t="shared" si="91"/>
        <v>5079040</v>
      </c>
      <c r="AG83" s="21">
        <f t="shared" si="91"/>
        <v>10158080</v>
      </c>
      <c r="AH83" s="21">
        <f t="shared" si="91"/>
        <v>20316160</v>
      </c>
      <c r="AI83" s="21">
        <f t="shared" si="91"/>
        <v>40632320</v>
      </c>
      <c r="AJ83" s="21">
        <f t="shared" si="91"/>
        <v>51237652.5</v>
      </c>
      <c r="AK83" s="72">
        <f t="shared" si="91"/>
        <v>51237652.5</v>
      </c>
      <c r="AL83" s="45"/>
    </row>
    <row r="84" spans="1:38" x14ac:dyDescent="0.25">
      <c r="A84" s="37"/>
      <c r="B84" s="39"/>
      <c r="C84" s="39"/>
      <c r="D84" s="55"/>
      <c r="E84" s="56" t="s">
        <v>10</v>
      </c>
      <c r="F84" s="39"/>
      <c r="G84" s="39"/>
      <c r="H84" s="39"/>
      <c r="I84" s="39"/>
      <c r="J84" s="39"/>
      <c r="K84" s="39"/>
      <c r="L84" s="31" t="s">
        <v>10</v>
      </c>
      <c r="M84" s="32" t="s">
        <v>10</v>
      </c>
      <c r="N84" s="32" t="s">
        <v>10</v>
      </c>
      <c r="O84" s="32" t="s">
        <v>10</v>
      </c>
      <c r="P84" s="32" t="s">
        <v>10</v>
      </c>
      <c r="Q84" s="32" t="s">
        <v>10</v>
      </c>
      <c r="R84" s="32" t="s">
        <v>10</v>
      </c>
      <c r="S84" s="32" t="s">
        <v>10</v>
      </c>
      <c r="T84" s="32" t="s">
        <v>10</v>
      </c>
      <c r="U84" s="32" t="s">
        <v>10</v>
      </c>
      <c r="V84" s="32" t="s">
        <v>10</v>
      </c>
      <c r="W84" s="32" t="s">
        <v>10</v>
      </c>
      <c r="X84" s="32" t="s">
        <v>10</v>
      </c>
      <c r="Y84" s="32" t="s">
        <v>10</v>
      </c>
      <c r="Z84" s="32" t="s">
        <v>10</v>
      </c>
      <c r="AA84" s="32" t="s">
        <v>10</v>
      </c>
      <c r="AB84" s="32" t="s">
        <v>10</v>
      </c>
      <c r="AC84" s="32" t="s">
        <v>10</v>
      </c>
      <c r="AD84" s="32" t="s">
        <v>10</v>
      </c>
      <c r="AE84" s="32" t="s">
        <v>10</v>
      </c>
      <c r="AF84" s="29" t="s">
        <v>10</v>
      </c>
      <c r="AG84" s="30" t="s">
        <v>10</v>
      </c>
      <c r="AH84" s="30" t="s">
        <v>10</v>
      </c>
      <c r="AI84" s="30" t="s">
        <v>10</v>
      </c>
      <c r="AJ84" s="30" t="s">
        <v>10</v>
      </c>
      <c r="AK84" s="71" t="s">
        <v>10</v>
      </c>
      <c r="AL84" s="45"/>
    </row>
    <row r="85" spans="1:38" x14ac:dyDescent="0.25">
      <c r="A85" s="41"/>
      <c r="B85" s="16"/>
      <c r="C85" s="16"/>
      <c r="D85" s="47"/>
      <c r="E85" s="16"/>
      <c r="F85" s="16"/>
      <c r="G85" s="16"/>
      <c r="H85" s="16"/>
      <c r="I85" s="16"/>
      <c r="J85" s="16"/>
      <c r="K85" s="16"/>
      <c r="L85" s="20">
        <f>SUM(L73,L75,L77,L79,L81,L83)</f>
        <v>38.105937500000003</v>
      </c>
      <c r="M85" s="21">
        <f t="shared" ref="M85:AB85" si="92">SUM(M73,M75,M77,M79,M81,M83)</f>
        <v>76.211875000000006</v>
      </c>
      <c r="N85" s="21">
        <f t="shared" si="92"/>
        <v>152.42375000000001</v>
      </c>
      <c r="O85" s="21">
        <f t="shared" si="92"/>
        <v>304.84750000000003</v>
      </c>
      <c r="P85" s="21">
        <f t="shared" si="92"/>
        <v>609.69500000000005</v>
      </c>
      <c r="Q85" s="21">
        <f t="shared" si="92"/>
        <v>1219.3900000000001</v>
      </c>
      <c r="R85" s="21">
        <f>SUM(R73,R75,R77,R79,R81,R83)</f>
        <v>2438.7800000000002</v>
      </c>
      <c r="S85" s="21">
        <f t="shared" si="92"/>
        <v>4877.5600000000004</v>
      </c>
      <c r="T85" s="21">
        <f t="shared" si="92"/>
        <v>9755.1200000000008</v>
      </c>
      <c r="U85" s="21">
        <f t="shared" si="92"/>
        <v>19510.240000000002</v>
      </c>
      <c r="V85" s="21">
        <f t="shared" si="92"/>
        <v>39020.480000000003</v>
      </c>
      <c r="W85" s="21">
        <f t="shared" si="92"/>
        <v>78040.960000000006</v>
      </c>
      <c r="X85" s="21">
        <f t="shared" si="92"/>
        <v>156081.92000000001</v>
      </c>
      <c r="Y85" s="21">
        <f t="shared" si="92"/>
        <v>312163.84000000003</v>
      </c>
      <c r="Z85" s="21">
        <f t="shared" si="92"/>
        <v>624327.68000000005</v>
      </c>
      <c r="AA85" s="21">
        <f t="shared" si="92"/>
        <v>1248655.3600000001</v>
      </c>
      <c r="AB85" s="21">
        <f t="shared" si="92"/>
        <v>2497310.7200000002</v>
      </c>
      <c r="AC85" s="21">
        <f t="shared" ref="AC85:AE86" si="93">SUM(AC73,AC75,AC77,AC79,AC81,AC83)</f>
        <v>4994621.4400000004</v>
      </c>
      <c r="AD85" s="21">
        <f t="shared" si="93"/>
        <v>9989242.8800000008</v>
      </c>
      <c r="AE85" s="21">
        <f t="shared" si="93"/>
        <v>19978485.760000002</v>
      </c>
      <c r="AF85" s="18">
        <f t="shared" ref="AF85:AK85" si="94">SUM(AF73,AF75,AF77,AF79,AF81,AF83)</f>
        <v>39956971.520000003</v>
      </c>
      <c r="AG85" s="19">
        <f t="shared" si="94"/>
        <v>79913943.040000007</v>
      </c>
      <c r="AH85" s="19">
        <f t="shared" si="94"/>
        <v>159827886.08000001</v>
      </c>
      <c r="AI85" s="19">
        <f t="shared" si="94"/>
        <v>319655772.16000003</v>
      </c>
      <c r="AJ85" s="19">
        <f t="shared" si="94"/>
        <v>403088265.04500002</v>
      </c>
      <c r="AK85" s="60">
        <f t="shared" si="94"/>
        <v>403088265.04500002</v>
      </c>
      <c r="AL85" s="45"/>
    </row>
    <row r="86" spans="1:38" x14ac:dyDescent="0.25">
      <c r="A86" s="37" t="s">
        <v>40</v>
      </c>
      <c r="B86" s="39"/>
      <c r="C86" s="39"/>
      <c r="D86" s="39"/>
      <c r="E86" s="39"/>
      <c r="F86" s="39"/>
      <c r="G86" s="39"/>
      <c r="H86" s="39"/>
      <c r="I86" s="39"/>
      <c r="J86" s="39"/>
      <c r="K86" s="39"/>
      <c r="L86" s="31">
        <f>SUM(L74,L76,L78,L80,L82,L84)</f>
        <v>2.5650575</v>
      </c>
      <c r="M86" s="32">
        <f t="shared" ref="M86:AB86" si="95">SUM(M74,M76,M78,M80,M82,M84)</f>
        <v>5.130115</v>
      </c>
      <c r="N86" s="32">
        <f t="shared" si="95"/>
        <v>10.26023</v>
      </c>
      <c r="O86" s="32">
        <f t="shared" si="95"/>
        <v>20.52046</v>
      </c>
      <c r="P86" s="32">
        <f t="shared" si="95"/>
        <v>41.04092</v>
      </c>
      <c r="Q86" s="32">
        <f t="shared" si="95"/>
        <v>82.08184</v>
      </c>
      <c r="R86" s="32">
        <f t="shared" si="95"/>
        <v>164.16368</v>
      </c>
      <c r="S86" s="32">
        <f t="shared" si="95"/>
        <v>328.32736</v>
      </c>
      <c r="T86" s="32">
        <f t="shared" si="95"/>
        <v>656.65472</v>
      </c>
      <c r="U86" s="32">
        <f t="shared" si="95"/>
        <v>1313.30944</v>
      </c>
      <c r="V86" s="32">
        <f t="shared" si="95"/>
        <v>2626.61888</v>
      </c>
      <c r="W86" s="32">
        <f t="shared" si="95"/>
        <v>5253.23776</v>
      </c>
      <c r="X86" s="32">
        <f t="shared" si="95"/>
        <v>10506.47552</v>
      </c>
      <c r="Y86" s="32">
        <f t="shared" si="95"/>
        <v>21012.95104</v>
      </c>
      <c r="Z86" s="32">
        <f t="shared" si="95"/>
        <v>42025.90208</v>
      </c>
      <c r="AA86" s="32">
        <f t="shared" si="95"/>
        <v>84051.80416</v>
      </c>
      <c r="AB86" s="32">
        <f t="shared" si="95"/>
        <v>168103.60832</v>
      </c>
      <c r="AC86" s="32">
        <f t="shared" si="93"/>
        <v>336207.21664</v>
      </c>
      <c r="AD86" s="32">
        <f t="shared" si="93"/>
        <v>672414.43328</v>
      </c>
      <c r="AE86" s="32">
        <f t="shared" si="93"/>
        <v>1344828.86656</v>
      </c>
      <c r="AF86" s="31">
        <f t="shared" ref="AF86:AK86" si="96">SUM(AF74,AF76,AF78,AF80,AF82,AF84)</f>
        <v>2689657.73312</v>
      </c>
      <c r="AG86" s="32">
        <f t="shared" si="96"/>
        <v>5379315.46624</v>
      </c>
      <c r="AH86" s="32">
        <f t="shared" si="96"/>
        <v>10758630.93248</v>
      </c>
      <c r="AI86" s="32">
        <f t="shared" si="96"/>
        <v>21517261.86496</v>
      </c>
      <c r="AJ86" s="32">
        <f t="shared" si="96"/>
        <v>27133424.480520003</v>
      </c>
      <c r="AK86" s="73">
        <f t="shared" si="96"/>
        <v>27133424.480520003</v>
      </c>
      <c r="AL86" s="45"/>
    </row>
  </sheetData>
  <conditionalFormatting sqref="L29:AJ29 AL29">
    <cfRule type="cellIs" dxfId="21" priority="31" operator="greaterThan">
      <formula>$C$8</formula>
    </cfRule>
  </conditionalFormatting>
  <conditionalFormatting sqref="L31:AJ31">
    <cfRule type="cellIs" dxfId="20" priority="30" operator="greaterThan">
      <formula>$C$9</formula>
    </cfRule>
  </conditionalFormatting>
  <conditionalFormatting sqref="L50:AK50">
    <cfRule type="cellIs" dxfId="19" priority="29" operator="greaterThan">
      <formula>$C$50</formula>
    </cfRule>
  </conditionalFormatting>
  <conditionalFormatting sqref="L52:AK52">
    <cfRule type="cellIs" dxfId="18" priority="28" operator="greaterThan">
      <formula>$C$52</formula>
    </cfRule>
  </conditionalFormatting>
  <conditionalFormatting sqref="L54:AK54">
    <cfRule type="cellIs" dxfId="17" priority="27" operator="greaterThan">
      <formula>$C$54</formula>
    </cfRule>
  </conditionalFormatting>
  <conditionalFormatting sqref="L56:AK56">
    <cfRule type="cellIs" dxfId="16" priority="19" operator="greaterThan">
      <formula>$C$56</formula>
    </cfRule>
  </conditionalFormatting>
  <conditionalFormatting sqref="L58:AK58">
    <cfRule type="cellIs" dxfId="15" priority="18" operator="greaterThan">
      <formula>$C$58</formula>
    </cfRule>
  </conditionalFormatting>
  <conditionalFormatting sqref="L60:AK60">
    <cfRule type="cellIs" dxfId="14" priority="17" operator="greaterThan">
      <formula>$C$60</formula>
    </cfRule>
  </conditionalFormatting>
  <conditionalFormatting sqref="L62:AK62">
    <cfRule type="cellIs" dxfId="13" priority="16" operator="greaterThan">
      <formula>$C$62</formula>
    </cfRule>
  </conditionalFormatting>
  <conditionalFormatting sqref="L64:AK64">
    <cfRule type="cellIs" dxfId="12" priority="15" operator="greaterThan">
      <formula>$C$64</formula>
    </cfRule>
  </conditionalFormatting>
  <conditionalFormatting sqref="L66:AK66">
    <cfRule type="cellIs" dxfId="11" priority="14" operator="greaterThan">
      <formula>$C$66</formula>
    </cfRule>
  </conditionalFormatting>
  <conditionalFormatting sqref="L20:AK20">
    <cfRule type="cellIs" dxfId="0" priority="13" operator="equal">
      <formula>0</formula>
    </cfRule>
  </conditionalFormatting>
  <conditionalFormatting sqref="M31:AJ31 L29:AJ29 L27:AJ27">
    <cfRule type="cellIs" dxfId="10" priority="12" operator="equal">
      <formula>0</formula>
    </cfRule>
  </conditionalFormatting>
  <conditionalFormatting sqref="D50">
    <cfRule type="cellIs" dxfId="9" priority="9" operator="greaterThan">
      <formula>$B$50</formula>
    </cfRule>
  </conditionalFormatting>
  <conditionalFormatting sqref="D52">
    <cfRule type="cellIs" dxfId="8" priority="8" operator="greaterThan">
      <formula>$B$52</formula>
    </cfRule>
  </conditionalFormatting>
  <conditionalFormatting sqref="D54">
    <cfRule type="cellIs" dxfId="7" priority="7" operator="greaterThan">
      <formula>$B$54</formula>
    </cfRule>
  </conditionalFormatting>
  <conditionalFormatting sqref="D56">
    <cfRule type="cellIs" dxfId="6" priority="6" operator="greaterThan">
      <formula>$B$56</formula>
    </cfRule>
  </conditionalFormatting>
  <conditionalFormatting sqref="D58">
    <cfRule type="cellIs" dxfId="5" priority="5" operator="greaterThan">
      <formula>$B$58</formula>
    </cfRule>
  </conditionalFormatting>
  <conditionalFormatting sqref="D60">
    <cfRule type="cellIs" dxfId="4" priority="4" operator="greaterThan">
      <formula>$B$60</formula>
    </cfRule>
  </conditionalFormatting>
  <conditionalFormatting sqref="D62">
    <cfRule type="cellIs" dxfId="3" priority="3" operator="greaterThan">
      <formula>$B$62</formula>
    </cfRule>
  </conditionalFormatting>
  <conditionalFormatting sqref="D64">
    <cfRule type="cellIs" dxfId="2" priority="2" operator="greaterThan">
      <formula>$B$64</formula>
    </cfRule>
  </conditionalFormatting>
  <conditionalFormatting sqref="D66">
    <cfRule type="cellIs" dxfId="1" priority="1" operator="greaterThan">
      <formula>$B$66</formula>
    </cfRule>
  </conditionalFormatting>
  <hyperlinks>
    <hyperlink ref="E49" r:id="rId1" location="case-fatality-rate-of-covid-19-by-age" xr:uid="{0058192C-B05A-45D2-8597-C1F9B3D9241E}"/>
    <hyperlink ref="E72" r:id="rId2" location="case-fatality-rate-of-covid-19-by-preexisting-health-conditions" xr:uid="{110A2613-24A6-4768-B90C-571B307D13E2}"/>
    <hyperlink ref="B6" r:id="rId3" display="https://cmmid.github.io/topics/covid19/severity/global_cfr_estimates.html" xr:uid="{478D393B-144B-447C-BE80-8DB4A6AAAE87}"/>
  </hyperlinks>
  <pageMargins left="0.7" right="0.7" top="0.75" bottom="0.75" header="0.3" footer="0.3"/>
  <pageSetup paperSize="9" orientation="portrait" horizontalDpi="0" verticalDpi="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G39" sqref="G39"/>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9" t="s">
        <v>119</v>
      </c>
      <c r="C3" s="163">
        <f>Projections!B5</f>
        <v>330565500</v>
      </c>
      <c r="J3" s="2"/>
    </row>
    <row r="4" spans="2:10" x14ac:dyDescent="0.25">
      <c r="B4" s="180" t="s">
        <v>136</v>
      </c>
      <c r="C4" s="163">
        <f>Projections!L18</f>
        <v>31.25</v>
      </c>
      <c r="J4" s="2"/>
    </row>
    <row r="5" spans="2:10" x14ac:dyDescent="0.25">
      <c r="B5" s="180" t="s">
        <v>137</v>
      </c>
      <c r="C5" s="161">
        <f>Projections!L17</f>
        <v>43882</v>
      </c>
      <c r="J5" s="2"/>
    </row>
    <row r="6" spans="2:10" x14ac:dyDescent="0.25">
      <c r="B6" s="180" t="s">
        <v>120</v>
      </c>
      <c r="C6" s="163">
        <v>435128</v>
      </c>
    </row>
    <row r="7" spans="2:10" x14ac:dyDescent="0.25">
      <c r="B7" s="180" t="s">
        <v>122</v>
      </c>
      <c r="C7" s="161">
        <f ca="1">NOW()</f>
        <v>43934.680232638886</v>
      </c>
    </row>
    <row r="8" spans="2:10" x14ac:dyDescent="0.25">
      <c r="B8" s="180" t="s">
        <v>138</v>
      </c>
      <c r="C8" s="162">
        <f ca="1">C7-C5</f>
        <v>52.680232638886082</v>
      </c>
    </row>
    <row r="9" spans="2:10" x14ac:dyDescent="0.25">
      <c r="B9" s="180" t="s">
        <v>121</v>
      </c>
      <c r="C9" s="164">
        <f ca="1">C8/(LOG(C6/C4)/LOG(2))</f>
        <v>3.8270323039140912</v>
      </c>
      <c r="D9" t="s">
        <v>98</v>
      </c>
      <c r="F9" t="s">
        <v>139</v>
      </c>
    </row>
    <row r="10" spans="2:10" x14ac:dyDescent="0.25">
      <c r="B10" s="180" t="s">
        <v>126</v>
      </c>
      <c r="C10" s="163">
        <f>Projections!C8</f>
        <v>793357.2</v>
      </c>
    </row>
    <row r="11" spans="2:10" x14ac:dyDescent="0.25">
      <c r="B11" s="181" t="s">
        <v>127</v>
      </c>
      <c r="C11" s="168">
        <f>Projections!C9</f>
        <v>114706.22850000001</v>
      </c>
    </row>
    <row r="12" spans="2:10" s="69" customFormat="1" x14ac:dyDescent="0.25">
      <c r="B12" s="62" t="s">
        <v>167</v>
      </c>
      <c r="C12" s="169">
        <f>C6/Projections!B6</f>
        <v>3626066.666666667</v>
      </c>
    </row>
    <row r="13" spans="2:10" s="69" customFormat="1" x14ac:dyDescent="0.25">
      <c r="B13" s="48" t="s">
        <v>168</v>
      </c>
      <c r="C13" s="170">
        <f ca="1">(C4/Projections!B6)*(2^(((C7-21)-C5)/C9))</f>
        <v>80835.055061240331</v>
      </c>
    </row>
    <row r="14" spans="2:10" s="69" customFormat="1" x14ac:dyDescent="0.25">
      <c r="B14" s="49" t="s">
        <v>169</v>
      </c>
      <c r="C14" s="151">
        <f ca="1">C12-C13</f>
        <v>3545231.6116054268</v>
      </c>
      <c r="E14" s="166"/>
      <c r="F14" s="167" t="s">
        <v>143</v>
      </c>
      <c r="G14" s="165"/>
    </row>
    <row r="15" spans="2:10" x14ac:dyDescent="0.25">
      <c r="B15" s="4" t="s">
        <v>140</v>
      </c>
      <c r="C15" s="64">
        <f>C6*Projections!B10</f>
        <v>352453.68000000005</v>
      </c>
      <c r="I15" s="160"/>
    </row>
    <row r="16" spans="2:10" x14ac:dyDescent="0.25">
      <c r="B16" s="41" t="s">
        <v>150</v>
      </c>
      <c r="C16" s="83">
        <f ca="1">(C4*Projections!B10)*(2^(((C7-21)-C5)/C9))</f>
        <v>7857.1673519525602</v>
      </c>
      <c r="I16" s="160"/>
    </row>
    <row r="17" spans="2:9" x14ac:dyDescent="0.25">
      <c r="B17" s="41" t="s">
        <v>141</v>
      </c>
      <c r="C17" s="83">
        <f ca="1">C15-C16</f>
        <v>344596.51264804747</v>
      </c>
      <c r="F17" t="s">
        <v>144</v>
      </c>
      <c r="I17" s="160"/>
    </row>
    <row r="18" spans="2:9" x14ac:dyDescent="0.25">
      <c r="B18" s="4" t="s">
        <v>146</v>
      </c>
      <c r="C18" s="64">
        <f>C6*Projections!B11</f>
        <v>60917.920000000006</v>
      </c>
    </row>
    <row r="19" spans="2:9" x14ac:dyDescent="0.25">
      <c r="B19" s="41" t="s">
        <v>151</v>
      </c>
      <c r="C19" s="83">
        <f ca="1">(C4*Projections!B11)*(2^(((C7-49)-C5)/C9))</f>
        <v>8.520419130849449</v>
      </c>
    </row>
    <row r="20" spans="2:9" x14ac:dyDescent="0.25">
      <c r="B20" s="41" t="s">
        <v>145</v>
      </c>
      <c r="C20" s="83">
        <f ca="1">C18-C19</f>
        <v>60909.399580869154</v>
      </c>
      <c r="F20" t="s">
        <v>149</v>
      </c>
    </row>
    <row r="21" spans="2:9" x14ac:dyDescent="0.25">
      <c r="B21" s="4" t="s">
        <v>147</v>
      </c>
      <c r="C21" s="64">
        <f>C6*Projections!B12</f>
        <v>21756.400000000001</v>
      </c>
      <c r="I21" s="160"/>
    </row>
    <row r="22" spans="2:9" x14ac:dyDescent="0.25">
      <c r="B22" s="41" t="s">
        <v>152</v>
      </c>
      <c r="C22" s="83">
        <f ca="1">(C4*Projections!B12)*(2^(((C7-49)-C5)/C9))</f>
        <v>3.0430068324462316</v>
      </c>
      <c r="I22" s="160"/>
    </row>
    <row r="23" spans="2:9" x14ac:dyDescent="0.25">
      <c r="B23" s="41" t="s">
        <v>148</v>
      </c>
      <c r="C23" s="83">
        <f ca="1">C21-C22</f>
        <v>21753.356993167556</v>
      </c>
      <c r="I23" s="160"/>
    </row>
    <row r="24" spans="2:9" x14ac:dyDescent="0.25">
      <c r="B24" s="4" t="s">
        <v>153</v>
      </c>
      <c r="C24" s="64">
        <f>C6*Projections!B13</f>
        <v>17405.12</v>
      </c>
    </row>
    <row r="25" spans="2:9" x14ac:dyDescent="0.25">
      <c r="B25" s="37" t="s">
        <v>154</v>
      </c>
      <c r="C25" s="61">
        <f ca="1">(C4*Projections!B13)*(2^(((C7-42)-C5)/C9))</f>
        <v>8.649777373577809</v>
      </c>
      <c r="F25" t="s">
        <v>155</v>
      </c>
    </row>
    <row r="26" spans="2:9" x14ac:dyDescent="0.25">
      <c r="B26" s="41" t="s">
        <v>131</v>
      </c>
      <c r="C26" s="173">
        <f ca="1">C9*(LOG(C10/C21)/LOG(2))</f>
        <v>19.856399467055024</v>
      </c>
      <c r="D26" t="s">
        <v>98</v>
      </c>
      <c r="F26" s="69" t="s">
        <v>156</v>
      </c>
    </row>
    <row r="27" spans="2:9" x14ac:dyDescent="0.25">
      <c r="B27" s="37" t="s">
        <v>128</v>
      </c>
      <c r="C27" s="172">
        <f ca="1">C7+C26</f>
        <v>43954.536632105941</v>
      </c>
      <c r="F27" t="s">
        <v>157</v>
      </c>
    </row>
    <row r="28" spans="2:9" x14ac:dyDescent="0.25">
      <c r="B28" s="4" t="s">
        <v>132</v>
      </c>
      <c r="C28" s="171">
        <f ca="1">C9*(LOG(C11/C21)/LOG(2))</f>
        <v>9.1788766295570099</v>
      </c>
      <c r="D28" t="s">
        <v>98</v>
      </c>
    </row>
    <row r="29" spans="2:9" x14ac:dyDescent="0.25">
      <c r="B29" s="37" t="s">
        <v>129</v>
      </c>
      <c r="C29" s="172">
        <f ca="1">C7+C28</f>
        <v>43943.859109268444</v>
      </c>
      <c r="F29" t="s">
        <v>157</v>
      </c>
    </row>
    <row r="30" spans="2:9" x14ac:dyDescent="0.25">
      <c r="B30" s="4" t="s">
        <v>133</v>
      </c>
      <c r="C30" s="171">
        <f ca="1">C9*(LOG((C3*0.6)/C12)/LOG(2))</f>
        <v>22.095069853893261</v>
      </c>
      <c r="D30" t="s">
        <v>98</v>
      </c>
    </row>
    <row r="31" spans="2:9" x14ac:dyDescent="0.25">
      <c r="B31" s="37" t="s">
        <v>130</v>
      </c>
      <c r="C31" s="172">
        <f ca="1">C7+C30</f>
        <v>43956.775302492781</v>
      </c>
    </row>
    <row r="34" spans="2:6" x14ac:dyDescent="0.25">
      <c r="B34" s="4" t="s">
        <v>134</v>
      </c>
      <c r="C34" s="161">
        <f ca="1">C7+30</f>
        <v>43964.680232638886</v>
      </c>
      <c r="F34" t="s">
        <v>170</v>
      </c>
    </row>
    <row r="35" spans="2:6" x14ac:dyDescent="0.25">
      <c r="B35" s="41" t="s">
        <v>135</v>
      </c>
      <c r="C35" s="83">
        <f ca="1">C6*(2^((C34-C7)/C9))</f>
        <v>99628320.824055612</v>
      </c>
      <c r="F35" t="s">
        <v>142</v>
      </c>
    </row>
    <row r="36" spans="2:6" x14ac:dyDescent="0.25">
      <c r="B36" s="41" t="s">
        <v>194</v>
      </c>
      <c r="C36" s="83">
        <f ca="1">C35/Projections!B6</f>
        <v>830236006.86713016</v>
      </c>
    </row>
    <row r="37" spans="2:6" x14ac:dyDescent="0.25">
      <c r="B37" s="41" t="s">
        <v>74</v>
      </c>
      <c r="C37" s="83">
        <f ca="1">C35*Projections!B10</f>
        <v>80698939.867485046</v>
      </c>
    </row>
    <row r="38" spans="2:6" x14ac:dyDescent="0.25">
      <c r="B38" s="41" t="s">
        <v>123</v>
      </c>
      <c r="C38" s="83">
        <f ca="1">C35*Projections!B11</f>
        <v>13947964.915367788</v>
      </c>
    </row>
    <row r="39" spans="2:6" x14ac:dyDescent="0.25">
      <c r="B39" s="41" t="s">
        <v>124</v>
      </c>
      <c r="C39" s="83">
        <f ca="1">C35*Projections!B12</f>
        <v>4981416.0412027808</v>
      </c>
    </row>
    <row r="40" spans="2:6" x14ac:dyDescent="0.25">
      <c r="B40" s="37" t="s">
        <v>125</v>
      </c>
      <c r="C40" s="61">
        <f ca="1">C35*Projections!B13</f>
        <v>3985132.8329622247</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265" t="s">
        <v>189</v>
      </c>
      <c r="B2" s="229"/>
      <c r="C2" s="76"/>
    </row>
    <row r="3" spans="1:4" x14ac:dyDescent="0.25">
      <c r="A3" s="265"/>
      <c r="B3" s="229" t="s">
        <v>190</v>
      </c>
      <c r="C3" s="76"/>
    </row>
    <row r="4" spans="1:4" x14ac:dyDescent="0.25">
      <c r="A4" s="264" t="s">
        <v>47</v>
      </c>
      <c r="B4" s="232">
        <v>308745538</v>
      </c>
      <c r="C4" s="76"/>
    </row>
    <row r="5" spans="1:4" x14ac:dyDescent="0.25">
      <c r="A5" s="264"/>
      <c r="B5" s="230">
        <v>1</v>
      </c>
      <c r="C5" s="76"/>
    </row>
    <row r="6" spans="1:4" x14ac:dyDescent="0.25">
      <c r="A6" s="264" t="s">
        <v>21</v>
      </c>
      <c r="B6" s="232">
        <v>20201362</v>
      </c>
      <c r="C6" s="76"/>
    </row>
    <row r="7" spans="1:4" x14ac:dyDescent="0.25">
      <c r="A7" s="264"/>
      <c r="B7" s="231">
        <f>B6/$B$4</f>
        <v>6.5430458139932701E-2</v>
      </c>
      <c r="C7" s="77"/>
    </row>
    <row r="8" spans="1:4" x14ac:dyDescent="0.25">
      <c r="A8" s="264" t="s">
        <v>22</v>
      </c>
      <c r="B8" s="232">
        <v>20348657</v>
      </c>
      <c r="C8" s="76"/>
    </row>
    <row r="9" spans="1:4" x14ac:dyDescent="0.25">
      <c r="A9" s="264"/>
      <c r="B9" s="231">
        <f>B8/$B$4</f>
        <v>6.590753386045696E-2</v>
      </c>
      <c r="C9" s="232">
        <f>B6+B8</f>
        <v>40550019</v>
      </c>
      <c r="D9" s="1">
        <f>C9/$B$4</f>
        <v>0.13133799200038965</v>
      </c>
    </row>
    <row r="10" spans="1:4" x14ac:dyDescent="0.25">
      <c r="A10" s="264" t="s">
        <v>23</v>
      </c>
      <c r="B10" s="232">
        <v>20677194</v>
      </c>
      <c r="C10" s="76"/>
    </row>
    <row r="11" spans="1:4" x14ac:dyDescent="0.25">
      <c r="A11" s="264"/>
      <c r="B11" s="231">
        <f>B10/$B$4</f>
        <v>6.6971636688074182E-2</v>
      </c>
      <c r="C11" s="76"/>
    </row>
    <row r="12" spans="1:4" x14ac:dyDescent="0.25">
      <c r="A12" s="264" t="s">
        <v>24</v>
      </c>
      <c r="B12" s="232">
        <v>22040343</v>
      </c>
      <c r="C12" s="76"/>
    </row>
    <row r="13" spans="1:4" x14ac:dyDescent="0.25">
      <c r="A13" s="264"/>
      <c r="B13" s="231">
        <f>B12/$B$4</f>
        <v>7.13867579844992E-2</v>
      </c>
      <c r="C13" s="232">
        <f>B10+B12</f>
        <v>42717537</v>
      </c>
      <c r="D13" s="1">
        <f>C13/$B$4</f>
        <v>0.13835839467257338</v>
      </c>
    </row>
    <row r="14" spans="1:4" x14ac:dyDescent="0.25">
      <c r="A14" s="264" t="s">
        <v>25</v>
      </c>
      <c r="B14" s="232">
        <v>21585999</v>
      </c>
      <c r="C14" s="76"/>
    </row>
    <row r="15" spans="1:4" x14ac:dyDescent="0.25">
      <c r="A15" s="264"/>
      <c r="B15" s="231">
        <f>B14/$B$4</f>
        <v>6.9915177203305853E-2</v>
      </c>
      <c r="C15" s="76"/>
    </row>
    <row r="16" spans="1:4" x14ac:dyDescent="0.25">
      <c r="A16" s="264" t="s">
        <v>26</v>
      </c>
      <c r="B16" s="232">
        <v>21101849</v>
      </c>
      <c r="C16" s="76"/>
    </row>
    <row r="17" spans="1:4" x14ac:dyDescent="0.25">
      <c r="A17" s="264"/>
      <c r="B17" s="231">
        <f>B16/$B$4</f>
        <v>6.8347057375125531E-2</v>
      </c>
      <c r="C17" s="232">
        <f>B14+B16</f>
        <v>42687848</v>
      </c>
      <c r="D17" s="1">
        <f>C17/$B$4</f>
        <v>0.13826223457843137</v>
      </c>
    </row>
    <row r="18" spans="1:4" x14ac:dyDescent="0.25">
      <c r="A18" s="264" t="s">
        <v>27</v>
      </c>
      <c r="B18" s="232">
        <v>19962099</v>
      </c>
      <c r="C18" s="76"/>
    </row>
    <row r="19" spans="1:4" x14ac:dyDescent="0.25">
      <c r="A19" s="264"/>
      <c r="B19" s="231">
        <f>B18/$B$4</f>
        <v>6.465550604977488E-2</v>
      </c>
      <c r="C19" s="77"/>
    </row>
    <row r="20" spans="1:4" x14ac:dyDescent="0.25">
      <c r="A20" s="264" t="s">
        <v>28</v>
      </c>
      <c r="B20" s="232">
        <v>20179642</v>
      </c>
      <c r="C20" s="76"/>
    </row>
    <row r="21" spans="1:4" x14ac:dyDescent="0.25">
      <c r="A21" s="264"/>
      <c r="B21" s="231">
        <f>B20/$B$4</f>
        <v>6.5360108945121009E-2</v>
      </c>
      <c r="C21" s="232">
        <f>B18+B20</f>
        <v>40141741</v>
      </c>
      <c r="D21" s="1">
        <f>C21/$B$4</f>
        <v>0.13001561499489589</v>
      </c>
    </row>
    <row r="22" spans="1:4" x14ac:dyDescent="0.25">
      <c r="A22" s="264" t="s">
        <v>29</v>
      </c>
      <c r="B22" s="232">
        <v>20890964</v>
      </c>
      <c r="C22" s="76"/>
    </row>
    <row r="23" spans="1:4" x14ac:dyDescent="0.25">
      <c r="A23" s="264"/>
      <c r="B23" s="231">
        <f>B22/$B$4</f>
        <v>6.7664019163898012E-2</v>
      </c>
      <c r="C23" s="76"/>
    </row>
    <row r="24" spans="1:4" x14ac:dyDescent="0.25">
      <c r="A24" s="264" t="s">
        <v>30</v>
      </c>
      <c r="B24" s="232">
        <v>22708591</v>
      </c>
      <c r="C24" s="76"/>
    </row>
    <row r="25" spans="1:4" x14ac:dyDescent="0.25">
      <c r="A25" s="264"/>
      <c r="B25" s="231">
        <f>B24/$B$4</f>
        <v>7.3551155255885833E-2</v>
      </c>
      <c r="C25" s="232">
        <f>B22+B24</f>
        <v>43599555</v>
      </c>
      <c r="D25" s="1">
        <f>C25/$B$4</f>
        <v>0.14121517441978385</v>
      </c>
    </row>
    <row r="26" spans="1:4" x14ac:dyDescent="0.25">
      <c r="A26" s="264" t="s">
        <v>31</v>
      </c>
      <c r="B26" s="232">
        <v>22298125</v>
      </c>
      <c r="C26" s="76"/>
    </row>
    <row r="27" spans="1:4" x14ac:dyDescent="0.25">
      <c r="A27" s="264"/>
      <c r="B27" s="231">
        <f>B26/$B$4</f>
        <v>7.2221691508299629E-2</v>
      </c>
      <c r="C27" s="76"/>
    </row>
    <row r="28" spans="1:4" x14ac:dyDescent="0.25">
      <c r="A28" s="264" t="s">
        <v>32</v>
      </c>
      <c r="B28" s="232">
        <v>19664805</v>
      </c>
      <c r="C28" s="76"/>
    </row>
    <row r="29" spans="1:4" x14ac:dyDescent="0.25">
      <c r="A29" s="264"/>
      <c r="B29" s="231">
        <f>B28/$B$4</f>
        <v>6.3692596587420158E-2</v>
      </c>
      <c r="C29" s="232">
        <f>B26+B28</f>
        <v>41962930</v>
      </c>
      <c r="D29" s="1">
        <f>C29/$B$4</f>
        <v>0.13591428809571979</v>
      </c>
    </row>
    <row r="30" spans="1:4" x14ac:dyDescent="0.25">
      <c r="A30" s="264" t="s">
        <v>33</v>
      </c>
      <c r="B30" s="232">
        <v>16817924</v>
      </c>
      <c r="C30" s="76"/>
    </row>
    <row r="31" spans="1:4" x14ac:dyDescent="0.25">
      <c r="A31" s="264"/>
      <c r="B31" s="231">
        <f>B30/$B$4</f>
        <v>5.4471796123576693E-2</v>
      </c>
      <c r="C31" s="77"/>
    </row>
    <row r="32" spans="1:4" x14ac:dyDescent="0.25">
      <c r="A32" s="264" t="s">
        <v>34</v>
      </c>
      <c r="B32" s="232">
        <v>12435263</v>
      </c>
      <c r="C32" s="76"/>
    </row>
    <row r="33" spans="1:4" x14ac:dyDescent="0.25">
      <c r="A33" s="264"/>
      <c r="B33" s="231">
        <f>B32/$B$4</f>
        <v>4.027673753782314E-2</v>
      </c>
      <c r="C33" s="232">
        <f>B30+B32</f>
        <v>29253187</v>
      </c>
      <c r="D33" s="1">
        <f>C33/$B$4</f>
        <v>9.4748533661399834E-2</v>
      </c>
    </row>
    <row r="34" spans="1:4" x14ac:dyDescent="0.25">
      <c r="A34" s="264" t="s">
        <v>35</v>
      </c>
      <c r="B34" s="232">
        <v>9278166</v>
      </c>
      <c r="C34" s="76"/>
    </row>
    <row r="35" spans="1:4" x14ac:dyDescent="0.25">
      <c r="A35" s="264"/>
      <c r="B35" s="231">
        <f>B34/$B$4</f>
        <v>3.0051174375190486E-2</v>
      </c>
      <c r="C35" s="76"/>
    </row>
    <row r="36" spans="1:4" x14ac:dyDescent="0.25">
      <c r="A36" s="264" t="s">
        <v>36</v>
      </c>
      <c r="B36" s="232">
        <v>7317795</v>
      </c>
      <c r="C36" s="76"/>
    </row>
    <row r="37" spans="1:4" x14ac:dyDescent="0.25">
      <c r="A37" s="264"/>
      <c r="B37" s="231">
        <f>B36/$B$4</f>
        <v>2.370170285667416E-2</v>
      </c>
      <c r="C37" s="232">
        <f>B34+B36</f>
        <v>16595961</v>
      </c>
      <c r="D37" s="1">
        <f>C37/$B$4</f>
        <v>5.3752877231864643E-2</v>
      </c>
    </row>
    <row r="38" spans="1:4" x14ac:dyDescent="0.25">
      <c r="A38" s="264" t="s">
        <v>37</v>
      </c>
      <c r="B38" s="232">
        <v>5743327</v>
      </c>
      <c r="C38" s="76"/>
    </row>
    <row r="39" spans="1:4" x14ac:dyDescent="0.25">
      <c r="A39" s="264"/>
      <c r="B39" s="231">
        <f>B38/$B$4</f>
        <v>1.8602137660690663E-2</v>
      </c>
      <c r="C39" s="76"/>
    </row>
    <row r="40" spans="1:4" x14ac:dyDescent="0.25">
      <c r="A40" s="264" t="s">
        <v>188</v>
      </c>
      <c r="B40" s="232">
        <v>5493433</v>
      </c>
      <c r="C40" s="76"/>
    </row>
    <row r="41" spans="1:4" x14ac:dyDescent="0.25">
      <c r="A41" s="264"/>
      <c r="B41" s="231">
        <f>B40/$B$4</f>
        <v>1.7792752684250939E-2</v>
      </c>
      <c r="C41" s="23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38:A39"/>
    <mergeCell ref="A40:A41"/>
    <mergeCell ref="A26:A27"/>
    <mergeCell ref="A28:A29"/>
    <mergeCell ref="A30:A31"/>
    <mergeCell ref="A32:A33"/>
    <mergeCell ref="A34:A35"/>
    <mergeCell ref="A36:A37"/>
    <mergeCell ref="A24:A25"/>
    <mergeCell ref="A2:A3"/>
    <mergeCell ref="A4:A5"/>
    <mergeCell ref="A6:A7"/>
    <mergeCell ref="A8:A9"/>
    <mergeCell ref="A10:A11"/>
    <mergeCell ref="A12:A13"/>
    <mergeCell ref="A14:A15"/>
    <mergeCell ref="A16:A17"/>
    <mergeCell ref="A18:A19"/>
    <mergeCell ref="A20:A21"/>
    <mergeCell ref="A22:A23"/>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191</v>
      </c>
    </row>
    <row r="2" spans="1:3" x14ac:dyDescent="0.25">
      <c r="A2" t="s">
        <v>192</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2020-04-13T06:20:00Z</dcterms:modified>
</cp:coreProperties>
</file>