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D002B25-F516-4531-98E4-CE2ED4B6217D}" xr6:coauthVersionLast="45" xr6:coauthVersionMax="45" xr10:uidLastSave="{00000000-0000-0000-0000-000000000000}"/>
  <bookViews>
    <workbookView xWindow="105" yWindow="75"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6" i="1" l="1"/>
  <c r="B37" i="1" l="1"/>
  <c r="D5" i="3" l="1"/>
  <c r="D6" i="3"/>
  <c r="D7" i="3"/>
  <c r="F21" i="3" s="1"/>
  <c r="D8" i="3"/>
  <c r="F22" i="3" s="1"/>
  <c r="E90" i="1" s="1"/>
  <c r="D9" i="3"/>
  <c r="D10" i="3"/>
  <c r="F24" i="3" s="1"/>
  <c r="E94" i="1" s="1"/>
  <c r="D11" i="3"/>
  <c r="F25" i="3" s="1"/>
  <c r="E96" i="1" s="1"/>
  <c r="D12" i="3"/>
  <c r="F26" i="3" s="1"/>
  <c r="E98" i="1" s="1"/>
  <c r="D4" i="3"/>
  <c r="B28" i="3"/>
  <c r="C28" i="3"/>
  <c r="D19" i="3"/>
  <c r="D20" i="3"/>
  <c r="D21" i="3"/>
  <c r="D22" i="3"/>
  <c r="D23" i="3"/>
  <c r="D24" i="3"/>
  <c r="D25" i="3"/>
  <c r="D26" i="3"/>
  <c r="D18" i="3"/>
  <c r="F20" i="3" l="1"/>
  <c r="E86" i="1" s="1"/>
  <c r="F23" i="3"/>
  <c r="E92" i="1" s="1"/>
  <c r="F18" i="3"/>
  <c r="E82" i="1" s="1"/>
  <c r="D28" i="3"/>
  <c r="E88" i="1"/>
  <c r="E23" i="3"/>
  <c r="E20" i="3"/>
  <c r="E21" i="3"/>
  <c r="E24" i="3"/>
  <c r="E25" i="3"/>
  <c r="E26" i="3"/>
  <c r="F19" i="3"/>
  <c r="E84" i="1" s="1"/>
  <c r="P76" i="1"/>
  <c r="E22" i="3" l="1"/>
  <c r="C29" i="3"/>
  <c r="E19" i="3"/>
  <c r="B29" i="3"/>
  <c r="E18" i="3"/>
  <c r="O76" i="1"/>
  <c r="L76" i="1" l="1"/>
  <c r="M76" i="1"/>
  <c r="N76" i="1"/>
  <c r="K76" i="1"/>
  <c r="I76" i="1"/>
  <c r="J76" i="1"/>
  <c r="H76" i="1"/>
  <c r="G76" i="1"/>
  <c r="E34" i="4" l="1"/>
  <c r="C45" i="4"/>
  <c r="H48" i="1" l="1"/>
  <c r="I48" i="1" l="1"/>
  <c r="G74" i="1"/>
  <c r="G59" i="1" s="1"/>
  <c r="N7" i="1"/>
  <c r="N6" i="1"/>
  <c r="M5" i="1"/>
  <c r="K4" i="1"/>
  <c r="J3" i="1"/>
  <c r="F2" i="1"/>
  <c r="P14" i="1"/>
  <c r="O13" i="1"/>
  <c r="N10" i="1"/>
  <c r="N9" i="1"/>
  <c r="G72" i="1"/>
  <c r="G71" i="1"/>
  <c r="J48" i="1" l="1"/>
  <c r="G60" i="1"/>
  <c r="G61" i="1"/>
  <c r="G62" i="1" s="1"/>
  <c r="K48" i="1" l="1"/>
  <c r="G57" i="1"/>
  <c r="G58" i="1" s="1"/>
  <c r="G53" i="1"/>
  <c r="G55" i="1" s="1"/>
  <c r="G56" i="1" s="1"/>
  <c r="C12" i="5"/>
  <c r="C7" i="5"/>
  <c r="C8" i="5" s="1"/>
  <c r="C9" i="5" s="1"/>
  <c r="C21" i="5"/>
  <c r="C18" i="5"/>
  <c r="C15" i="5"/>
  <c r="C24" i="5"/>
  <c r="C3" i="5"/>
  <c r="L48" i="1" l="1"/>
  <c r="C30" i="5"/>
  <c r="G51" i="1"/>
  <c r="G52" i="1" s="1"/>
  <c r="C34" i="5"/>
  <c r="M48" i="1" l="1"/>
  <c r="C13" i="5"/>
  <c r="C14" i="5" s="1"/>
  <c r="G54" i="1"/>
  <c r="AG50" i="1"/>
  <c r="AG49" i="1" s="1"/>
  <c r="AG53" i="1"/>
  <c r="AF49" i="1"/>
  <c r="AF50" i="1" s="1"/>
  <c r="G67" i="1"/>
  <c r="G65" i="1"/>
  <c r="G68" i="1"/>
  <c r="G66" i="1"/>
  <c r="N48" i="1" l="1"/>
  <c r="AG54" i="1"/>
  <c r="AG55" i="1"/>
  <c r="AG63" i="1"/>
  <c r="AG57" i="1"/>
  <c r="AG61" i="1"/>
  <c r="AG59" i="1"/>
  <c r="AF73" i="1"/>
  <c r="AG73" i="1" s="1"/>
  <c r="AF57" i="1"/>
  <c r="AF53" i="1"/>
  <c r="AF55" i="1" s="1"/>
  <c r="C22" i="5"/>
  <c r="C23" i="5" s="1"/>
  <c r="C35" i="5"/>
  <c r="C40" i="5" s="1"/>
  <c r="C25" i="5"/>
  <c r="C19" i="5"/>
  <c r="C20" i="5" s="1"/>
  <c r="C16" i="5"/>
  <c r="C17" i="5" s="1"/>
  <c r="C31" i="5"/>
  <c r="AP25" i="4"/>
  <c r="E31" i="4"/>
  <c r="B17" i="4" s="1"/>
  <c r="B18" i="4" l="1"/>
  <c r="H21" i="4" s="1"/>
  <c r="V24" i="4" s="1"/>
  <c r="K20" i="4"/>
  <c r="T48" i="1"/>
  <c r="P48"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48" i="1" l="1"/>
  <c r="S48" i="1"/>
  <c r="P74" i="1"/>
  <c r="R48" i="1"/>
  <c r="R71" i="1" s="1"/>
  <c r="O48" i="1"/>
  <c r="R72" i="1"/>
  <c r="R64" i="1"/>
  <c r="S71" i="1"/>
  <c r="S72" i="1"/>
  <c r="U48" i="1"/>
  <c r="E18" i="4"/>
  <c r="E19" i="4" s="1"/>
  <c r="H17" i="4"/>
  <c r="B19" i="4"/>
  <c r="G104" i="1"/>
  <c r="G105" i="1" s="1"/>
  <c r="S64" i="1" l="1"/>
  <c r="Q71" i="1"/>
  <c r="Q74" i="1"/>
  <c r="Q72" i="1"/>
  <c r="Q64" i="1"/>
  <c r="O71" i="1"/>
  <c r="O64" i="1"/>
  <c r="O74" i="1"/>
  <c r="O72" i="1"/>
  <c r="P71" i="1"/>
  <c r="P64" i="1"/>
  <c r="P72" i="1"/>
  <c r="V48" i="1"/>
  <c r="H18" i="4"/>
  <c r="H19" i="4" s="1"/>
  <c r="Q20" i="4"/>
  <c r="K17" i="4"/>
  <c r="T20" i="4" s="1"/>
  <c r="K21" i="4"/>
  <c r="Y24" i="4" s="1"/>
  <c r="D14" i="3"/>
  <c r="W48" i="1" l="1"/>
  <c r="K18" i="4"/>
  <c r="K19" i="4" s="1"/>
  <c r="N22" i="4"/>
  <c r="N17" i="4"/>
  <c r="W20" i="4" s="1"/>
  <c r="N21" i="4"/>
  <c r="AB24" i="4" s="1"/>
  <c r="X48" i="1" l="1"/>
  <c r="Q17" i="4"/>
  <c r="T17" i="4" s="1"/>
  <c r="N18" i="4"/>
  <c r="N19" i="4" s="1"/>
  <c r="Q21" i="4"/>
  <c r="AE24" i="4" s="1"/>
  <c r="Q22" i="4"/>
  <c r="B97" i="1"/>
  <c r="B95" i="1"/>
  <c r="B93" i="1"/>
  <c r="B91" i="1"/>
  <c r="B89" i="1"/>
  <c r="B87" i="1"/>
  <c r="B85" i="1"/>
  <c r="B83" i="1"/>
  <c r="B81" i="1"/>
  <c r="Y48" i="1" l="1"/>
  <c r="T18" i="4"/>
  <c r="T19" i="4" s="1"/>
  <c r="AC20" i="4"/>
  <c r="Q18" i="4"/>
  <c r="Q19" i="4" s="1"/>
  <c r="Z20" i="4"/>
  <c r="T21" i="4"/>
  <c r="AH24" i="4" s="1"/>
  <c r="T22" i="4"/>
  <c r="T23" i="4"/>
  <c r="W17" i="4"/>
  <c r="W22" i="4" l="1"/>
  <c r="W23" i="4"/>
  <c r="W21" i="4"/>
  <c r="AK24" i="4" s="1"/>
  <c r="Z48" i="1"/>
  <c r="W18" i="4"/>
  <c r="W19" i="4" s="1"/>
  <c r="AF20" i="4"/>
  <c r="Z21" i="4"/>
  <c r="AN24" i="4" s="1"/>
  <c r="Z23" i="4"/>
  <c r="Z22" i="4"/>
  <c r="Z17" i="4"/>
  <c r="C114" i="1"/>
  <c r="C112" i="1"/>
  <c r="C110" i="1"/>
  <c r="C108" i="1"/>
  <c r="C106" i="1"/>
  <c r="C104" i="1"/>
  <c r="G63" i="1"/>
  <c r="E5" i="3"/>
  <c r="D83" i="1" s="1"/>
  <c r="AA48" i="1" l="1"/>
  <c r="Z18" i="4"/>
  <c r="Z19" i="4" s="1"/>
  <c r="AI20" i="4"/>
  <c r="AC21" i="4"/>
  <c r="AC22" i="4"/>
  <c r="AC23" i="4"/>
  <c r="AC17" i="4"/>
  <c r="AF108" i="1"/>
  <c r="AF109" i="1" s="1"/>
  <c r="AF63" i="1"/>
  <c r="AF104" i="1"/>
  <c r="AF105" i="1" s="1"/>
  <c r="AF110" i="1"/>
  <c r="AF111" i="1" s="1"/>
  <c r="AF106" i="1"/>
  <c r="AF107" i="1" s="1"/>
  <c r="AF114" i="1"/>
  <c r="AF112" i="1"/>
  <c r="AF113" i="1" s="1"/>
  <c r="AF83" i="1"/>
  <c r="AF84" i="1"/>
  <c r="E7" i="3"/>
  <c r="D87" i="1" s="1"/>
  <c r="E4" i="3"/>
  <c r="D81" i="1" s="1"/>
  <c r="E12" i="3"/>
  <c r="D97" i="1" s="1"/>
  <c r="E11" i="3"/>
  <c r="D95" i="1" s="1"/>
  <c r="E10" i="3"/>
  <c r="D93" i="1" s="1"/>
  <c r="E9" i="3"/>
  <c r="D91" i="1" s="1"/>
  <c r="E8" i="3"/>
  <c r="D89" i="1" s="1"/>
  <c r="E6" i="3"/>
  <c r="D85" i="1" s="1"/>
  <c r="C39" i="1"/>
  <c r="C10" i="5" s="1"/>
  <c r="C26" i="5" s="1"/>
  <c r="C27" i="5" s="1"/>
  <c r="C40" i="1"/>
  <c r="C11" i="5" s="1"/>
  <c r="C28" i="5" s="1"/>
  <c r="C29" i="5" s="1"/>
  <c r="G84" i="1"/>
  <c r="G114" i="1"/>
  <c r="G112" i="1"/>
  <c r="G110" i="1"/>
  <c r="G111" i="1" s="1"/>
  <c r="G108" i="1"/>
  <c r="G109" i="1" s="1"/>
  <c r="G106" i="1"/>
  <c r="G107" i="1" s="1"/>
  <c r="C83" i="1"/>
  <c r="C85" i="1"/>
  <c r="C87" i="1"/>
  <c r="C89" i="1"/>
  <c r="C91" i="1"/>
  <c r="C93" i="1"/>
  <c r="C95" i="1"/>
  <c r="C97" i="1"/>
  <c r="C81" i="1"/>
  <c r="C13" i="2"/>
  <c r="D13" i="2" s="1"/>
  <c r="C25" i="2"/>
  <c r="D25" i="2" s="1"/>
  <c r="C37" i="2"/>
  <c r="D37" i="2" s="1"/>
  <c r="D49" i="2"/>
  <c r="C49" i="2"/>
  <c r="C61" i="2"/>
  <c r="D61" i="2" s="1"/>
  <c r="D73" i="2"/>
  <c r="C73" i="2"/>
  <c r="C85" i="2"/>
  <c r="D85" i="2" s="1"/>
  <c r="C107" i="2"/>
  <c r="D107" i="2" s="1"/>
  <c r="C97" i="2"/>
  <c r="D97" i="2" s="1"/>
  <c r="G50" i="1"/>
  <c r="H49" i="1"/>
  <c r="AF85" i="1" l="1"/>
  <c r="G98" i="1"/>
  <c r="AB48" i="1"/>
  <c r="AC18" i="4"/>
  <c r="AC19" i="4" s="1"/>
  <c r="AL20" i="4"/>
  <c r="H59" i="1"/>
  <c r="H61" i="1"/>
  <c r="H62" i="1" s="1"/>
  <c r="H74" i="1"/>
  <c r="H72" i="1"/>
  <c r="H57" i="1"/>
  <c r="H58" i="1" s="1"/>
  <c r="H65" i="1"/>
  <c r="H68" i="1"/>
  <c r="H71" i="1"/>
  <c r="H66" i="1"/>
  <c r="H67" i="1"/>
  <c r="AF116" i="1"/>
  <c r="H53" i="1"/>
  <c r="AF22" i="4"/>
  <c r="AF23" i="4"/>
  <c r="AF21" i="4"/>
  <c r="AF17" i="4"/>
  <c r="G82" i="1"/>
  <c r="G81" i="1"/>
  <c r="AF117" i="1"/>
  <c r="G90" i="1"/>
  <c r="G89" i="1"/>
  <c r="AF93" i="1"/>
  <c r="AF94" i="1"/>
  <c r="AF95" i="1"/>
  <c r="AF96" i="1"/>
  <c r="AF89" i="1"/>
  <c r="AF90" i="1"/>
  <c r="AF87" i="1"/>
  <c r="AF88" i="1"/>
  <c r="AF92" i="1"/>
  <c r="AF91" i="1"/>
  <c r="G93" i="1"/>
  <c r="G92" i="1"/>
  <c r="G95" i="1"/>
  <c r="AF81" i="1"/>
  <c r="AF82" i="1"/>
  <c r="AF86" i="1"/>
  <c r="AF98" i="1"/>
  <c r="AF97" i="1"/>
  <c r="G85" i="1"/>
  <c r="I49" i="1"/>
  <c r="I57" i="1" s="1"/>
  <c r="I58" i="1" s="1"/>
  <c r="H108" i="1"/>
  <c r="H109" i="1" s="1"/>
  <c r="G86" i="1"/>
  <c r="H97" i="1"/>
  <c r="H106" i="1"/>
  <c r="H107" i="1" s="1"/>
  <c r="G94" i="1"/>
  <c r="H95" i="1"/>
  <c r="H114" i="1"/>
  <c r="G83" i="1"/>
  <c r="G91" i="1"/>
  <c r="H112" i="1"/>
  <c r="H113" i="1" s="1"/>
  <c r="H110" i="1"/>
  <c r="H111" i="1" s="1"/>
  <c r="H93" i="1"/>
  <c r="H86" i="1"/>
  <c r="H90" i="1"/>
  <c r="H94" i="1"/>
  <c r="H98" i="1"/>
  <c r="G116" i="1"/>
  <c r="H104" i="1"/>
  <c r="H105" i="1" s="1"/>
  <c r="G87" i="1"/>
  <c r="H83" i="1"/>
  <c r="G88" i="1"/>
  <c r="G96" i="1"/>
  <c r="H87" i="1"/>
  <c r="H84" i="1"/>
  <c r="H91" i="1"/>
  <c r="G97" i="1"/>
  <c r="H81" i="1"/>
  <c r="H88" i="1"/>
  <c r="H92" i="1"/>
  <c r="H96" i="1"/>
  <c r="H85" i="1"/>
  <c r="H82" i="1"/>
  <c r="H89" i="1"/>
  <c r="G113" i="1"/>
  <c r="G117" i="1" s="1"/>
  <c r="H50" i="1"/>
  <c r="H63" i="1"/>
  <c r="AC48" i="1" l="1"/>
  <c r="AF18" i="4"/>
  <c r="AF19" i="4" s="1"/>
  <c r="AO20" i="4"/>
  <c r="H60" i="1"/>
  <c r="H51" i="1" s="1"/>
  <c r="H52" i="1" s="1"/>
  <c r="I106" i="1"/>
  <c r="I107" i="1" s="1"/>
  <c r="I87" i="1"/>
  <c r="I61" i="1"/>
  <c r="I62" i="1" s="1"/>
  <c r="I112" i="1"/>
  <c r="I113" i="1" s="1"/>
  <c r="I83" i="1"/>
  <c r="I82" i="1"/>
  <c r="I104" i="1"/>
  <c r="I105" i="1" s="1"/>
  <c r="I84" i="1"/>
  <c r="I50" i="1"/>
  <c r="H54" i="1"/>
  <c r="H55" i="1"/>
  <c r="H56" i="1" s="1"/>
  <c r="I72" i="1"/>
  <c r="I74" i="1"/>
  <c r="J49" i="1"/>
  <c r="J57" i="1" s="1"/>
  <c r="J58" i="1" s="1"/>
  <c r="I53" i="1"/>
  <c r="I63" i="1"/>
  <c r="I97" i="1"/>
  <c r="I96" i="1"/>
  <c r="I108" i="1"/>
  <c r="I109" i="1" s="1"/>
  <c r="I92" i="1"/>
  <c r="I91" i="1"/>
  <c r="I67" i="1"/>
  <c r="I65" i="1"/>
  <c r="I68" i="1"/>
  <c r="I71" i="1"/>
  <c r="I66" i="1"/>
  <c r="AI23" i="4"/>
  <c r="AI21" i="4"/>
  <c r="AI22" i="4"/>
  <c r="AI17" i="4"/>
  <c r="AI18" i="4" s="1"/>
  <c r="AF99" i="1"/>
  <c r="AF100" i="1"/>
  <c r="G100" i="1"/>
  <c r="H100" i="1"/>
  <c r="I94" i="1"/>
  <c r="I93" i="1"/>
  <c r="I89" i="1"/>
  <c r="I86" i="1"/>
  <c r="I88" i="1"/>
  <c r="I81" i="1"/>
  <c r="I90" i="1"/>
  <c r="I95" i="1"/>
  <c r="I114" i="1"/>
  <c r="I85" i="1"/>
  <c r="I110" i="1"/>
  <c r="I111" i="1" s="1"/>
  <c r="I98" i="1"/>
  <c r="H116" i="1"/>
  <c r="G99" i="1"/>
  <c r="H99" i="1"/>
  <c r="H117" i="1"/>
  <c r="J84" i="1" l="1"/>
  <c r="J98" i="1"/>
  <c r="J94" i="1"/>
  <c r="J96" i="1"/>
  <c r="J93" i="1"/>
  <c r="J106" i="1"/>
  <c r="J107" i="1" s="1"/>
  <c r="J85" i="1"/>
  <c r="J91" i="1"/>
  <c r="J114" i="1"/>
  <c r="J81" i="1"/>
  <c r="J88" i="1"/>
  <c r="J86" i="1"/>
  <c r="AD48" i="1"/>
  <c r="J61" i="1"/>
  <c r="J62" i="1" s="1"/>
  <c r="J92" i="1"/>
  <c r="J90" i="1"/>
  <c r="J83" i="1"/>
  <c r="J104" i="1"/>
  <c r="J105" i="1" s="1"/>
  <c r="J87" i="1"/>
  <c r="K49" i="1"/>
  <c r="K93" i="1" s="1"/>
  <c r="J97" i="1"/>
  <c r="J95" i="1"/>
  <c r="J63" i="1"/>
  <c r="J108" i="1"/>
  <c r="J109" i="1" s="1"/>
  <c r="I117" i="1"/>
  <c r="J82" i="1"/>
  <c r="J110" i="1"/>
  <c r="J111" i="1" s="1"/>
  <c r="J112" i="1"/>
  <c r="J113" i="1" s="1"/>
  <c r="J50" i="1"/>
  <c r="J89" i="1"/>
  <c r="J72" i="1"/>
  <c r="J74" i="1"/>
  <c r="I54" i="1"/>
  <c r="I55" i="1"/>
  <c r="I56" i="1" s="1"/>
  <c r="J66" i="1"/>
  <c r="J67" i="1"/>
  <c r="J68" i="1"/>
  <c r="J71" i="1"/>
  <c r="J65" i="1"/>
  <c r="I116" i="1"/>
  <c r="J53" i="1"/>
  <c r="AL22" i="4"/>
  <c r="AL21" i="4"/>
  <c r="AL23" i="4"/>
  <c r="AL17" i="4"/>
  <c r="AL18" i="4" s="1"/>
  <c r="AI19" i="4"/>
  <c r="I99" i="1"/>
  <c r="I100" i="1"/>
  <c r="AE48" i="1" l="1"/>
  <c r="K97" i="1"/>
  <c r="K94" i="1"/>
  <c r="K106" i="1"/>
  <c r="K107" i="1" s="1"/>
  <c r="K91" i="1"/>
  <c r="K92" i="1"/>
  <c r="K83" i="1"/>
  <c r="K89" i="1"/>
  <c r="K104" i="1"/>
  <c r="K105" i="1" s="1"/>
  <c r="J100" i="1"/>
  <c r="K90" i="1"/>
  <c r="K82" i="1"/>
  <c r="K112" i="1"/>
  <c r="K113" i="1" s="1"/>
  <c r="K96" i="1"/>
  <c r="K88" i="1"/>
  <c r="K95" i="1"/>
  <c r="K110" i="1"/>
  <c r="K111" i="1" s="1"/>
  <c r="J117" i="1"/>
  <c r="K57" i="1"/>
  <c r="K50" i="1"/>
  <c r="K84" i="1"/>
  <c r="K85" i="1"/>
  <c r="K108" i="1"/>
  <c r="K109" i="1" s="1"/>
  <c r="K53" i="1"/>
  <c r="K55" i="1" s="1"/>
  <c r="K63" i="1"/>
  <c r="K87" i="1"/>
  <c r="L49" i="1"/>
  <c r="L94" i="1" s="1"/>
  <c r="K98" i="1"/>
  <c r="J99" i="1"/>
  <c r="K86" i="1"/>
  <c r="K114" i="1"/>
  <c r="J116" i="1"/>
  <c r="K81" i="1"/>
  <c r="K72" i="1"/>
  <c r="K74" i="1"/>
  <c r="J54" i="1"/>
  <c r="J55" i="1"/>
  <c r="J56" i="1" s="1"/>
  <c r="K66" i="1"/>
  <c r="K71" i="1"/>
  <c r="K67" i="1"/>
  <c r="K68" i="1"/>
  <c r="K65" i="1"/>
  <c r="AO21" i="4"/>
  <c r="AO22" i="4"/>
  <c r="AO23" i="4"/>
  <c r="AO17" i="4"/>
  <c r="AL19" i="4"/>
  <c r="L91" i="1" l="1"/>
  <c r="L84" i="1"/>
  <c r="L81" i="1"/>
  <c r="AF48" i="1"/>
  <c r="AO18" i="4"/>
  <c r="AO19" i="4" s="1"/>
  <c r="K99" i="1"/>
  <c r="K117" i="1"/>
  <c r="L97" i="1"/>
  <c r="L63" i="1"/>
  <c r="M49" i="1"/>
  <c r="M95" i="1" s="1"/>
  <c r="L86" i="1"/>
  <c r="L112" i="1"/>
  <c r="L113" i="1" s="1"/>
  <c r="L92" i="1"/>
  <c r="L93" i="1"/>
  <c r="K116" i="1"/>
  <c r="L89" i="1"/>
  <c r="K100" i="1"/>
  <c r="L50" i="1"/>
  <c r="L87" i="1"/>
  <c r="L110" i="1"/>
  <c r="L111" i="1" s="1"/>
  <c r="L57" i="1"/>
  <c r="L106" i="1"/>
  <c r="L107" i="1" s="1"/>
  <c r="L88" i="1"/>
  <c r="L53" i="1"/>
  <c r="L54" i="1" s="1"/>
  <c r="L96" i="1"/>
  <c r="L95" i="1"/>
  <c r="L90" i="1"/>
  <c r="L108" i="1"/>
  <c r="L109" i="1" s="1"/>
  <c r="L83" i="1"/>
  <c r="L104" i="1"/>
  <c r="L105" i="1" s="1"/>
  <c r="L114" i="1"/>
  <c r="L85" i="1"/>
  <c r="K54" i="1"/>
  <c r="L82" i="1"/>
  <c r="L98" i="1"/>
  <c r="L72" i="1"/>
  <c r="L74" i="1"/>
  <c r="L66" i="1"/>
  <c r="L67" i="1"/>
  <c r="L65" i="1"/>
  <c r="L68" i="1"/>
  <c r="L71" i="1"/>
  <c r="M57" i="1" l="1"/>
  <c r="M53" i="1"/>
  <c r="M55" i="1" s="1"/>
  <c r="M63" i="1"/>
  <c r="M114" i="1"/>
  <c r="M90" i="1"/>
  <c r="M82" i="1"/>
  <c r="M81" i="1"/>
  <c r="M94" i="1"/>
  <c r="M96" i="1"/>
  <c r="M83" i="1"/>
  <c r="M50" i="1"/>
  <c r="M106" i="1"/>
  <c r="M107" i="1" s="1"/>
  <c r="M92" i="1"/>
  <c r="M84" i="1"/>
  <c r="M108" i="1"/>
  <c r="M109" i="1" s="1"/>
  <c r="M87" i="1"/>
  <c r="M110" i="1"/>
  <c r="M111" i="1" s="1"/>
  <c r="M91" i="1"/>
  <c r="M88" i="1"/>
  <c r="M86" i="1"/>
  <c r="M104" i="1"/>
  <c r="M105" i="1" s="1"/>
  <c r="M93" i="1"/>
  <c r="M89" i="1"/>
  <c r="N49" i="1"/>
  <c r="M98" i="1"/>
  <c r="M97" i="1"/>
  <c r="M112" i="1"/>
  <c r="M113" i="1" s="1"/>
  <c r="M85" i="1"/>
  <c r="L117" i="1"/>
  <c r="L100" i="1"/>
  <c r="L116" i="1"/>
  <c r="L99" i="1"/>
  <c r="L55" i="1"/>
  <c r="M72" i="1"/>
  <c r="M74" i="1"/>
  <c r="M54" i="1"/>
  <c r="M66" i="1"/>
  <c r="M67" i="1"/>
  <c r="M68" i="1"/>
  <c r="M65" i="1"/>
  <c r="M71" i="1"/>
  <c r="N90" i="1" l="1"/>
  <c r="N87" i="1"/>
  <c r="N84" i="1"/>
  <c r="N81" i="1"/>
  <c r="N63" i="1"/>
  <c r="N114" i="1"/>
  <c r="N86" i="1"/>
  <c r="N91" i="1"/>
  <c r="N93" i="1"/>
  <c r="N88" i="1"/>
  <c r="N98" i="1"/>
  <c r="N106" i="1"/>
  <c r="N107" i="1" s="1"/>
  <c r="N82" i="1"/>
  <c r="N112" i="1"/>
  <c r="N113" i="1" s="1"/>
  <c r="T49" i="1"/>
  <c r="Q49" i="1" s="1"/>
  <c r="M100" i="1"/>
  <c r="M116" i="1"/>
  <c r="N94" i="1"/>
  <c r="N92" i="1"/>
  <c r="N95" i="1"/>
  <c r="N104" i="1"/>
  <c r="N105" i="1" s="1"/>
  <c r="N97" i="1"/>
  <c r="N89" i="1"/>
  <c r="N57" i="1"/>
  <c r="M117" i="1"/>
  <c r="N110" i="1"/>
  <c r="N111" i="1" s="1"/>
  <c r="N108" i="1"/>
  <c r="N109" i="1" s="1"/>
  <c r="N50" i="1"/>
  <c r="N85" i="1"/>
  <c r="N53" i="1"/>
  <c r="N54" i="1" s="1"/>
  <c r="N96" i="1"/>
  <c r="N83" i="1"/>
  <c r="M99" i="1"/>
  <c r="N64" i="1"/>
  <c r="N74" i="1"/>
  <c r="N72" i="1"/>
  <c r="N71" i="1"/>
  <c r="N66" i="1"/>
  <c r="N68" i="1"/>
  <c r="N67" i="1"/>
  <c r="N65" i="1"/>
  <c r="T57" i="1" l="1"/>
  <c r="T73" i="1"/>
  <c r="T74" i="1" s="1"/>
  <c r="R49" i="1"/>
  <c r="R73" i="1" s="1"/>
  <c r="R74" i="1" s="1"/>
  <c r="P49" i="1"/>
  <c r="S49" i="1"/>
  <c r="S73" i="1" s="1"/>
  <c r="S74" i="1" s="1"/>
  <c r="O49" i="1"/>
  <c r="N100" i="1"/>
  <c r="T89" i="1"/>
  <c r="T90" i="1"/>
  <c r="T88" i="1"/>
  <c r="T87" i="1"/>
  <c r="T50" i="1"/>
  <c r="T110" i="1"/>
  <c r="T111" i="1" s="1"/>
  <c r="T63" i="1"/>
  <c r="T112" i="1"/>
  <c r="T113" i="1" s="1"/>
  <c r="T98" i="1"/>
  <c r="T81" i="1"/>
  <c r="T94" i="1"/>
  <c r="T96" i="1"/>
  <c r="N99" i="1"/>
  <c r="T97" i="1"/>
  <c r="T53" i="1"/>
  <c r="T55" i="1" s="1"/>
  <c r="T84" i="1"/>
  <c r="T108" i="1"/>
  <c r="T109" i="1" s="1"/>
  <c r="N55" i="1"/>
  <c r="T83" i="1"/>
  <c r="T92" i="1"/>
  <c r="T106" i="1"/>
  <c r="T107" i="1" s="1"/>
  <c r="T95" i="1"/>
  <c r="T91" i="1"/>
  <c r="T104" i="1"/>
  <c r="T105" i="1" s="1"/>
  <c r="T86" i="1"/>
  <c r="T85" i="1"/>
  <c r="T114" i="1"/>
  <c r="T93" i="1"/>
  <c r="T82" i="1"/>
  <c r="U49" i="1"/>
  <c r="N116" i="1"/>
  <c r="N117" i="1"/>
  <c r="T71" i="1"/>
  <c r="T72" i="1"/>
  <c r="Q61" i="1" s="1"/>
  <c r="T66" i="1"/>
  <c r="T68" i="1"/>
  <c r="T65" i="1"/>
  <c r="T67" i="1"/>
  <c r="U85" i="1" l="1"/>
  <c r="U73" i="1"/>
  <c r="R50" i="1"/>
  <c r="R63" i="1"/>
  <c r="R114" i="1"/>
  <c r="R104" i="1"/>
  <c r="R112" i="1"/>
  <c r="R113" i="1" s="1"/>
  <c r="R106" i="1"/>
  <c r="R107" i="1" s="1"/>
  <c r="R108" i="1"/>
  <c r="R109" i="1" s="1"/>
  <c r="R110" i="1"/>
  <c r="R111" i="1" s="1"/>
  <c r="R57" i="1"/>
  <c r="R58" i="1" s="1"/>
  <c r="R53" i="1"/>
  <c r="R83" i="1"/>
  <c r="R84" i="1"/>
  <c r="R88" i="1"/>
  <c r="R97" i="1"/>
  <c r="R91" i="1"/>
  <c r="R96" i="1"/>
  <c r="R92" i="1"/>
  <c r="R90" i="1"/>
  <c r="R87" i="1"/>
  <c r="R98" i="1"/>
  <c r="R81" i="1"/>
  <c r="R95" i="1"/>
  <c r="R89" i="1"/>
  <c r="R82" i="1"/>
  <c r="R93" i="1"/>
  <c r="R94" i="1"/>
  <c r="R86" i="1"/>
  <c r="R85" i="1"/>
  <c r="Q104" i="1"/>
  <c r="Q112" i="1"/>
  <c r="Q113" i="1" s="1"/>
  <c r="Q114" i="1"/>
  <c r="Q110" i="1"/>
  <c r="Q111" i="1" s="1"/>
  <c r="Q106" i="1"/>
  <c r="Q107" i="1" s="1"/>
  <c r="Q108" i="1"/>
  <c r="Q109" i="1" s="1"/>
  <c r="Q83" i="1"/>
  <c r="Q84" i="1"/>
  <c r="Q97" i="1"/>
  <c r="Q92" i="1"/>
  <c r="Q95" i="1"/>
  <c r="Q87" i="1"/>
  <c r="Q88" i="1"/>
  <c r="Q98" i="1"/>
  <c r="Q91" i="1"/>
  <c r="Q81" i="1"/>
  <c r="Q89" i="1"/>
  <c r="Q90" i="1"/>
  <c r="Q82" i="1"/>
  <c r="Q96" i="1"/>
  <c r="Q86" i="1"/>
  <c r="Q85" i="1"/>
  <c r="Q93" i="1"/>
  <c r="Q94" i="1"/>
  <c r="S59" i="1"/>
  <c r="R59" i="1"/>
  <c r="R61" i="1"/>
  <c r="R62" i="1" s="1"/>
  <c r="U97" i="1"/>
  <c r="U93" i="1"/>
  <c r="Q50" i="1"/>
  <c r="Q57" i="1"/>
  <c r="Q58" i="1" s="1"/>
  <c r="Q53" i="1"/>
  <c r="Q63" i="1"/>
  <c r="Q59" i="1"/>
  <c r="Q62" i="1"/>
  <c r="U94" i="1"/>
  <c r="U83" i="1"/>
  <c r="U91" i="1"/>
  <c r="U82" i="1"/>
  <c r="U89" i="1"/>
  <c r="U87" i="1"/>
  <c r="U63" i="1"/>
  <c r="S112" i="1"/>
  <c r="S113" i="1" s="1"/>
  <c r="S50" i="1"/>
  <c r="S108" i="1"/>
  <c r="S109" i="1" s="1"/>
  <c r="S104" i="1"/>
  <c r="S114" i="1"/>
  <c r="S106" i="1"/>
  <c r="S107" i="1" s="1"/>
  <c r="S53" i="1"/>
  <c r="S63" i="1"/>
  <c r="S57" i="1"/>
  <c r="S58" i="1" s="1"/>
  <c r="S110" i="1"/>
  <c r="S111" i="1" s="1"/>
  <c r="S84" i="1"/>
  <c r="S83" i="1"/>
  <c r="S85" i="1"/>
  <c r="S81" i="1"/>
  <c r="S82" i="1"/>
  <c r="S89" i="1"/>
  <c r="S93" i="1"/>
  <c r="S94" i="1"/>
  <c r="S97" i="1"/>
  <c r="S87" i="1"/>
  <c r="S88" i="1"/>
  <c r="S98" i="1"/>
  <c r="S91" i="1"/>
  <c r="S96" i="1"/>
  <c r="S86" i="1"/>
  <c r="S92" i="1"/>
  <c r="S95" i="1"/>
  <c r="S90" i="1"/>
  <c r="U57" i="1"/>
  <c r="U110" i="1"/>
  <c r="U111" i="1" s="1"/>
  <c r="P108" i="1"/>
  <c r="P109" i="1" s="1"/>
  <c r="P50" i="1"/>
  <c r="P104" i="1"/>
  <c r="P114" i="1"/>
  <c r="P53" i="1"/>
  <c r="P63" i="1"/>
  <c r="P57" i="1"/>
  <c r="P58" i="1" s="1"/>
  <c r="P110" i="1"/>
  <c r="P111" i="1" s="1"/>
  <c r="P106" i="1"/>
  <c r="P107" i="1" s="1"/>
  <c r="P112" i="1"/>
  <c r="P113" i="1" s="1"/>
  <c r="P83" i="1"/>
  <c r="P84" i="1"/>
  <c r="P89" i="1"/>
  <c r="P93" i="1"/>
  <c r="P87" i="1"/>
  <c r="P96" i="1"/>
  <c r="P98" i="1"/>
  <c r="P91" i="1"/>
  <c r="P95" i="1"/>
  <c r="P92" i="1"/>
  <c r="P88" i="1"/>
  <c r="P85" i="1"/>
  <c r="P97" i="1"/>
  <c r="P90" i="1"/>
  <c r="P94" i="1"/>
  <c r="P81" i="1"/>
  <c r="P86" i="1"/>
  <c r="P82" i="1"/>
  <c r="U108" i="1"/>
  <c r="U109" i="1" s="1"/>
  <c r="U104" i="1"/>
  <c r="U105" i="1" s="1"/>
  <c r="T117" i="1"/>
  <c r="U90" i="1"/>
  <c r="S61" i="1"/>
  <c r="S62" i="1" s="1"/>
  <c r="P59" i="1"/>
  <c r="P61" i="1"/>
  <c r="P62" i="1" s="1"/>
  <c r="O59" i="1"/>
  <c r="O61" i="1"/>
  <c r="O62" i="1" s="1"/>
  <c r="U88" i="1"/>
  <c r="O104" i="1"/>
  <c r="O110" i="1"/>
  <c r="O111" i="1" s="1"/>
  <c r="O106" i="1"/>
  <c r="O107" i="1" s="1"/>
  <c r="O53" i="1"/>
  <c r="O63" i="1"/>
  <c r="O114" i="1"/>
  <c r="O57" i="1"/>
  <c r="O58" i="1" s="1"/>
  <c r="O50" i="1"/>
  <c r="O108" i="1"/>
  <c r="O109" i="1" s="1"/>
  <c r="O112" i="1"/>
  <c r="O113" i="1" s="1"/>
  <c r="O83" i="1"/>
  <c r="O84" i="1"/>
  <c r="O87" i="1"/>
  <c r="O81" i="1"/>
  <c r="O93" i="1"/>
  <c r="O88" i="1"/>
  <c r="O98" i="1"/>
  <c r="O91" i="1"/>
  <c r="O95" i="1"/>
  <c r="O89" i="1"/>
  <c r="O96" i="1"/>
  <c r="O97" i="1"/>
  <c r="O92" i="1"/>
  <c r="O86" i="1"/>
  <c r="O90" i="1"/>
  <c r="O94" i="1"/>
  <c r="O82" i="1"/>
  <c r="O85" i="1"/>
  <c r="T54" i="1"/>
  <c r="U106" i="1"/>
  <c r="U107" i="1" s="1"/>
  <c r="T99" i="1"/>
  <c r="U98" i="1"/>
  <c r="U114" i="1"/>
  <c r="U53" i="1"/>
  <c r="U55" i="1" s="1"/>
  <c r="T100" i="1"/>
  <c r="U95" i="1"/>
  <c r="U86" i="1"/>
  <c r="U50" i="1"/>
  <c r="U81" i="1"/>
  <c r="U92" i="1"/>
  <c r="V49" i="1"/>
  <c r="T116" i="1"/>
  <c r="U84" i="1"/>
  <c r="U112" i="1"/>
  <c r="U113" i="1" s="1"/>
  <c r="U96" i="1"/>
  <c r="U74" i="1"/>
  <c r="U72" i="1"/>
  <c r="U71" i="1"/>
  <c r="U67" i="1"/>
  <c r="U68" i="1"/>
  <c r="U65" i="1"/>
  <c r="U66" i="1"/>
  <c r="V57" i="1" l="1"/>
  <c r="V73" i="1"/>
  <c r="R100" i="1"/>
  <c r="P100" i="1"/>
  <c r="Q99" i="1"/>
  <c r="Q100" i="1"/>
  <c r="R54" i="1"/>
  <c r="R55" i="1"/>
  <c r="R56" i="1" s="1"/>
  <c r="Q105" i="1"/>
  <c r="Q117" i="1" s="1"/>
  <c r="Q116" i="1"/>
  <c r="R99" i="1"/>
  <c r="R105" i="1"/>
  <c r="R117" i="1" s="1"/>
  <c r="R116" i="1"/>
  <c r="R60" i="1"/>
  <c r="R51" i="1" s="1"/>
  <c r="R52" i="1" s="1"/>
  <c r="U54" i="1"/>
  <c r="U99" i="1"/>
  <c r="Q54" i="1"/>
  <c r="Q55" i="1"/>
  <c r="Q56" i="1" s="1"/>
  <c r="Q60" i="1"/>
  <c r="Q51" i="1" s="1"/>
  <c r="Q52" i="1" s="1"/>
  <c r="S100" i="1"/>
  <c r="S105" i="1"/>
  <c r="S117" i="1" s="1"/>
  <c r="S116" i="1"/>
  <c r="O100" i="1"/>
  <c r="O116" i="1"/>
  <c r="O105" i="1"/>
  <c r="O117" i="1" s="1"/>
  <c r="P54" i="1"/>
  <c r="P55" i="1"/>
  <c r="P56" i="1" s="1"/>
  <c r="O54" i="1"/>
  <c r="O55" i="1"/>
  <c r="O56" i="1" s="1"/>
  <c r="P99" i="1"/>
  <c r="P116" i="1"/>
  <c r="P105" i="1"/>
  <c r="P117" i="1" s="1"/>
  <c r="V95" i="1"/>
  <c r="O60" i="1"/>
  <c r="O51" i="1" s="1"/>
  <c r="O52" i="1" s="1"/>
  <c r="S99" i="1"/>
  <c r="P60" i="1"/>
  <c r="P51" i="1" s="1"/>
  <c r="P52" i="1" s="1"/>
  <c r="S54" i="1"/>
  <c r="S55" i="1"/>
  <c r="S56" i="1" s="1"/>
  <c r="O99" i="1"/>
  <c r="V94" i="1"/>
  <c r="V82" i="1"/>
  <c r="V83" i="1"/>
  <c r="S60" i="1"/>
  <c r="S51" i="1" s="1"/>
  <c r="S52" i="1" s="1"/>
  <c r="V110" i="1"/>
  <c r="V111" i="1" s="1"/>
  <c r="V87" i="1"/>
  <c r="V93" i="1"/>
  <c r="V108" i="1"/>
  <c r="V109" i="1" s="1"/>
  <c r="U100" i="1"/>
  <c r="V90" i="1"/>
  <c r="V92" i="1"/>
  <c r="V98" i="1"/>
  <c r="V96" i="1"/>
  <c r="V84" i="1"/>
  <c r="V81" i="1"/>
  <c r="V88" i="1"/>
  <c r="V85" i="1"/>
  <c r="V114" i="1"/>
  <c r="V50" i="1"/>
  <c r="V89" i="1"/>
  <c r="V97" i="1"/>
  <c r="V86" i="1"/>
  <c r="W49" i="1"/>
  <c r="V112" i="1"/>
  <c r="V113" i="1" s="1"/>
  <c r="V91" i="1"/>
  <c r="V63" i="1"/>
  <c r="V104" i="1"/>
  <c r="V106" i="1"/>
  <c r="V107" i="1" s="1"/>
  <c r="V53" i="1"/>
  <c r="V54" i="1" s="1"/>
  <c r="U116" i="1"/>
  <c r="U117" i="1"/>
  <c r="V74" i="1"/>
  <c r="V72" i="1"/>
  <c r="T64" i="1" s="1"/>
  <c r="V71" i="1"/>
  <c r="V68" i="1"/>
  <c r="V65" i="1"/>
  <c r="V67" i="1"/>
  <c r="V66" i="1"/>
  <c r="V105" i="1"/>
  <c r="W57" i="1" l="1"/>
  <c r="W73" i="1"/>
  <c r="X49" i="1"/>
  <c r="W85" i="1"/>
  <c r="W89" i="1"/>
  <c r="W87" i="1"/>
  <c r="W114" i="1"/>
  <c r="W53" i="1"/>
  <c r="W55" i="1" s="1"/>
  <c r="W97" i="1"/>
  <c r="W96" i="1"/>
  <c r="W82" i="1"/>
  <c r="W110" i="1"/>
  <c r="W111" i="1" s="1"/>
  <c r="W104" i="1"/>
  <c r="W105" i="1" s="1"/>
  <c r="W83" i="1"/>
  <c r="W91" i="1"/>
  <c r="W108" i="1"/>
  <c r="W109" i="1" s="1"/>
  <c r="W93" i="1"/>
  <c r="W84" i="1"/>
  <c r="W50" i="1"/>
  <c r="V117" i="1"/>
  <c r="W88" i="1"/>
  <c r="W81" i="1"/>
  <c r="V116" i="1"/>
  <c r="V100" i="1"/>
  <c r="V55" i="1"/>
  <c r="W106" i="1"/>
  <c r="W107" i="1" s="1"/>
  <c r="W92" i="1"/>
  <c r="W94" i="1"/>
  <c r="W90" i="1"/>
  <c r="V99" i="1"/>
  <c r="W86" i="1"/>
  <c r="W98" i="1"/>
  <c r="W63" i="1"/>
  <c r="W95" i="1"/>
  <c r="W112" i="1"/>
  <c r="W113" i="1" s="1"/>
  <c r="K56" i="1"/>
  <c r="L56" i="1"/>
  <c r="M56" i="1"/>
  <c r="N56" i="1"/>
  <c r="T56" i="1"/>
  <c r="T59" i="1"/>
  <c r="K58" i="1"/>
  <c r="M58" i="1"/>
  <c r="L58" i="1"/>
  <c r="T58" i="1"/>
  <c r="N58" i="1"/>
  <c r="T61" i="1"/>
  <c r="T62" i="1" s="1"/>
  <c r="J59" i="1"/>
  <c r="K61" i="1"/>
  <c r="K62" i="1" s="1"/>
  <c r="L61" i="1"/>
  <c r="L62" i="1" s="1"/>
  <c r="I59" i="1"/>
  <c r="N61" i="1"/>
  <c r="N62" i="1" s="1"/>
  <c r="K59" i="1"/>
  <c r="M61" i="1"/>
  <c r="M62" i="1" s="1"/>
  <c r="L59" i="1"/>
  <c r="M59" i="1"/>
  <c r="N59" i="1"/>
  <c r="W72" i="1"/>
  <c r="W74" i="1"/>
  <c r="W54" i="1"/>
  <c r="W65" i="1"/>
  <c r="W67" i="1"/>
  <c r="W71" i="1"/>
  <c r="W66" i="1"/>
  <c r="W68" i="1"/>
  <c r="X50" i="1"/>
  <c r="X53" i="1"/>
  <c r="X55" i="1" s="1"/>
  <c r="X63" i="1"/>
  <c r="Y49" i="1"/>
  <c r="Y73" i="1" s="1"/>
  <c r="X84" i="1"/>
  <c r="X96" i="1"/>
  <c r="X93" i="1"/>
  <c r="X86" i="1"/>
  <c r="X82" i="1"/>
  <c r="X108" i="1"/>
  <c r="X109" i="1" s="1"/>
  <c r="X114" i="1"/>
  <c r="X91" i="1"/>
  <c r="X85" i="1"/>
  <c r="X98" i="1"/>
  <c r="X112" i="1"/>
  <c r="X113" i="1" s="1"/>
  <c r="X87" i="1"/>
  <c r="X88" i="1"/>
  <c r="X95" i="1"/>
  <c r="X106" i="1"/>
  <c r="X107" i="1" s="1"/>
  <c r="X89" i="1"/>
  <c r="X110" i="1"/>
  <c r="X111" i="1" s="1"/>
  <c r="X83" i="1"/>
  <c r="X90" i="1"/>
  <c r="X81" i="1"/>
  <c r="X92" i="1"/>
  <c r="X94" i="1"/>
  <c r="X104" i="1"/>
  <c r="X97" i="1"/>
  <c r="X57" i="1" l="1"/>
  <c r="X73" i="1"/>
  <c r="W99" i="1"/>
  <c r="W117" i="1"/>
  <c r="W100" i="1"/>
  <c r="W116" i="1"/>
  <c r="T60" i="1"/>
  <c r="T51" i="1" s="1"/>
  <c r="T52" i="1" s="1"/>
  <c r="I60" i="1"/>
  <c r="I51" i="1" s="1"/>
  <c r="I52" i="1" s="1"/>
  <c r="J60" i="1"/>
  <c r="J51" i="1" s="1"/>
  <c r="J52" i="1" s="1"/>
  <c r="N60" i="1"/>
  <c r="N51" i="1" s="1"/>
  <c r="N52" i="1" s="1"/>
  <c r="L60" i="1"/>
  <c r="L51" i="1" s="1"/>
  <c r="L52" i="1" s="1"/>
  <c r="M60" i="1"/>
  <c r="M51" i="1" s="1"/>
  <c r="M52" i="1" s="1"/>
  <c r="K60" i="1"/>
  <c r="K51" i="1" s="1"/>
  <c r="K52" i="1" s="1"/>
  <c r="Y53" i="1"/>
  <c r="Y57" i="1"/>
  <c r="X54" i="1"/>
  <c r="X72" i="1"/>
  <c r="X74" i="1"/>
  <c r="X65" i="1"/>
  <c r="X67" i="1"/>
  <c r="X68" i="1"/>
  <c r="X71" i="1"/>
  <c r="X66" i="1"/>
  <c r="Y63" i="1"/>
  <c r="X99" i="1"/>
  <c r="X100" i="1"/>
  <c r="X105" i="1"/>
  <c r="X117" i="1" s="1"/>
  <c r="X116" i="1"/>
  <c r="Z49" i="1"/>
  <c r="Z73" i="1" s="1"/>
  <c r="Y86" i="1"/>
  <c r="Y91" i="1"/>
  <c r="Y85" i="1"/>
  <c r="Y84" i="1"/>
  <c r="Y90" i="1"/>
  <c r="Y114" i="1"/>
  <c r="Y81" i="1"/>
  <c r="Y95" i="1"/>
  <c r="Y110" i="1"/>
  <c r="Y111" i="1" s="1"/>
  <c r="Y89" i="1"/>
  <c r="Y96" i="1"/>
  <c r="Y97" i="1"/>
  <c r="Y93" i="1"/>
  <c r="Y108" i="1"/>
  <c r="Y109" i="1" s="1"/>
  <c r="Y50" i="1"/>
  <c r="Y106" i="1"/>
  <c r="Y107" i="1" s="1"/>
  <c r="Y88" i="1"/>
  <c r="Y94" i="1"/>
  <c r="Y87" i="1"/>
  <c r="Y82" i="1"/>
  <c r="Y112" i="1"/>
  <c r="Y113" i="1" s="1"/>
  <c r="Y104" i="1"/>
  <c r="Y92" i="1"/>
  <c r="Y98" i="1"/>
  <c r="Y83" i="1"/>
  <c r="Y72" i="1" l="1"/>
  <c r="Y74" i="1"/>
  <c r="Z53" i="1"/>
  <c r="Z57" i="1"/>
  <c r="Y54" i="1"/>
  <c r="Y55" i="1"/>
  <c r="Y68" i="1"/>
  <c r="Y67" i="1"/>
  <c r="Y65" i="1"/>
  <c r="Y71" i="1"/>
  <c r="Y66" i="1"/>
  <c r="Z63" i="1"/>
  <c r="Y99" i="1"/>
  <c r="Y105" i="1"/>
  <c r="Y117" i="1" s="1"/>
  <c r="Y116" i="1"/>
  <c r="AA49" i="1"/>
  <c r="AA73" i="1" s="1"/>
  <c r="Z84" i="1"/>
  <c r="Z87" i="1"/>
  <c r="Z89" i="1"/>
  <c r="Z88" i="1"/>
  <c r="Z98" i="1"/>
  <c r="Z110" i="1"/>
  <c r="Z111" i="1" s="1"/>
  <c r="Z85" i="1"/>
  <c r="Z91" i="1"/>
  <c r="Z95" i="1"/>
  <c r="Z106" i="1"/>
  <c r="Z107" i="1" s="1"/>
  <c r="Z90" i="1"/>
  <c r="Z108" i="1"/>
  <c r="Z109" i="1" s="1"/>
  <c r="Z94" i="1"/>
  <c r="Z114" i="1"/>
  <c r="Z82" i="1"/>
  <c r="Z92" i="1"/>
  <c r="Z112" i="1"/>
  <c r="Z113" i="1" s="1"/>
  <c r="Z104" i="1"/>
  <c r="Z83" i="1"/>
  <c r="Z86" i="1"/>
  <c r="Z81" i="1"/>
  <c r="Z97" i="1"/>
  <c r="Z96" i="1"/>
  <c r="Z50" i="1"/>
  <c r="Z93" i="1"/>
  <c r="Y100" i="1"/>
  <c r="AA53" i="1" l="1"/>
  <c r="AA57" i="1"/>
  <c r="Z72" i="1"/>
  <c r="Z74" i="1"/>
  <c r="Z54" i="1"/>
  <c r="Z55" i="1"/>
  <c r="Z68" i="1"/>
  <c r="Z65" i="1"/>
  <c r="Z67" i="1"/>
  <c r="Z71" i="1"/>
  <c r="Z66" i="1"/>
  <c r="AA63" i="1"/>
  <c r="Z100" i="1"/>
  <c r="Z105" i="1"/>
  <c r="Z117" i="1" s="1"/>
  <c r="Z116" i="1"/>
  <c r="Z99" i="1"/>
  <c r="AB49" i="1"/>
  <c r="AB73" i="1" s="1"/>
  <c r="AA108" i="1"/>
  <c r="AA109" i="1" s="1"/>
  <c r="AA86" i="1"/>
  <c r="AA82" i="1"/>
  <c r="AA91" i="1"/>
  <c r="AA112" i="1"/>
  <c r="AA113" i="1" s="1"/>
  <c r="AA84" i="1"/>
  <c r="AA110" i="1"/>
  <c r="AA111" i="1" s="1"/>
  <c r="AA90" i="1"/>
  <c r="AA83" i="1"/>
  <c r="AA88" i="1"/>
  <c r="AA104" i="1"/>
  <c r="AA87" i="1"/>
  <c r="AA92" i="1"/>
  <c r="AA94" i="1"/>
  <c r="AA50" i="1"/>
  <c r="AA106" i="1"/>
  <c r="AA107" i="1" s="1"/>
  <c r="AA97" i="1"/>
  <c r="AA85" i="1"/>
  <c r="AA98" i="1"/>
  <c r="AA81" i="1"/>
  <c r="AA96" i="1"/>
  <c r="AA95" i="1"/>
  <c r="AA89" i="1"/>
  <c r="AA114" i="1"/>
  <c r="AA93" i="1"/>
  <c r="AA74" i="1" l="1"/>
  <c r="AA72" i="1"/>
  <c r="AB53" i="1"/>
  <c r="AB57" i="1"/>
  <c r="AA54" i="1"/>
  <c r="AA55" i="1"/>
  <c r="AA65" i="1"/>
  <c r="AA67" i="1"/>
  <c r="AA71" i="1"/>
  <c r="AA66" i="1"/>
  <c r="AA68" i="1"/>
  <c r="AB63" i="1"/>
  <c r="AC49" i="1"/>
  <c r="AC73" i="1" s="1"/>
  <c r="AA99" i="1"/>
  <c r="AA100" i="1"/>
  <c r="AA105" i="1"/>
  <c r="AA117" i="1" s="1"/>
  <c r="AA116" i="1"/>
  <c r="AB87" i="1"/>
  <c r="AB93" i="1"/>
  <c r="AB90" i="1"/>
  <c r="AB82" i="1"/>
  <c r="AB84" i="1"/>
  <c r="AB81" i="1"/>
  <c r="AB114" i="1"/>
  <c r="AB91" i="1"/>
  <c r="AB112" i="1"/>
  <c r="AB113" i="1" s="1"/>
  <c r="AB85" i="1"/>
  <c r="AB94" i="1"/>
  <c r="AB88" i="1"/>
  <c r="AB96" i="1"/>
  <c r="AB110" i="1"/>
  <c r="AB111" i="1" s="1"/>
  <c r="AB106" i="1"/>
  <c r="AB107" i="1" s="1"/>
  <c r="AB104" i="1"/>
  <c r="AB83" i="1"/>
  <c r="AB97" i="1"/>
  <c r="AB98" i="1"/>
  <c r="AB95" i="1"/>
  <c r="AB108" i="1"/>
  <c r="AB109" i="1" s="1"/>
  <c r="AB89" i="1"/>
  <c r="AB92" i="1"/>
  <c r="AB86" i="1"/>
  <c r="AB50" i="1"/>
  <c r="U56" i="1" l="1"/>
  <c r="U59" i="1"/>
  <c r="U58" i="1"/>
  <c r="U64" i="1"/>
  <c r="U61" i="1"/>
  <c r="U62" i="1" s="1"/>
  <c r="V64" i="1"/>
  <c r="V61" i="1"/>
  <c r="V62" i="1" s="1"/>
  <c r="V58" i="1"/>
  <c r="V56" i="1"/>
  <c r="V59" i="1"/>
  <c r="AC53" i="1"/>
  <c r="AC55" i="1" s="1"/>
  <c r="AC57" i="1"/>
  <c r="AB74" i="1"/>
  <c r="AB72" i="1"/>
  <c r="AB54" i="1"/>
  <c r="AB55" i="1"/>
  <c r="AB71" i="1"/>
  <c r="AB66" i="1"/>
  <c r="AB65" i="1"/>
  <c r="AB67" i="1"/>
  <c r="AB68" i="1"/>
  <c r="AC63" i="1"/>
  <c r="AD49" i="1"/>
  <c r="AC104" i="1"/>
  <c r="AC110" i="1"/>
  <c r="AC111" i="1" s="1"/>
  <c r="AC106" i="1"/>
  <c r="AC107" i="1" s="1"/>
  <c r="AC50" i="1"/>
  <c r="AC112" i="1"/>
  <c r="AC113" i="1" s="1"/>
  <c r="AC108" i="1"/>
  <c r="AC109" i="1" s="1"/>
  <c r="AC114" i="1"/>
  <c r="AC83" i="1"/>
  <c r="AC84" i="1"/>
  <c r="AC90" i="1"/>
  <c r="AC85" i="1"/>
  <c r="AC98" i="1"/>
  <c r="AC89" i="1"/>
  <c r="AC97" i="1"/>
  <c r="AC95" i="1"/>
  <c r="AC81" i="1"/>
  <c r="AC86" i="1"/>
  <c r="AC96" i="1"/>
  <c r="AC91" i="1"/>
  <c r="AC82" i="1"/>
  <c r="AC92" i="1"/>
  <c r="AC93" i="1"/>
  <c r="AC87" i="1"/>
  <c r="AC94" i="1"/>
  <c r="AC88" i="1"/>
  <c r="AB99" i="1"/>
  <c r="AB105" i="1"/>
  <c r="AB117" i="1" s="1"/>
  <c r="AB116" i="1"/>
  <c r="AB100" i="1"/>
  <c r="D45" i="1" l="1"/>
  <c r="AD73" i="1"/>
  <c r="AE73" i="1" s="1"/>
  <c r="U60" i="1"/>
  <c r="U51" i="1" s="1"/>
  <c r="U52" i="1" s="1"/>
  <c r="V60" i="1"/>
  <c r="V51" i="1" s="1"/>
  <c r="V52" i="1" s="1"/>
  <c r="W58" i="1"/>
  <c r="X56" i="1"/>
  <c r="Y56" i="1"/>
  <c r="Z56" i="1"/>
  <c r="X58" i="1"/>
  <c r="W56" i="1"/>
  <c r="AA56" i="1"/>
  <c r="Y58" i="1"/>
  <c r="Z58" i="1"/>
  <c r="AA58" i="1"/>
  <c r="W61" i="1"/>
  <c r="W62" i="1" s="1"/>
  <c r="W64" i="1"/>
  <c r="W59" i="1"/>
  <c r="X59" i="1"/>
  <c r="X64" i="1"/>
  <c r="X61" i="1"/>
  <c r="X62" i="1" s="1"/>
  <c r="Y61" i="1"/>
  <c r="Y62" i="1" s="1"/>
  <c r="Y64" i="1"/>
  <c r="Y59" i="1"/>
  <c r="Z61" i="1"/>
  <c r="Z62" i="1" s="1"/>
  <c r="Z64" i="1"/>
  <c r="Z59" i="1"/>
  <c r="AA61" i="1"/>
  <c r="AA62" i="1" s="1"/>
  <c r="AA59" i="1"/>
  <c r="AA64" i="1"/>
  <c r="AD53" i="1"/>
  <c r="AD57" i="1"/>
  <c r="AC72" i="1"/>
  <c r="AC74" i="1"/>
  <c r="AC54" i="1"/>
  <c r="AC66" i="1"/>
  <c r="AC67" i="1"/>
  <c r="AC65" i="1"/>
  <c r="AC68" i="1"/>
  <c r="AC71" i="1"/>
  <c r="AD63" i="1"/>
  <c r="AC105" i="1"/>
  <c r="AC117" i="1" s="1"/>
  <c r="AC116" i="1"/>
  <c r="AC99" i="1"/>
  <c r="AC100" i="1"/>
  <c r="AD104" i="1"/>
  <c r="AD110" i="1"/>
  <c r="AD111" i="1" s="1"/>
  <c r="AD112" i="1"/>
  <c r="AD113" i="1" s="1"/>
  <c r="AD108" i="1"/>
  <c r="AD109" i="1" s="1"/>
  <c r="AD114" i="1"/>
  <c r="AD106" i="1"/>
  <c r="AD107" i="1" s="1"/>
  <c r="AD84" i="1"/>
  <c r="AE49" i="1"/>
  <c r="AD50" i="1"/>
  <c r="AD83" i="1"/>
  <c r="AD89" i="1"/>
  <c r="AD85" i="1"/>
  <c r="AD98" i="1"/>
  <c r="AD82" i="1"/>
  <c r="AD90" i="1"/>
  <c r="AD86" i="1"/>
  <c r="AD92" i="1"/>
  <c r="AD97" i="1"/>
  <c r="AD88" i="1"/>
  <c r="AD81" i="1"/>
  <c r="AD91" i="1"/>
  <c r="AD93" i="1"/>
  <c r="AD87" i="1"/>
  <c r="AD96" i="1"/>
  <c r="AD95" i="1"/>
  <c r="AD94" i="1"/>
  <c r="AE93" i="1" l="1"/>
  <c r="AE53" i="1"/>
  <c r="AA60" i="1"/>
  <c r="AA51" i="1" s="1"/>
  <c r="AA52" i="1" s="1"/>
  <c r="X60" i="1"/>
  <c r="X51" i="1" s="1"/>
  <c r="X52" i="1" s="1"/>
  <c r="Y60" i="1"/>
  <c r="Y51" i="1" s="1"/>
  <c r="Y52" i="1" s="1"/>
  <c r="Z60" i="1"/>
  <c r="Z51" i="1" s="1"/>
  <c r="Z52" i="1" s="1"/>
  <c r="W60" i="1"/>
  <c r="W51" i="1" s="1"/>
  <c r="W52" i="1" s="1"/>
  <c r="AD72" i="1"/>
  <c r="AD74" i="1"/>
  <c r="AE63" i="1"/>
  <c r="AE57" i="1"/>
  <c r="AD54" i="1"/>
  <c r="AD55" i="1"/>
  <c r="AD67" i="1"/>
  <c r="AD66" i="1"/>
  <c r="AD65" i="1"/>
  <c r="AD68" i="1"/>
  <c r="AD71" i="1"/>
  <c r="AD100" i="1"/>
  <c r="AD116" i="1"/>
  <c r="AD105" i="1"/>
  <c r="AD117" i="1" s="1"/>
  <c r="AD99" i="1"/>
  <c r="AE108" i="1"/>
  <c r="AE109" i="1" s="1"/>
  <c r="AE104" i="1"/>
  <c r="AE110" i="1"/>
  <c r="AE111" i="1" s="1"/>
  <c r="AE106" i="1"/>
  <c r="AE107" i="1" s="1"/>
  <c r="AE112" i="1"/>
  <c r="AE113" i="1" s="1"/>
  <c r="AE114" i="1"/>
  <c r="AE84" i="1"/>
  <c r="AE83" i="1"/>
  <c r="AE94" i="1"/>
  <c r="AE88" i="1"/>
  <c r="AE91" i="1"/>
  <c r="AE82" i="1"/>
  <c r="AE89" i="1"/>
  <c r="AE87" i="1"/>
  <c r="AE95" i="1"/>
  <c r="AE92" i="1"/>
  <c r="AE97" i="1"/>
  <c r="AE90" i="1"/>
  <c r="AE85" i="1"/>
  <c r="AE50" i="1"/>
  <c r="AE81" i="1"/>
  <c r="AE98" i="1"/>
  <c r="AE86" i="1"/>
  <c r="AE96" i="1"/>
  <c r="AB58" i="1" l="1"/>
  <c r="AB59" i="1"/>
  <c r="AB61" i="1"/>
  <c r="AB62" i="1" s="1"/>
  <c r="AB64" i="1"/>
  <c r="AB56" i="1"/>
  <c r="AE55" i="1"/>
  <c r="AE54" i="1"/>
  <c r="AE72" i="1"/>
  <c r="AE74" i="1"/>
  <c r="AE68" i="1"/>
  <c r="AE65" i="1"/>
  <c r="AE71" i="1"/>
  <c r="AE66" i="1"/>
  <c r="AE67" i="1"/>
  <c r="AE100" i="1"/>
  <c r="AE99" i="1"/>
  <c r="AE105" i="1"/>
  <c r="AE117" i="1" s="1"/>
  <c r="AE116" i="1"/>
  <c r="AB60" i="1" l="1"/>
  <c r="AB51" i="1" s="1"/>
  <c r="AB52" i="1" s="1"/>
  <c r="AC58" i="1"/>
  <c r="AC56" i="1"/>
  <c r="AD56" i="1"/>
  <c r="AD58" i="1"/>
  <c r="AC64" i="1"/>
  <c r="AC59" i="1"/>
  <c r="AC61" i="1"/>
  <c r="AC62" i="1" s="1"/>
  <c r="AD59" i="1"/>
  <c r="AD61" i="1"/>
  <c r="AD62" i="1" s="1"/>
  <c r="AD64" i="1"/>
  <c r="AF72" i="1"/>
  <c r="AF64" i="1" s="1"/>
  <c r="AF74" i="1"/>
  <c r="AF59" i="1" s="1"/>
  <c r="AF68" i="1"/>
  <c r="AF65" i="1"/>
  <c r="AF71" i="1"/>
  <c r="AG48" i="1"/>
  <c r="AF67" i="1"/>
  <c r="AF66" i="1"/>
  <c r="AE59" i="1" l="1"/>
  <c r="AE64" i="1"/>
  <c r="AE61" i="1"/>
  <c r="AE62" i="1" s="1"/>
  <c r="AE58" i="1"/>
  <c r="AE56" i="1"/>
  <c r="AF56" i="1"/>
  <c r="AC60" i="1"/>
  <c r="AC51" i="1" s="1"/>
  <c r="AC52" i="1" s="1"/>
  <c r="AD60" i="1"/>
  <c r="AD51" i="1" s="1"/>
  <c r="AD52" i="1" s="1"/>
  <c r="AF61" i="1"/>
  <c r="AF62" i="1" s="1"/>
  <c r="AF60" i="1" s="1"/>
  <c r="AG72" i="1"/>
  <c r="AG71" i="1"/>
  <c r="AG74" i="1"/>
  <c r="AE60" i="1" l="1"/>
  <c r="AE51" i="1" s="1"/>
  <c r="AE52" i="1" s="1"/>
  <c r="AG64" i="1"/>
  <c r="AF58" i="1"/>
  <c r="AF51" i="1" s="1"/>
  <c r="AF52" i="1" s="1"/>
</calcChain>
</file>

<file path=xl/sharedStrings.xml><?xml version="1.0" encoding="utf-8"?>
<sst xmlns="http://schemas.openxmlformats.org/spreadsheetml/2006/main" count="414" uniqueCount="327">
  <si>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</si>
  <si>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</si>
  <si>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</si>
  <si>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</si>
  <si>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</si>
  <si>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</si>
  <si>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</si>
  <si>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</si>
  <si>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</si>
  <si>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</si>
  <si>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</si>
  <si>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</si>
  <si>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</si>
  <si>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</si>
  <si>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</si>
  <si>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</si>
  <si>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</si>
  <si>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</si>
  <si>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</si>
  <si>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</si>
  <si>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</si>
  <si>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</si>
  <si>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</si>
  <si>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</si>
  <si>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</si>
  <si>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</si>
  <si>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</si>
  <si>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</si>
  <si>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</si>
  <si>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</si>
  <si>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</si>
  <si>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</si>
  <si>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</si>
  <si>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</si>
  <si>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</si>
  <si>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</si>
  <si>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</si>
  <si>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</si>
  <si>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</si>
  <si>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</si>
  <si>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</si>
  <si>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</si>
  <si>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</si>
  <si>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</si>
  <si>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</si>
  <si>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</si>
  <si>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</si>
  <si>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</si>
  <si>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</si>
  <si>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</si>
  <si>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</si>
  <si>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</si>
  <si>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</si>
  <si>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</si>
  <si>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</si>
  <si>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</si>
  <si>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</si>
  <si>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</si>
  <si>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</si>
  <si>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</si>
  <si>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</si>
  <si>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</si>
  <si>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</si>
  <si>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</si>
  <si>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</si>
  <si>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</si>
  <si>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</si>
  <si>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</si>
  <si>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</si>
  <si>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</si>
  <si>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</si>
  <si>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</si>
  <si>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</si>
  <si>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</si>
  <si>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</si>
  <si>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</si>
  <si>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</si>
  <si>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</si>
  <si>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</si>
  <si>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</si>
  <si>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</si>
  <si>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</si>
  <si>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</si>
  <si>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</si>
  <si>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</si>
  <si>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</si>
  <si>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</si>
  <si>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</si>
  <si>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</si>
  <si>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</si>
  <si>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</si>
  <si>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</si>
  <si>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</si>
  <si>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</si>
  <si>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</si>
  <si>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</si>
  <si>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</si>
  <si>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</si>
  <si>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</si>
  <si>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</si>
  <si>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</si>
  <si>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</si>
  <si>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</si>
  <si>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</si>
  <si>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</si>
  <si>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</si>
  <si>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</si>
  <si>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</si>
  <si>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</si>
  <si>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</si>
  <si>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</si>
  <si>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</si>
  <si>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</si>
  <si>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</si>
  <si>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</si>
  <si>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</si>
  <si>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</si>
  <si>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</si>
  <si>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</si>
  <si>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</si>
  <si>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</si>
  <si>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</si>
  <si>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</si>
  <si>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</si>
  <si>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</si>
  <si>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</si>
  <si>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</si>
  <si>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</si>
  <si>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</si>
  <si>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</si>
  <si>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</si>
  <si>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</si>
  <si>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</si>
  <si>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</si>
  <si>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</si>
  <si>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</si>
  <si>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</si>
  <si>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</si>
  <si>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</si>
  <si>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</si>
  <si>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</si>
  <si>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</si>
  <si>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</si>
  <si>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</si>
  <si>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</si>
  <si>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</si>
  <si>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</si>
  <si>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</si>
  <si>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</si>
  <si>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</si>
  <si>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</si>
  <si>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</si>
  <si>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</si>
  <si>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</si>
  <si>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</si>
  <si>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</si>
  <si>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</si>
  <si>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</si>
  <si>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</si>
  <si>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</si>
  <si>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</si>
  <si>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</si>
  <si>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</si>
  <si>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</si>
  <si>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</si>
  <si>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</si>
  <si>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</si>
  <si>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</si>
  <si>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</si>
  <si>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</si>
  <si>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</si>
  <si>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</si>
  <si>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</si>
  <si>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</si>
  <si>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</si>
  <si>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</si>
  <si>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</si>
  <si>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</si>
  <si>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</si>
  <si>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</si>
  <si>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</si>
  <si>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</si>
  <si>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</si>
  <si>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</si>
  <si>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</si>
  <si>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</si>
  <si>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</si>
  <si>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</si>
  <si>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</si>
  <si>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</si>
  <si>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</si>
  <si>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</si>
  <si>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</si>
  <si>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</si>
  <si>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</si>
  <si>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</si>
  <si>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</si>
  <si>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</si>
  <si>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</si>
  <si>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</si>
  <si>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</si>
  <si>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</si>
  <si>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</si>
  <si>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</si>
  <si>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</si>
  <si>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</si>
  <si>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</si>
  <si>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</si>
  <si>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</si>
  <si>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</si>
  <si>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</si>
  <si>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</si>
  <si>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</si>
  <si>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</si>
  <si>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</si>
  <si>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</si>
  <si>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</si>
  <si>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</si>
  <si>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</si>
  <si>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</si>
  <si>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</si>
  <si>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</si>
  <si>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</si>
  <si>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</si>
  <si>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</si>
  <si>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</si>
  <si>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</si>
  <si>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</si>
  <si>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</si>
  <si>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</si>
  <si>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</si>
  <si>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</si>
  <si>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</si>
  <si>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</si>
  <si>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</si>
  <si>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</si>
  <si>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</si>
  <si>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</si>
  <si>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</si>
  <si>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</si>
  <si>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</si>
  <si>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</si>
  <si>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</si>
  <si>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</si>
  <si>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</si>
  <si>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</si>
  <si>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</si>
  <si>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</si>
  <si>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</si>
  <si>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</si>
  <si>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</si>
  <si>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</si>
  <si>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</si>
  <si>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</si>
  <si>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</si>
  <si>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</si>
  <si>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</si>
  <si>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</si>
  <si>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</si>
  <si>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</si>
  <si>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</si>
  <si>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</si>
  <si>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</si>
  <si>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</si>
  <si>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</si>
  <si>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</si>
  <si>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</si>
  <si>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</si>
  <si>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</si>
  <si>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</si>
  <si>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</si>
  <si>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</si>
  <si>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</si>
  <si>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</si>
  <si>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</si>
  <si>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</si>
  <si>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</si>
  <si>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</si>
  <si>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</si>
  <si>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</si>
  <si>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</si>
  <si>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</si>
  <si>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</si>
  <si>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</si>
  <si>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</si>
  <si>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</si>
  <si>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</si>
  <si>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</si>
  <si>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</si>
  <si>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</si>
  <si>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</si>
  <si>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</si>
  <si>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</si>
  <si>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</si>
  <si>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</si>
  <si>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</si>
  <si>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</si>
  <si>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</si>
  <si>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</si>
  <si>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</si>
  <si>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</si>
  <si>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</si>
  <si>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</si>
  <si>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</si>
  <si>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</si>
  <si>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</si>
  <si>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</si>
  <si>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</si>
  <si>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</si>
  <si>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</si>
  <si>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</si>
  <si>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</si>
  <si>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</si>
  <si>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</si>
  <si>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</si>
  <si>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</si>
  <si>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</si>
  <si>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</si>
  <si>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</si>
  <si>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</si>
  <si>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</si>
  <si>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</si>
  <si>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</si>
  <si>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Childcare fees return</t>
  </si>
  <si>
    <t>Jobkeeper wage subsidies for childcare services to be stopped.</t>
  </si>
  <si>
    <t>China releases travel advisory to Chinese students against studying in Australia due to racism</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</si>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</sst>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3">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10" borderId="19" xfId="0" applyNumberFormat="1" applyFill="1" applyBorder="1"/>
    <xf numFmtId="14" fontId="0" fillId="10" borderId="20" xfId="0" applyNumberFormat="1" applyFill="1" applyBorder="1"/>
    <xf numFmtId="14" fontId="0" fillId="15" borderId="20" xfId="0" applyNumberFormat="1" applyFill="1" applyBorder="1"/>
    <xf numFmtId="14" fontId="0" fillId="4" borderId="20" xfId="0" applyNumberFormat="1" applyFill="1" applyBorder="1"/>
    <xf numFmtId="14" fontId="0" fillId="8" borderId="20" xfId="0" applyNumberFormat="1" applyFill="1" applyBorder="1"/>
    <xf numFmtId="14" fontId="12" fillId="8" borderId="21" xfId="0" applyNumberFormat="1" applyFont="1"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14" fontId="9" fillId="0" borderId="0" xfId="0" applyNumberFormat="1" applyFont="1"/>
    <xf numFmtId="0" fontId="9" fillId="0" borderId="0" xfId="0" applyFon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2-A3C2-4B4C-996C-CDB1A252886F}"/>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7972-43AB-83E8-C2C99B4277B0}"/>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1-7972-43AB-83E8-C2C99B4277B0}"/>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2-7972-43AB-83E8-C2C99B4277B0}"/>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3-7972-43AB-83E8-C2C99B4277B0}"/>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4-7972-43AB-83E8-C2C99B4277B0}"/>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5-7972-43AB-83E8-C2C99B4277B0}"/>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6-7972-43AB-83E8-C2C99B4277B0}"/>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7-7972-43AB-83E8-C2C99B4277B0}"/>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0-FE50-482D-905D-7C3B099138E4}"/>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1-FE50-482D-905D-7C3B099138E4}"/>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2-FE50-482D-905D-7C3B099138E4}"/>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3-FE50-482D-905D-7C3B099138E4}"/>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4-FE50-482D-905D-7C3B099138E4}"/>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43960.943847916664</c:v>
                </c:pt>
                <c:pt idx="1">
                  <c:v>43963.943847916664</c:v>
                </c:pt>
                <c:pt idx="2">
                  <c:v>43966.943847916664</c:v>
                </c:pt>
                <c:pt idx="3">
                  <c:v>43969.943847916664</c:v>
                </c:pt>
                <c:pt idx="4">
                  <c:v>43972.943847916664</c:v>
                </c:pt>
                <c:pt idx="5">
                  <c:v>43975.943847916664</c:v>
                </c:pt>
                <c:pt idx="6">
                  <c:v>43978.943847916664</c:v>
                </c:pt>
                <c:pt idx="7">
                  <c:v>43981.943847916664</c:v>
                </c:pt>
                <c:pt idx="8">
                  <c:v>43984.943847916664</c:v>
                </c:pt>
                <c:pt idx="9">
                  <c:v>43987.943847916664</c:v>
                </c:pt>
                <c:pt idx="10">
                  <c:v>43990.943847916664</c:v>
                </c:pt>
                <c:pt idx="11">
                  <c:v>43993.943847916664</c:v>
                </c:pt>
                <c:pt idx="12">
                  <c:v>43996.943847916664</c:v>
                </c:pt>
                <c:pt idx="13">
                  <c:v>43999.943847916664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0-9381-4A4E-BB43-DCD8EC2F4E00}"/>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04B6-450D-AD81-6BF382C059D1}"/>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2-04B6-450D-AD81-6BF382C059D1}"/>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4-04B6-450D-AD81-6BF382C059D1}"/>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6-04B6-450D-AD81-6BF382C059D1}"/>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8-04B6-450D-AD81-6BF382C059D1}"/>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A-04B6-450D-AD81-6BF382C059D1}"/>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C-04B6-450D-AD81-6BF382C059D1}"/>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E-04B6-450D-AD81-6BF382C059D1}"/>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1-EBAD-48A5-9277-83F388186C0C}"/>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3-EBAD-48A5-9277-83F388186C0C}"/>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5-EBAD-48A5-9277-83F388186C0C}"/>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7-EBAD-48A5-9277-83F388186C0C}"/>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9-EBAD-48A5-9277-83F388186C0C}"/>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47</xdr:row>
      <xdr:rowOff>66675</xdr:rowOff>
    </xdr:from>
    <xdr:to>
      <xdr:col>45</xdr:col>
      <xdr:colOff>409575</xdr:colOff>
      <xdr:row>79</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119</xdr:row>
      <xdr:rowOff>82014</xdr:rowOff>
    </xdr:from>
    <xdr:to>
      <xdr:col>45</xdr:col>
      <xdr:colOff>438150</xdr:colOff>
      <xdr:row>142</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143</xdr:row>
      <xdr:rowOff>86776</xdr:rowOff>
    </xdr:from>
    <xdr:to>
      <xdr:col>45</xdr:col>
      <xdr:colOff>447675</xdr:colOff>
      <xdr:row>160</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161</xdr:row>
      <xdr:rowOff>67725</xdr:rowOff>
    </xdr:from>
    <xdr:to>
      <xdr:col>45</xdr:col>
      <xdr:colOff>457199</xdr:colOff>
      <xdr:row>177</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178</xdr:row>
      <xdr:rowOff>86775</xdr:rowOff>
    </xdr:from>
    <xdr:to>
      <xdr:col>45</xdr:col>
      <xdr:colOff>438150</xdr:colOff>
      <xdr:row>197</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81</xdr:row>
      <xdr:rowOff>80962</xdr:rowOff>
    </xdr:from>
    <xdr:to>
      <xdr:col>45</xdr:col>
      <xdr:colOff>438150</xdr:colOff>
      <xdr:row>101</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102</xdr:row>
      <xdr:rowOff>78921</xdr:rowOff>
    </xdr:from>
    <xdr:to>
      <xdr:col>45</xdr:col>
      <xdr:colOff>400050</xdr:colOff>
      <xdr:row>118</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47</xdr:row>
      <xdr:rowOff>66675</xdr:rowOff>
    </xdr:from>
    <xdr:to>
      <xdr:col>58</xdr:col>
      <xdr:colOff>581025</xdr:colOff>
      <xdr:row>79</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119</xdr:row>
      <xdr:rowOff>62964</xdr:rowOff>
    </xdr:from>
    <xdr:to>
      <xdr:col>59</xdr:col>
      <xdr:colOff>19050</xdr:colOff>
      <xdr:row>142</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143</xdr:row>
      <xdr:rowOff>77251</xdr:rowOff>
    </xdr:from>
    <xdr:to>
      <xdr:col>59</xdr:col>
      <xdr:colOff>9525</xdr:colOff>
      <xdr:row>160</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161</xdr:row>
      <xdr:rowOff>67725</xdr:rowOff>
    </xdr:from>
    <xdr:to>
      <xdr:col>59</xdr:col>
      <xdr:colOff>28574</xdr:colOff>
      <xdr:row>177</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178</xdr:row>
      <xdr:rowOff>86775</xdr:rowOff>
    </xdr:from>
    <xdr:to>
      <xdr:col>59</xdr:col>
      <xdr:colOff>38100</xdr:colOff>
      <xdr:row>197</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81</xdr:row>
      <xdr:rowOff>90487</xdr:rowOff>
    </xdr:from>
    <xdr:to>
      <xdr:col>59</xdr:col>
      <xdr:colOff>9525</xdr:colOff>
      <xdr:row>101</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102</xdr:row>
      <xdr:rowOff>78921</xdr:rowOff>
    </xdr:from>
    <xdr:to>
      <xdr:col>58</xdr:col>
      <xdr:colOff>581025</xdr:colOff>
      <xdr:row>118</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/Projections!B37</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43960.943847916664</v>
      </c>
      <c r="C26" s="103">
        <f t="shared" ca="1" si="0"/>
        <v>43961.943847916664</v>
      </c>
      <c r="D26" s="103">
        <f t="shared" ca="1" si="0"/>
        <v>43962.943847916664</v>
      </c>
      <c r="E26" s="103">
        <f t="shared" ca="1" si="0"/>
        <v>43963.943847916664</v>
      </c>
      <c r="F26" s="103">
        <f t="shared" ca="1" si="0"/>
        <v>43964.943847916664</v>
      </c>
      <c r="G26" s="104">
        <f t="shared" ca="1" si="0"/>
        <v>43965.943847916664</v>
      </c>
      <c r="H26" s="103">
        <f t="shared" ref="H26:U26" ca="1" si="1">I26-1</f>
        <v>43966.943847916664</v>
      </c>
      <c r="I26" s="103">
        <f t="shared" ca="1" si="1"/>
        <v>43967.943847916664</v>
      </c>
      <c r="J26" s="103">
        <f t="shared" ca="1" si="1"/>
        <v>43968.943847916664</v>
      </c>
      <c r="K26" s="103">
        <f t="shared" ca="1" si="1"/>
        <v>43969.943847916664</v>
      </c>
      <c r="L26" s="103">
        <f t="shared" ca="1" si="1"/>
        <v>43970.943847916664</v>
      </c>
      <c r="M26" s="103">
        <f t="shared" ca="1" si="1"/>
        <v>43971.943847916664</v>
      </c>
      <c r="N26" s="104">
        <f t="shared" ca="1" si="1"/>
        <v>43972.943847916664</v>
      </c>
      <c r="O26" s="102">
        <f t="shared" ca="1" si="1"/>
        <v>43973.943847916664</v>
      </c>
      <c r="P26" s="103">
        <f t="shared" ca="1" si="1"/>
        <v>43974.943847916664</v>
      </c>
      <c r="Q26" s="103">
        <f t="shared" ca="1" si="1"/>
        <v>43975.943847916664</v>
      </c>
      <c r="R26" s="103">
        <f t="shared" ca="1" si="1"/>
        <v>43976.943847916664</v>
      </c>
      <c r="S26" s="103">
        <f t="shared" ca="1" si="1"/>
        <v>43977.943847916664</v>
      </c>
      <c r="T26" s="103">
        <f t="shared" ca="1" si="1"/>
        <v>43978.943847916664</v>
      </c>
      <c r="U26" s="104">
        <f t="shared" ca="1" si="1"/>
        <v>43979.943847916664</v>
      </c>
      <c r="V26" s="102">
        <f t="shared" ref="V26:AN26" ca="1" si="2">W26-1</f>
        <v>43980.943847916664</v>
      </c>
      <c r="W26" s="103">
        <f t="shared" ca="1" si="2"/>
        <v>43981.943847916664</v>
      </c>
      <c r="X26" s="103">
        <f t="shared" ca="1" si="2"/>
        <v>43982.943847916664</v>
      </c>
      <c r="Y26" s="103">
        <f t="shared" ca="1" si="2"/>
        <v>43983.943847916664</v>
      </c>
      <c r="Z26" s="103">
        <f t="shared" ca="1" si="2"/>
        <v>43984.943847916664</v>
      </c>
      <c r="AA26" s="103">
        <f t="shared" ca="1" si="2"/>
        <v>43985.943847916664</v>
      </c>
      <c r="AB26" s="104">
        <f t="shared" ca="1" si="2"/>
        <v>43986.943847916664</v>
      </c>
      <c r="AC26" s="102">
        <f t="shared" ca="1" si="2"/>
        <v>43987.943847916664</v>
      </c>
      <c r="AD26" s="103">
        <f t="shared" ca="1" si="2"/>
        <v>43988.943847916664</v>
      </c>
      <c r="AE26" s="103">
        <f t="shared" ca="1" si="2"/>
        <v>43989.943847916664</v>
      </c>
      <c r="AF26" s="103">
        <f t="shared" ca="1" si="2"/>
        <v>43990.943847916664</v>
      </c>
      <c r="AG26" s="103">
        <f t="shared" ca="1" si="2"/>
        <v>43991.943847916664</v>
      </c>
      <c r="AH26" s="103">
        <f t="shared" ca="1" si="2"/>
        <v>43992.943847916664</v>
      </c>
      <c r="AI26" s="104">
        <f t="shared" ca="1" si="2"/>
        <v>43993.943847916664</v>
      </c>
      <c r="AJ26" s="102">
        <f t="shared" ca="1" si="2"/>
        <v>43994.943847916664</v>
      </c>
      <c r="AK26" s="103">
        <f t="shared" ca="1" si="2"/>
        <v>43995.943847916664</v>
      </c>
      <c r="AL26" s="103">
        <f t="shared" ca="1" si="2"/>
        <v>43996.943847916664</v>
      </c>
      <c r="AM26" s="103">
        <f t="shared" ca="1" si="2"/>
        <v>43997.943847916664</v>
      </c>
      <c r="AN26" s="103">
        <f t="shared" ca="1" si="2"/>
        <v>43998.943847916664</v>
      </c>
      <c r="AO26" s="103">
        <f ca="1">AP26-1</f>
        <v>43999.943847916664</v>
      </c>
      <c r="AP26" s="124">
        <f ca="1">NOW()</f>
        <v>44000.943847916664</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05" t="s">
        <v>166</v>
      </c>
      <c r="C28" s="306"/>
      <c r="D28" s="306"/>
      <c r="E28" s="306"/>
      <c r="F28" s="306"/>
      <c r="G28" s="307"/>
      <c r="H28" s="311" t="s">
        <v>154</v>
      </c>
      <c r="I28" s="311"/>
      <c r="J28" s="311"/>
      <c r="K28" s="311"/>
      <c r="L28" s="311"/>
      <c r="M28" s="311"/>
      <c r="N28" s="312"/>
      <c r="O28" s="310" t="s">
        <v>155</v>
      </c>
      <c r="P28" s="311"/>
      <c r="Q28" s="311"/>
      <c r="R28" s="311"/>
      <c r="S28" s="311"/>
      <c r="T28" s="311"/>
      <c r="U28" s="312"/>
      <c r="V28" s="310" t="s">
        <v>156</v>
      </c>
      <c r="W28" s="311"/>
      <c r="X28" s="311"/>
      <c r="Y28" s="311"/>
      <c r="Z28" s="311"/>
      <c r="AA28" s="311"/>
      <c r="AB28" s="312"/>
      <c r="AC28" s="310" t="s">
        <v>157</v>
      </c>
      <c r="AD28" s="311"/>
      <c r="AE28" s="311"/>
      <c r="AF28" s="311"/>
      <c r="AG28" s="311"/>
      <c r="AH28" s="311"/>
      <c r="AI28" s="312"/>
      <c r="AJ28" s="310" t="s">
        <v>158</v>
      </c>
      <c r="AK28" s="311"/>
      <c r="AL28" s="311"/>
      <c r="AM28" s="311"/>
      <c r="AN28" s="311"/>
      <c r="AO28" s="311"/>
      <c r="AP28" s="312"/>
    </row>
    <row r="29" spans="1:43" x14ac:dyDescent="0.25">
      <c r="B29" s="63" t="s">
        <v>178</v>
      </c>
      <c r="C29" s="109"/>
      <c r="D29" s="109"/>
      <c r="E29" s="109"/>
      <c r="F29" s="109"/>
      <c r="G29" s="110"/>
      <c r="H29" s="308" t="s">
        <v>165</v>
      </c>
      <c r="I29" s="308"/>
      <c r="J29" s="308"/>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8"/>
      <c r="AL29" s="308"/>
      <c r="AM29" s="308"/>
      <c r="AN29" s="308"/>
      <c r="AO29" s="308"/>
      <c r="AP29" s="309"/>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1-Projections!B37</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Projections!B44</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17"/>
  <sheetViews>
    <sheetView tabSelected="1" topLeftCell="A22" zoomScale="85" zoomScaleNormal="85" workbookViewId="0">
      <selection activeCell="V40" sqref="V40"/>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301">
        <v>43949</v>
      </c>
      <c r="Q16" s="302" t="s">
        <v>299</v>
      </c>
      <c r="R16" s="59"/>
      <c r="S16" s="181"/>
    </row>
    <row r="17" spans="15:19" x14ac:dyDescent="0.25">
      <c r="P17" s="278">
        <v>43959</v>
      </c>
      <c r="Q17" t="s">
        <v>306</v>
      </c>
      <c r="S17" s="181"/>
    </row>
    <row r="18" spans="15:19" x14ac:dyDescent="0.25">
      <c r="O18" s="278"/>
      <c r="P18" s="299">
        <v>43961</v>
      </c>
      <c r="Q18" s="300" t="s">
        <v>307</v>
      </c>
      <c r="S18" s="181"/>
    </row>
    <row r="19" spans="15:19" x14ac:dyDescent="0.25">
      <c r="P19" s="278">
        <v>43964</v>
      </c>
      <c r="Q19" t="s">
        <v>308</v>
      </c>
    </row>
    <row r="20" spans="15:19" x14ac:dyDescent="0.25">
      <c r="Q20" s="278">
        <v>43968</v>
      </c>
      <c r="R20" t="s">
        <v>309</v>
      </c>
    </row>
    <row r="21" spans="15:19" x14ac:dyDescent="0.25">
      <c r="Q21" s="278">
        <v>43969</v>
      </c>
      <c r="R21" t="s">
        <v>310</v>
      </c>
    </row>
    <row r="22" spans="15:19" x14ac:dyDescent="0.25">
      <c r="Q22" s="278">
        <v>43969</v>
      </c>
      <c r="R22" t="s">
        <v>311</v>
      </c>
    </row>
    <row r="23" spans="15:19" x14ac:dyDescent="0.25">
      <c r="Q23" s="278">
        <v>43970</v>
      </c>
      <c r="R23" t="s">
        <v>312</v>
      </c>
      <c r="S23" s="181"/>
    </row>
    <row r="24" spans="15:19" x14ac:dyDescent="0.25">
      <c r="Q24" s="278">
        <v>43972</v>
      </c>
      <c r="R24" t="s">
        <v>315</v>
      </c>
      <c r="S24" s="181"/>
    </row>
    <row r="25" spans="15:19" x14ac:dyDescent="0.25">
      <c r="Q25" s="278">
        <v>43979</v>
      </c>
      <c r="R25" t="s">
        <v>317</v>
      </c>
      <c r="S25" s="81"/>
    </row>
    <row r="26" spans="15:19" x14ac:dyDescent="0.25">
      <c r="Q26" s="278">
        <v>43980</v>
      </c>
      <c r="R26" t="s">
        <v>316</v>
      </c>
      <c r="S26" s="181"/>
    </row>
    <row r="27" spans="15:19" x14ac:dyDescent="0.25">
      <c r="Q27" s="278">
        <v>43981</v>
      </c>
      <c r="R27" t="s">
        <v>320</v>
      </c>
    </row>
    <row r="28" spans="15:19" x14ac:dyDescent="0.25">
      <c r="Q28" s="299">
        <v>43983</v>
      </c>
      <c r="R28" s="300" t="s">
        <v>318</v>
      </c>
    </row>
    <row r="29" spans="15:19" x14ac:dyDescent="0.25">
      <c r="Q29" s="278">
        <v>43987</v>
      </c>
      <c r="R29" t="s">
        <v>319</v>
      </c>
    </row>
    <row r="30" spans="15:19" x14ac:dyDescent="0.25">
      <c r="Q30" s="278">
        <v>43988</v>
      </c>
      <c r="R30" t="s">
        <v>321</v>
      </c>
    </row>
    <row r="31" spans="15:19" x14ac:dyDescent="0.25">
      <c r="Q31" s="278">
        <v>43990</v>
      </c>
      <c r="R31" t="s">
        <v>325</v>
      </c>
    </row>
    <row r="32" spans="15:19" x14ac:dyDescent="0.25">
      <c r="Q32" s="278">
        <v>43991</v>
      </c>
      <c r="R32" t="s">
        <v>322</v>
      </c>
    </row>
    <row r="33" spans="1:36" x14ac:dyDescent="0.25">
      <c r="R33" s="278">
        <v>43995</v>
      </c>
      <c r="S33" t="s">
        <v>326</v>
      </c>
    </row>
    <row r="34" spans="1:36" x14ac:dyDescent="0.25">
      <c r="S34" s="303">
        <v>44025</v>
      </c>
      <c r="T34" s="304" t="s">
        <v>323</v>
      </c>
    </row>
    <row r="35" spans="1:36" x14ac:dyDescent="0.25">
      <c r="A35" s="16" t="s">
        <v>0</v>
      </c>
      <c r="B35" s="169">
        <v>25634000</v>
      </c>
      <c r="C35" t="s">
        <v>151</v>
      </c>
      <c r="S35" s="303">
        <v>44032</v>
      </c>
      <c r="T35" s="304" t="s">
        <v>324</v>
      </c>
    </row>
    <row r="36" spans="1:36" x14ac:dyDescent="0.25">
      <c r="A36" s="69" t="s">
        <v>313</v>
      </c>
      <c r="B36" s="291">
        <v>1.4E-2</v>
      </c>
    </row>
    <row r="37" spans="1:36" x14ac:dyDescent="0.25">
      <c r="A37" s="16" t="s">
        <v>213</v>
      </c>
      <c r="B37" s="170">
        <f>B36/B44</f>
        <v>1</v>
      </c>
      <c r="C37" t="s">
        <v>314</v>
      </c>
    </row>
    <row r="38" spans="1:36" x14ac:dyDescent="0.25">
      <c r="A38" s="49" t="s">
        <v>215</v>
      </c>
      <c r="B38" s="128">
        <v>0.2</v>
      </c>
    </row>
    <row r="39" spans="1:36" x14ac:dyDescent="0.25">
      <c r="A39" s="53" t="s">
        <v>144</v>
      </c>
      <c r="B39" s="125">
        <v>2.6</v>
      </c>
      <c r="C39" s="76">
        <f>(B35/1000)*B39</f>
        <v>66648.400000000009</v>
      </c>
      <c r="L39" s="164"/>
    </row>
    <row r="40" spans="1:36" x14ac:dyDescent="0.25">
      <c r="A40" s="53" t="s">
        <v>145</v>
      </c>
      <c r="B40" s="125">
        <v>7.4</v>
      </c>
      <c r="C40" s="73">
        <f>(B35/100000)*B40</f>
        <v>1896.9159999999999</v>
      </c>
      <c r="X40" s="134"/>
      <c r="Y40" s="278"/>
    </row>
    <row r="41" spans="1:36" x14ac:dyDescent="0.25">
      <c r="A41" s="16" t="s">
        <v>172</v>
      </c>
      <c r="B41" s="126">
        <v>0.92</v>
      </c>
      <c r="C41" s="2" t="s">
        <v>286</v>
      </c>
      <c r="W41" s="278"/>
      <c r="X41" s="134"/>
      <c r="AA41" s="278"/>
    </row>
    <row r="42" spans="1:36" x14ac:dyDescent="0.25">
      <c r="A42" s="53" t="s">
        <v>173</v>
      </c>
      <c r="B42" s="127">
        <v>0.05</v>
      </c>
      <c r="C42" s="2" t="s">
        <v>285</v>
      </c>
      <c r="X42" s="134"/>
      <c r="Y42" s="278"/>
      <c r="Z42" s="278"/>
    </row>
    <row r="43" spans="1:36" x14ac:dyDescent="0.25">
      <c r="A43" s="49" t="s">
        <v>209</v>
      </c>
      <c r="B43" s="128">
        <v>0.03</v>
      </c>
      <c r="C43" s="2" t="s">
        <v>284</v>
      </c>
      <c r="D43" s="233" t="s">
        <v>279</v>
      </c>
      <c r="K43" s="164"/>
      <c r="O43" s="191"/>
      <c r="P43" s="191"/>
      <c r="Q43" s="191"/>
      <c r="S43" s="59"/>
      <c r="T43" s="81"/>
      <c r="U43" s="81"/>
      <c r="AE43" s="191"/>
    </row>
    <row r="44" spans="1:36" x14ac:dyDescent="0.25">
      <c r="A44" s="49" t="s">
        <v>214</v>
      </c>
      <c r="B44" s="77">
        <v>1.4E-2</v>
      </c>
      <c r="C44" s="2"/>
      <c r="D44" s="194" t="s">
        <v>265</v>
      </c>
      <c r="K44" s="164"/>
      <c r="L44" s="59"/>
      <c r="M44" s="59"/>
      <c r="N44" s="59"/>
      <c r="P44" s="59"/>
      <c r="Q44" s="59"/>
      <c r="R44" s="59"/>
      <c r="S44" s="164"/>
      <c r="T44" s="81"/>
      <c r="U44" s="81"/>
      <c r="AD44" s="192"/>
    </row>
    <row r="45" spans="1:36" x14ac:dyDescent="0.25">
      <c r="A45" s="167" t="s">
        <v>202</v>
      </c>
      <c r="B45" s="168">
        <v>43855</v>
      </c>
      <c r="C45" s="2"/>
      <c r="D45" s="251">
        <f>(AD48-G48)/(LOG(AD49/G49)/LOG(2))</f>
        <v>71.777777777777771</v>
      </c>
      <c r="E45" s="191"/>
      <c r="J45" s="28"/>
      <c r="K45" s="59"/>
      <c r="L45" s="59"/>
      <c r="M45" s="59"/>
      <c r="N45" s="59"/>
      <c r="O45" s="59" t="s">
        <v>280</v>
      </c>
      <c r="P45" s="59"/>
      <c r="Q45" s="59"/>
      <c r="R45" s="59"/>
      <c r="S45" s="59"/>
      <c r="T45" s="81"/>
      <c r="U45" s="81"/>
    </row>
    <row r="46" spans="1:36" x14ac:dyDescent="0.25">
      <c r="A46" s="28"/>
      <c r="B46" s="62" t="s">
        <v>150</v>
      </c>
      <c r="C46" s="22"/>
      <c r="D46" s="28"/>
      <c r="E46" s="28"/>
      <c r="F46" s="28"/>
      <c r="G46" s="28"/>
      <c r="H46" s="28"/>
      <c r="I46" s="28"/>
      <c r="J46" s="28"/>
      <c r="K46" s="59"/>
      <c r="L46" s="59"/>
      <c r="M46" t="s">
        <v>296</v>
      </c>
      <c r="N46" s="59"/>
      <c r="P46" s="59"/>
      <c r="Q46" s="59" t="s">
        <v>297</v>
      </c>
      <c r="R46" s="59"/>
      <c r="S46" s="59"/>
      <c r="T46" s="59"/>
      <c r="U46" s="59"/>
      <c r="V46" s="28"/>
      <c r="W46" s="28"/>
      <c r="X46" s="28"/>
      <c r="Y46" s="28"/>
      <c r="Z46" s="28"/>
      <c r="AA46" s="28"/>
      <c r="AB46" s="28"/>
      <c r="AC46" s="28"/>
      <c r="AD46" s="233" t="s">
        <v>281</v>
      </c>
      <c r="AG46" s="166"/>
    </row>
    <row r="47" spans="1:36" x14ac:dyDescent="0.25">
      <c r="A47" s="65" t="s">
        <v>133</v>
      </c>
      <c r="B47" s="206">
        <v>43892</v>
      </c>
      <c r="C47" s="206">
        <v>43908</v>
      </c>
      <c r="D47" s="206">
        <v>43914</v>
      </c>
      <c r="E47" s="206">
        <v>43919</v>
      </c>
      <c r="F47" s="206"/>
      <c r="G47" s="147" t="s">
        <v>161</v>
      </c>
      <c r="H47" s="28"/>
      <c r="I47" s="28"/>
      <c r="J47" s="28"/>
      <c r="K47" s="59"/>
      <c r="L47" s="59"/>
      <c r="M47" s="59"/>
      <c r="N47" s="292"/>
      <c r="O47" s="194" t="s">
        <v>295</v>
      </c>
      <c r="P47" s="197"/>
      <c r="Q47" s="197"/>
      <c r="R47" s="197"/>
      <c r="S47" s="28"/>
      <c r="T47" s="28"/>
      <c r="U47" s="28"/>
      <c r="W47" s="28"/>
      <c r="AA47" s="28"/>
      <c r="AB47" s="28"/>
      <c r="AC47" s="28"/>
      <c r="AG47" s="247" t="s">
        <v>287</v>
      </c>
    </row>
    <row r="48" spans="1:36" x14ac:dyDescent="0.25">
      <c r="A48" s="16" t="s">
        <v>12</v>
      </c>
      <c r="B48" s="171">
        <v>4</v>
      </c>
      <c r="C48" s="172">
        <v>3</v>
      </c>
      <c r="D48" s="96">
        <v>5</v>
      </c>
      <c r="E48" s="21">
        <v>115</v>
      </c>
      <c r="F48" s="21"/>
      <c r="G48" s="293">
        <v>43892</v>
      </c>
      <c r="H48" s="294">
        <f>G48+HLOOKUP(G48+1, $B$47:$F$48,2,TRUE)</f>
        <v>43896</v>
      </c>
      <c r="I48" s="294">
        <f t="shared" ref="I48:AC48" si="0">H48+HLOOKUP(H48+1, $B$47:$F$48,2,TRUE)</f>
        <v>43900</v>
      </c>
      <c r="J48" s="294">
        <f t="shared" si="0"/>
        <v>43904</v>
      </c>
      <c r="K48" s="294">
        <f t="shared" si="0"/>
        <v>43908</v>
      </c>
      <c r="L48" s="295">
        <f t="shared" si="0"/>
        <v>43911</v>
      </c>
      <c r="M48" s="295">
        <f t="shared" si="0"/>
        <v>43914</v>
      </c>
      <c r="N48" s="296">
        <f t="shared" si="0"/>
        <v>43919</v>
      </c>
      <c r="O48" s="297">
        <f>$N$48+(($T$48-$N$48)*(0.09))</f>
        <v>43929.35</v>
      </c>
      <c r="P48" s="297">
        <f>$N$48+(($T$48-$N$48)*0.19)</f>
        <v>43940.85</v>
      </c>
      <c r="Q48" s="298">
        <f>$N$48+(($T$48-$N$48)*0.41)</f>
        <v>43966.15</v>
      </c>
      <c r="R48" s="279">
        <f>$N$48+(($T$48-$N$48)*0.75)</f>
        <v>44005.25</v>
      </c>
      <c r="S48" s="279">
        <f>$N$48+(($T$48-$N$48)*0.9)</f>
        <v>44022.5</v>
      </c>
      <c r="T48" s="280">
        <f>N48+HLOOKUP(N48+1, $B$47:$F$48,2,TRUE)</f>
        <v>44034</v>
      </c>
      <c r="U48" s="280">
        <f t="shared" si="0"/>
        <v>44149</v>
      </c>
      <c r="V48" s="280">
        <f t="shared" si="0"/>
        <v>44264</v>
      </c>
      <c r="W48" s="280">
        <f t="shared" si="0"/>
        <v>44379</v>
      </c>
      <c r="X48" s="280">
        <f t="shared" si="0"/>
        <v>44494</v>
      </c>
      <c r="Y48" s="280">
        <f t="shared" si="0"/>
        <v>44609</v>
      </c>
      <c r="Z48" s="280">
        <f t="shared" si="0"/>
        <v>44724</v>
      </c>
      <c r="AA48" s="280">
        <f t="shared" si="0"/>
        <v>44839</v>
      </c>
      <c r="AB48" s="280">
        <f t="shared" si="0"/>
        <v>44954</v>
      </c>
      <c r="AC48" s="280">
        <f t="shared" si="0"/>
        <v>45069</v>
      </c>
      <c r="AD48" s="281">
        <f>AC48+HLOOKUP(AC48+1, $B$47:$F$48,2,TRUE)</f>
        <v>45184</v>
      </c>
      <c r="AE48" s="282">
        <f>AD48+HLOOKUP(AD48+1, $B$47:$F$48,2,TRUE)</f>
        <v>45299</v>
      </c>
      <c r="AF48" s="283">
        <f>AE48+HLOOKUP(AE48+1, $B$47:$F$48,2,TRUE)</f>
        <v>45414</v>
      </c>
      <c r="AG48" s="248">
        <f>AF48+(7*8)</f>
        <v>45470</v>
      </c>
      <c r="AH48" s="82"/>
      <c r="AI48" s="82"/>
      <c r="AJ48" s="81"/>
    </row>
    <row r="49" spans="1:36" x14ac:dyDescent="0.25">
      <c r="A49" s="53" t="s">
        <v>207</v>
      </c>
      <c r="B49" s="28"/>
      <c r="C49" s="28"/>
      <c r="D49" s="28"/>
      <c r="E49" s="28"/>
      <c r="F49" s="28"/>
      <c r="G49" s="274">
        <v>31.25</v>
      </c>
      <c r="H49" s="275">
        <f>G49*2</f>
        <v>62.5</v>
      </c>
      <c r="I49" s="275">
        <f t="shared" ref="I49:AB49" si="1">H49*2</f>
        <v>125</v>
      </c>
      <c r="J49" s="275">
        <f t="shared" si="1"/>
        <v>250</v>
      </c>
      <c r="K49" s="276">
        <f t="shared" si="1"/>
        <v>500</v>
      </c>
      <c r="L49" s="277">
        <f t="shared" si="1"/>
        <v>1000</v>
      </c>
      <c r="M49" s="275">
        <f t="shared" si="1"/>
        <v>2000</v>
      </c>
      <c r="N49" s="275">
        <f t="shared" si="1"/>
        <v>4000</v>
      </c>
      <c r="O49" s="277">
        <f>$N$49+(($T$49-$N$49)*0.5)</f>
        <v>6000</v>
      </c>
      <c r="P49" s="275">
        <f>$N$49+(($T$49-$N$49)*0.65)</f>
        <v>6600</v>
      </c>
      <c r="Q49" s="275">
        <f>$N$49+(($T$49-$N$49)*0.75)</f>
        <v>7000</v>
      </c>
      <c r="R49" s="275">
        <f>$N$49+(($T$49-$N$49)*0.85)</f>
        <v>7400</v>
      </c>
      <c r="S49" s="275">
        <f>$N$49+(($T$49-$N$49)*0.95)</f>
        <v>7800</v>
      </c>
      <c r="T49" s="277">
        <f>N49*2</f>
        <v>8000</v>
      </c>
      <c r="U49" s="275">
        <f>T49*2</f>
        <v>16000</v>
      </c>
      <c r="V49" s="275">
        <f>U49*2</f>
        <v>32000</v>
      </c>
      <c r="W49" s="275">
        <f>V49*2</f>
        <v>64000</v>
      </c>
      <c r="X49" s="275">
        <f>W49*2</f>
        <v>128000</v>
      </c>
      <c r="Y49" s="275">
        <f t="shared" si="1"/>
        <v>256000</v>
      </c>
      <c r="Z49" s="275">
        <f t="shared" si="1"/>
        <v>512000</v>
      </c>
      <c r="AA49" s="275">
        <f t="shared" si="1"/>
        <v>1024000</v>
      </c>
      <c r="AB49" s="275">
        <f t="shared" si="1"/>
        <v>2048000</v>
      </c>
      <c r="AC49" s="275">
        <f>AB49*2</f>
        <v>4096000</v>
      </c>
      <c r="AD49" s="276">
        <f>AC49*2</f>
        <v>8192000</v>
      </c>
      <c r="AE49" s="265">
        <f>AD49*2</f>
        <v>16384000</v>
      </c>
      <c r="AF49" s="222">
        <f>B35</f>
        <v>25634000</v>
      </c>
      <c r="AG49" s="241">
        <f>B35*AG50</f>
        <v>5126800</v>
      </c>
      <c r="AH49" s="57"/>
      <c r="AI49" s="57"/>
      <c r="AJ49" s="81"/>
    </row>
    <row r="50" spans="1:36" x14ac:dyDescent="0.25">
      <c r="A50" s="53" t="s">
        <v>208</v>
      </c>
      <c r="B50" s="28"/>
      <c r="C50" s="28"/>
      <c r="D50" s="28"/>
      <c r="E50" s="28"/>
      <c r="F50" s="28"/>
      <c r="G50" s="210">
        <f t="shared" ref="G50:AB50" si="2">G49/$B$35</f>
        <v>1.2190840290239525E-6</v>
      </c>
      <c r="H50" s="211">
        <f t="shared" si="2"/>
        <v>2.438168058047905E-6</v>
      </c>
      <c r="I50" s="78">
        <f t="shared" si="2"/>
        <v>4.87633611609581E-6</v>
      </c>
      <c r="J50" s="48">
        <f t="shared" si="2"/>
        <v>9.7526722321916199E-6</v>
      </c>
      <c r="K50" s="209">
        <f t="shared" si="2"/>
        <v>1.950534446438324E-5</v>
      </c>
      <c r="L50" s="101">
        <f t="shared" si="2"/>
        <v>3.901068892876648E-5</v>
      </c>
      <c r="M50" s="48">
        <f t="shared" si="2"/>
        <v>7.8021377857532959E-5</v>
      </c>
      <c r="N50" s="48">
        <f t="shared" si="2"/>
        <v>1.5604275571506592E-4</v>
      </c>
      <c r="O50" s="101">
        <f t="shared" ref="O50:S50" si="3">O49/$B$35</f>
        <v>2.3406413357259889E-4</v>
      </c>
      <c r="P50" s="48">
        <f t="shared" si="3"/>
        <v>2.5747054692985876E-4</v>
      </c>
      <c r="Q50" s="48">
        <f t="shared" ref="Q50:R50" si="4">Q49/$B$35</f>
        <v>2.7307482250136535E-4</v>
      </c>
      <c r="R50" s="48">
        <f t="shared" si="4"/>
        <v>2.8867909807287195E-4</v>
      </c>
      <c r="S50" s="48">
        <f t="shared" si="3"/>
        <v>3.0428337364437854E-4</v>
      </c>
      <c r="T50" s="18">
        <f t="shared" si="2"/>
        <v>3.1208551143013184E-4</v>
      </c>
      <c r="U50" s="26">
        <f>U49/$B$35</f>
        <v>6.2417102286026367E-4</v>
      </c>
      <c r="V50" s="26">
        <f>V49/$B$35</f>
        <v>1.2483420457205273E-3</v>
      </c>
      <c r="W50" s="26">
        <f>W49/$B$35</f>
        <v>2.4966840914410547E-3</v>
      </c>
      <c r="X50" s="27">
        <f>X49/$B$35</f>
        <v>4.9933681828821094E-3</v>
      </c>
      <c r="Y50" s="87">
        <f t="shared" si="2"/>
        <v>9.9867363657642188E-3</v>
      </c>
      <c r="Z50" s="87">
        <f t="shared" si="2"/>
        <v>1.9973472731528438E-2</v>
      </c>
      <c r="AA50" s="87">
        <f t="shared" si="2"/>
        <v>3.9946945463056875E-2</v>
      </c>
      <c r="AB50" s="87">
        <f t="shared" si="2"/>
        <v>7.989389092611375E-2</v>
      </c>
      <c r="AC50" s="87">
        <f>AC49/$B$35</f>
        <v>0.1597877818522275</v>
      </c>
      <c r="AD50" s="269">
        <f>AD49/$B$35</f>
        <v>0.319575563704455</v>
      </c>
      <c r="AE50" s="266">
        <f>AE49/$B$35</f>
        <v>0.63915112740891</v>
      </c>
      <c r="AF50" s="193">
        <f>AF49/$B$35</f>
        <v>1</v>
      </c>
      <c r="AG50" s="242">
        <f>B38</f>
        <v>0.2</v>
      </c>
      <c r="AH50" s="37"/>
      <c r="AI50" s="37"/>
      <c r="AJ50" s="81"/>
    </row>
    <row r="51" spans="1:36" x14ac:dyDescent="0.25">
      <c r="A51" s="53" t="s">
        <v>261</v>
      </c>
      <c r="B51" s="28"/>
      <c r="C51" s="28"/>
      <c r="D51" s="28"/>
      <c r="E51" s="28"/>
      <c r="F51" s="28"/>
      <c r="G51" s="252">
        <f t="shared" ref="G51:U51" si="5">MAX(G49-(G57-G58)-(G59-G60)-(G61-G62),0)</f>
        <v>23.164089590657923</v>
      </c>
      <c r="H51" s="253">
        <f t="shared" si="5"/>
        <v>50.699712342982444</v>
      </c>
      <c r="I51" s="253">
        <f t="shared" si="5"/>
        <v>107.77908340074089</v>
      </c>
      <c r="J51" s="253">
        <f t="shared" si="5"/>
        <v>224.86841192873166</v>
      </c>
      <c r="K51" s="254">
        <f t="shared" si="5"/>
        <v>464.13626956465896</v>
      </c>
      <c r="L51" s="252">
        <f t="shared" si="5"/>
        <v>933.37965322963009</v>
      </c>
      <c r="M51" s="253">
        <f t="shared" si="5"/>
        <v>1895.6439393939395</v>
      </c>
      <c r="N51" s="253">
        <f t="shared" si="5"/>
        <v>3736.0594121267809</v>
      </c>
      <c r="O51" s="252">
        <f t="shared" ref="O51:S51" si="6">MAX(O49-(O57-O58)-(O59-O60)-(O61-O62),0)</f>
        <v>3294.2461742046949</v>
      </c>
      <c r="P51" s="253">
        <f t="shared" si="6"/>
        <v>45.298353008297113</v>
      </c>
      <c r="Q51" s="253">
        <f t="shared" ref="Q51:R51" si="7">MAX(Q49-(Q57-Q58)-(Q59-Q60)-(Q61-Q62),0)</f>
        <v>0</v>
      </c>
      <c r="R51" s="253">
        <f t="shared" si="7"/>
        <v>0</v>
      </c>
      <c r="S51" s="253">
        <f t="shared" si="6"/>
        <v>378.44490573917221</v>
      </c>
      <c r="T51" s="252">
        <f>MAX(T49-(T57-T58)-(T59-T60)-(T61-T62),0)</f>
        <v>0</v>
      </c>
      <c r="U51" s="253">
        <f t="shared" si="5"/>
        <v>0</v>
      </c>
      <c r="V51" s="253">
        <f>MAX(V49-(V57-V58)-(V59-V60)-(V61-V62),0)</f>
        <v>0</v>
      </c>
      <c r="W51" s="253">
        <f t="shared" ref="W51:AF51" si="8">MAX(W49-(W57-W58)-(W59-W60)-(W61-W62),0)</f>
        <v>0</v>
      </c>
      <c r="X51" s="253">
        <f t="shared" si="8"/>
        <v>0</v>
      </c>
      <c r="Y51" s="253">
        <f t="shared" si="8"/>
        <v>0</v>
      </c>
      <c r="Z51" s="253">
        <f t="shared" si="8"/>
        <v>0</v>
      </c>
      <c r="AA51" s="253">
        <f t="shared" si="8"/>
        <v>0</v>
      </c>
      <c r="AB51" s="253">
        <f t="shared" si="8"/>
        <v>0</v>
      </c>
      <c r="AC51" s="253">
        <f t="shared" si="8"/>
        <v>0</v>
      </c>
      <c r="AD51" s="254">
        <f t="shared" si="8"/>
        <v>0</v>
      </c>
      <c r="AE51" s="267">
        <f t="shared" si="8"/>
        <v>0</v>
      </c>
      <c r="AF51" s="215">
        <f t="shared" si="8"/>
        <v>0</v>
      </c>
      <c r="AG51" s="243"/>
      <c r="AH51" s="57"/>
      <c r="AI51" s="57"/>
      <c r="AJ51" s="81"/>
    </row>
    <row r="52" spans="1:36" x14ac:dyDescent="0.25">
      <c r="A52" s="53" t="s">
        <v>282</v>
      </c>
      <c r="B52" s="28"/>
      <c r="C52" s="28"/>
      <c r="D52" s="28"/>
      <c r="E52" s="28"/>
      <c r="F52" s="28"/>
      <c r="G52" s="98">
        <f>G49-G51</f>
        <v>8.0859104093420768</v>
      </c>
      <c r="H52" s="99">
        <f t="shared" ref="H52:AF52" si="9">H49-H51</f>
        <v>11.800287657017556</v>
      </c>
      <c r="I52" s="99">
        <f t="shared" si="9"/>
        <v>17.220916599259112</v>
      </c>
      <c r="J52" s="99">
        <f t="shared" si="9"/>
        <v>25.131588071268339</v>
      </c>
      <c r="K52" s="136">
        <f t="shared" si="9"/>
        <v>35.86373043534104</v>
      </c>
      <c r="L52" s="270">
        <f t="shared" si="9"/>
        <v>66.620346770369906</v>
      </c>
      <c r="M52" s="135">
        <f t="shared" si="9"/>
        <v>104.35606060606051</v>
      </c>
      <c r="N52" s="135">
        <f t="shared" si="9"/>
        <v>263.9405878732191</v>
      </c>
      <c r="O52" s="270">
        <f t="shared" ref="O52:S52" si="10">O49-O51</f>
        <v>2705.7538257953051</v>
      </c>
      <c r="P52" s="135">
        <f t="shared" si="10"/>
        <v>6554.7016469917025</v>
      </c>
      <c r="Q52" s="135">
        <f t="shared" ref="Q52:R52" si="11">Q49-Q51</f>
        <v>7000</v>
      </c>
      <c r="R52" s="135">
        <f t="shared" si="11"/>
        <v>7400</v>
      </c>
      <c r="S52" s="135">
        <f t="shared" si="10"/>
        <v>7421.5550942608279</v>
      </c>
      <c r="T52" s="270">
        <f>T49-T51</f>
        <v>8000</v>
      </c>
      <c r="U52" s="135">
        <f t="shared" si="9"/>
        <v>16000</v>
      </c>
      <c r="V52" s="135">
        <f t="shared" si="9"/>
        <v>32000</v>
      </c>
      <c r="W52" s="135">
        <f t="shared" si="9"/>
        <v>64000</v>
      </c>
      <c r="X52" s="135">
        <f t="shared" si="9"/>
        <v>128000</v>
      </c>
      <c r="Y52" s="135">
        <f t="shared" si="9"/>
        <v>256000</v>
      </c>
      <c r="Z52" s="135">
        <f t="shared" si="9"/>
        <v>512000</v>
      </c>
      <c r="AA52" s="135">
        <f t="shared" si="9"/>
        <v>1024000</v>
      </c>
      <c r="AB52" s="135">
        <f t="shared" si="9"/>
        <v>2048000</v>
      </c>
      <c r="AC52" s="135">
        <f t="shared" si="9"/>
        <v>4096000</v>
      </c>
      <c r="AD52" s="136">
        <f t="shared" si="9"/>
        <v>8192000</v>
      </c>
      <c r="AE52" s="235">
        <f t="shared" si="9"/>
        <v>16384000</v>
      </c>
      <c r="AF52" s="234">
        <f t="shared" si="9"/>
        <v>25634000</v>
      </c>
      <c r="AG52" s="244"/>
      <c r="AH52" s="37"/>
      <c r="AI52" s="37"/>
      <c r="AJ52" s="81"/>
    </row>
    <row r="53" spans="1:36" x14ac:dyDescent="0.25">
      <c r="A53" s="16" t="s">
        <v>274</v>
      </c>
      <c r="B53" s="21"/>
      <c r="C53" s="21"/>
      <c r="D53" s="21"/>
      <c r="E53" s="21"/>
      <c r="F53" s="21"/>
      <c r="G53" s="231">
        <f t="shared" ref="G53:AD53" si="12">G49/$B$37</f>
        <v>31.25</v>
      </c>
      <c r="H53" s="232">
        <f t="shared" si="12"/>
        <v>62.5</v>
      </c>
      <c r="I53" s="232">
        <f t="shared" si="12"/>
        <v>125</v>
      </c>
      <c r="J53" s="232">
        <f t="shared" si="12"/>
        <v>250</v>
      </c>
      <c r="K53" s="232">
        <f t="shared" si="12"/>
        <v>500</v>
      </c>
      <c r="L53" s="231">
        <f t="shared" si="12"/>
        <v>1000</v>
      </c>
      <c r="M53" s="232">
        <f t="shared" si="12"/>
        <v>2000</v>
      </c>
      <c r="N53" s="232">
        <f t="shared" si="12"/>
        <v>4000</v>
      </c>
      <c r="O53" s="231">
        <f t="shared" ref="O53:S53" si="13">O49/$B$37</f>
        <v>6000</v>
      </c>
      <c r="P53" s="232">
        <f t="shared" si="13"/>
        <v>6600</v>
      </c>
      <c r="Q53" s="232">
        <f t="shared" ref="Q53:R53" si="14">Q49/$B$37</f>
        <v>7000</v>
      </c>
      <c r="R53" s="232">
        <f t="shared" si="14"/>
        <v>7400</v>
      </c>
      <c r="S53" s="232">
        <f t="shared" si="13"/>
        <v>7800</v>
      </c>
      <c r="T53" s="231">
        <f t="shared" si="12"/>
        <v>8000</v>
      </c>
      <c r="U53" s="232">
        <f t="shared" si="12"/>
        <v>16000</v>
      </c>
      <c r="V53" s="232">
        <f t="shared" si="12"/>
        <v>32000</v>
      </c>
      <c r="W53" s="232">
        <f t="shared" si="12"/>
        <v>64000</v>
      </c>
      <c r="X53" s="232">
        <f t="shared" si="12"/>
        <v>128000</v>
      </c>
      <c r="Y53" s="232">
        <f t="shared" si="12"/>
        <v>256000</v>
      </c>
      <c r="Z53" s="232">
        <f t="shared" si="12"/>
        <v>512000</v>
      </c>
      <c r="AA53" s="232">
        <f t="shared" si="12"/>
        <v>1024000</v>
      </c>
      <c r="AB53" s="232">
        <f t="shared" si="12"/>
        <v>2048000</v>
      </c>
      <c r="AC53" s="232">
        <f t="shared" si="12"/>
        <v>4096000</v>
      </c>
      <c r="AD53" s="240">
        <f t="shared" si="12"/>
        <v>8192000</v>
      </c>
      <c r="AE53" s="267">
        <f>AE49/$B$37</f>
        <v>16384000</v>
      </c>
      <c r="AF53" s="215">
        <f>AF49</f>
        <v>25634000</v>
      </c>
      <c r="AG53" s="243">
        <f>($B$35*$B$38)/$B$37</f>
        <v>5126800</v>
      </c>
      <c r="AH53" s="37"/>
      <c r="AI53" s="37"/>
      <c r="AJ53" s="81"/>
    </row>
    <row r="54" spans="1:36" x14ac:dyDescent="0.25">
      <c r="A54" s="53" t="s">
        <v>212</v>
      </c>
      <c r="B54" s="28"/>
      <c r="C54" s="28"/>
      <c r="D54" s="28"/>
      <c r="E54" s="28"/>
      <c r="F54" s="28"/>
      <c r="G54" s="210">
        <f>G53/$B$35</f>
        <v>1.2190840290239525E-6</v>
      </c>
      <c r="H54" s="78">
        <f t="shared" ref="H54:AD54" si="15">H53/$B$35</f>
        <v>2.438168058047905E-6</v>
      </c>
      <c r="I54" s="78">
        <f t="shared" si="15"/>
        <v>4.87633611609581E-6</v>
      </c>
      <c r="J54" s="48">
        <f t="shared" si="15"/>
        <v>9.7526722321916199E-6</v>
      </c>
      <c r="K54" s="48">
        <f t="shared" si="15"/>
        <v>1.950534446438324E-5</v>
      </c>
      <c r="L54" s="101">
        <f t="shared" si="15"/>
        <v>3.901068892876648E-5</v>
      </c>
      <c r="M54" s="48">
        <f t="shared" si="15"/>
        <v>7.8021377857532959E-5</v>
      </c>
      <c r="N54" s="26">
        <f t="shared" si="15"/>
        <v>1.5604275571506592E-4</v>
      </c>
      <c r="O54" s="18">
        <f t="shared" ref="O54:S54" si="16">O53/$B$35</f>
        <v>2.3406413357259889E-4</v>
      </c>
      <c r="P54" s="26">
        <f t="shared" si="16"/>
        <v>2.5747054692985876E-4</v>
      </c>
      <c r="Q54" s="26">
        <f t="shared" ref="Q54:R54" si="17">Q53/$B$35</f>
        <v>2.7307482250136535E-4</v>
      </c>
      <c r="R54" s="26">
        <f t="shared" si="17"/>
        <v>2.8867909807287195E-4</v>
      </c>
      <c r="S54" s="26">
        <f t="shared" si="16"/>
        <v>3.0428337364437854E-4</v>
      </c>
      <c r="T54" s="20">
        <f t="shared" si="15"/>
        <v>3.1208551143013184E-4</v>
      </c>
      <c r="U54" s="27">
        <f t="shared" si="15"/>
        <v>6.2417102286026367E-4</v>
      </c>
      <c r="V54" s="27">
        <f t="shared" si="15"/>
        <v>1.2483420457205273E-3</v>
      </c>
      <c r="W54" s="27">
        <f t="shared" si="15"/>
        <v>2.4966840914410547E-3</v>
      </c>
      <c r="X54" s="27">
        <f t="shared" si="15"/>
        <v>4.9933681828821094E-3</v>
      </c>
      <c r="Y54" s="87">
        <f t="shared" si="15"/>
        <v>9.9867363657642188E-3</v>
      </c>
      <c r="Z54" s="87">
        <f t="shared" si="15"/>
        <v>1.9973472731528438E-2</v>
      </c>
      <c r="AA54" s="87">
        <f t="shared" si="15"/>
        <v>3.9946945463056875E-2</v>
      </c>
      <c r="AB54" s="87">
        <f t="shared" si="15"/>
        <v>7.989389092611375E-2</v>
      </c>
      <c r="AC54" s="87">
        <f t="shared" si="15"/>
        <v>0.1597877818522275</v>
      </c>
      <c r="AD54" s="269">
        <f t="shared" si="15"/>
        <v>0.319575563704455</v>
      </c>
      <c r="AE54" s="266">
        <f>AE53/$B$35</f>
        <v>0.63915112740891</v>
      </c>
      <c r="AF54" s="193">
        <v>1</v>
      </c>
      <c r="AG54" s="242">
        <f>AG53/B35</f>
        <v>0.2</v>
      </c>
      <c r="AH54" s="37"/>
      <c r="AI54" s="37"/>
      <c r="AJ54" s="81"/>
    </row>
    <row r="55" spans="1:36" x14ac:dyDescent="0.25">
      <c r="A55" s="53" t="s">
        <v>272</v>
      </c>
      <c r="B55" s="28"/>
      <c r="C55" s="28"/>
      <c r="D55" s="28"/>
      <c r="E55" s="28"/>
      <c r="F55" s="28"/>
      <c r="G55" s="212">
        <f t="shared" ref="G55:AD55" si="18">G53-G49</f>
        <v>0</v>
      </c>
      <c r="H55" s="213">
        <f t="shared" si="18"/>
        <v>0</v>
      </c>
      <c r="I55" s="213">
        <f t="shared" si="18"/>
        <v>0</v>
      </c>
      <c r="J55" s="213">
        <f t="shared" si="18"/>
        <v>0</v>
      </c>
      <c r="K55" s="213">
        <f t="shared" si="18"/>
        <v>0</v>
      </c>
      <c r="L55" s="212">
        <f t="shared" si="18"/>
        <v>0</v>
      </c>
      <c r="M55" s="213">
        <f t="shared" si="18"/>
        <v>0</v>
      </c>
      <c r="N55" s="213">
        <f t="shared" si="18"/>
        <v>0</v>
      </c>
      <c r="O55" s="212">
        <f t="shared" ref="O55:S55" si="19">O53-O49</f>
        <v>0</v>
      </c>
      <c r="P55" s="213">
        <f t="shared" si="19"/>
        <v>0</v>
      </c>
      <c r="Q55" s="213">
        <f t="shared" ref="Q55:R55" si="20">Q53-Q49</f>
        <v>0</v>
      </c>
      <c r="R55" s="213">
        <f t="shared" si="20"/>
        <v>0</v>
      </c>
      <c r="S55" s="213">
        <f t="shared" si="19"/>
        <v>0</v>
      </c>
      <c r="T55" s="212">
        <f t="shared" si="18"/>
        <v>0</v>
      </c>
      <c r="U55" s="213">
        <f t="shared" si="18"/>
        <v>0</v>
      </c>
      <c r="V55" s="213">
        <f t="shared" si="18"/>
        <v>0</v>
      </c>
      <c r="W55" s="213">
        <f t="shared" si="18"/>
        <v>0</v>
      </c>
      <c r="X55" s="213">
        <f>X53-X49</f>
        <v>0</v>
      </c>
      <c r="Y55" s="213">
        <f t="shared" si="18"/>
        <v>0</v>
      </c>
      <c r="Z55" s="213">
        <f t="shared" si="18"/>
        <v>0</v>
      </c>
      <c r="AA55" s="213">
        <f t="shared" si="18"/>
        <v>0</v>
      </c>
      <c r="AB55" s="213">
        <f t="shared" si="18"/>
        <v>0</v>
      </c>
      <c r="AC55" s="213">
        <f t="shared" si="18"/>
        <v>0</v>
      </c>
      <c r="AD55" s="214">
        <f t="shared" si="18"/>
        <v>0</v>
      </c>
      <c r="AE55" s="267">
        <f>AE53</f>
        <v>16384000</v>
      </c>
      <c r="AF55" s="215">
        <f>AF53</f>
        <v>25634000</v>
      </c>
      <c r="AG55" s="245">
        <f>AG53-AG49</f>
        <v>0</v>
      </c>
      <c r="AH55" s="37"/>
      <c r="AI55" s="37"/>
      <c r="AJ55" s="81"/>
    </row>
    <row r="56" spans="1:36" x14ac:dyDescent="0.25">
      <c r="A56" s="49" t="s">
        <v>273</v>
      </c>
      <c r="B56" s="51"/>
      <c r="C56" s="51"/>
      <c r="D56" s="51"/>
      <c r="E56" s="51"/>
      <c r="F56" s="51"/>
      <c r="G56" s="216">
        <f>MIN((1/$B$37)*(2^(((G48 - 14) - $B$45)/$G$74)),G55)</f>
        <v>0</v>
      </c>
      <c r="H56" s="217">
        <f>MIN((1/$B$37)*(2^(((H48 - 14) - $B$45)/$G$74)),H55)</f>
        <v>0</v>
      </c>
      <c r="I56" s="217">
        <f t="shared" ref="I56:J56" si="21">MIN((1/$B$37)*(2^(((I48 - 14) - $B$45)/$G$74)),I55)</f>
        <v>0</v>
      </c>
      <c r="J56" s="217">
        <f t="shared" si="21"/>
        <v>0</v>
      </c>
      <c r="K56" s="219">
        <f t="shared" ref="K56:AF56" si="22">MIN(($G$49/$B$37)*(2^(((K48 - 14) - $G$48)/HLOOKUP((K48-14)-$B$45,$G$72:$AG$74,3,TRUE))),K55)</f>
        <v>0</v>
      </c>
      <c r="L56" s="220">
        <f t="shared" si="22"/>
        <v>0</v>
      </c>
      <c r="M56" s="219">
        <f t="shared" si="22"/>
        <v>0</v>
      </c>
      <c r="N56" s="219">
        <f t="shared" si="22"/>
        <v>0</v>
      </c>
      <c r="O56" s="220">
        <f t="shared" si="22"/>
        <v>0</v>
      </c>
      <c r="P56" s="219">
        <f t="shared" si="22"/>
        <v>0</v>
      </c>
      <c r="Q56" s="219">
        <f t="shared" si="22"/>
        <v>0</v>
      </c>
      <c r="R56" s="219">
        <f t="shared" si="22"/>
        <v>0</v>
      </c>
      <c r="S56" s="219">
        <f t="shared" si="22"/>
        <v>0</v>
      </c>
      <c r="T56" s="220">
        <f t="shared" si="22"/>
        <v>0</v>
      </c>
      <c r="U56" s="219">
        <f t="shared" si="22"/>
        <v>0</v>
      </c>
      <c r="V56" s="219">
        <f t="shared" si="22"/>
        <v>0</v>
      </c>
      <c r="W56" s="219">
        <f t="shared" si="22"/>
        <v>0</v>
      </c>
      <c r="X56" s="219">
        <f t="shared" si="22"/>
        <v>0</v>
      </c>
      <c r="Y56" s="219">
        <f t="shared" si="22"/>
        <v>0</v>
      </c>
      <c r="Z56" s="219">
        <f t="shared" si="22"/>
        <v>0</v>
      </c>
      <c r="AA56" s="219">
        <f t="shared" si="22"/>
        <v>0</v>
      </c>
      <c r="AB56" s="219">
        <f t="shared" si="22"/>
        <v>0</v>
      </c>
      <c r="AC56" s="219">
        <f t="shared" si="22"/>
        <v>0</v>
      </c>
      <c r="AD56" s="218">
        <f t="shared" si="22"/>
        <v>0</v>
      </c>
      <c r="AE56" s="267">
        <f t="shared" si="22"/>
        <v>16384000</v>
      </c>
      <c r="AF56" s="221">
        <f t="shared" si="22"/>
        <v>25634000</v>
      </c>
      <c r="AG56" s="245"/>
      <c r="AH56" s="37"/>
      <c r="AI56" s="37"/>
      <c r="AJ56" s="81"/>
    </row>
    <row r="57" spans="1:36" x14ac:dyDescent="0.25">
      <c r="A57" s="53" t="s">
        <v>264</v>
      </c>
      <c r="B57" s="28"/>
      <c r="C57" s="28"/>
      <c r="D57" s="28"/>
      <c r="E57" s="28"/>
      <c r="F57" s="28"/>
      <c r="G57" s="236">
        <f t="shared" ref="G57:AF57" si="23">G49*$B$41</f>
        <v>28.75</v>
      </c>
      <c r="H57" s="237">
        <f t="shared" si="23"/>
        <v>57.5</v>
      </c>
      <c r="I57" s="237">
        <f t="shared" si="23"/>
        <v>115</v>
      </c>
      <c r="J57" s="237">
        <f t="shared" si="23"/>
        <v>230</v>
      </c>
      <c r="K57" s="237">
        <f t="shared" si="23"/>
        <v>460</v>
      </c>
      <c r="L57" s="236">
        <f t="shared" si="23"/>
        <v>920</v>
      </c>
      <c r="M57" s="237">
        <f t="shared" si="23"/>
        <v>1840</v>
      </c>
      <c r="N57" s="237">
        <f t="shared" si="23"/>
        <v>3680</v>
      </c>
      <c r="O57" s="236">
        <f t="shared" ref="O57:S57" si="24">O49*$B$41</f>
        <v>5520</v>
      </c>
      <c r="P57" s="237">
        <f t="shared" si="24"/>
        <v>6072</v>
      </c>
      <c r="Q57" s="237">
        <f t="shared" ref="Q57:R57" si="25">Q49*$B$41</f>
        <v>6440</v>
      </c>
      <c r="R57" s="237">
        <f t="shared" si="25"/>
        <v>6808</v>
      </c>
      <c r="S57" s="237">
        <f t="shared" si="24"/>
        <v>7176</v>
      </c>
      <c r="T57" s="236">
        <f t="shared" si="23"/>
        <v>7360</v>
      </c>
      <c r="U57" s="237">
        <f t="shared" si="23"/>
        <v>14720</v>
      </c>
      <c r="V57" s="237">
        <f t="shared" si="23"/>
        <v>29440</v>
      </c>
      <c r="W57" s="237">
        <f t="shared" si="23"/>
        <v>58880</v>
      </c>
      <c r="X57" s="237">
        <f t="shared" si="23"/>
        <v>117760</v>
      </c>
      <c r="Y57" s="237">
        <f t="shared" si="23"/>
        <v>235520</v>
      </c>
      <c r="Z57" s="237">
        <f t="shared" si="23"/>
        <v>471040</v>
      </c>
      <c r="AA57" s="237">
        <f t="shared" si="23"/>
        <v>942080</v>
      </c>
      <c r="AB57" s="237">
        <f t="shared" si="23"/>
        <v>1884160</v>
      </c>
      <c r="AC57" s="237">
        <f t="shared" si="23"/>
        <v>3768320</v>
      </c>
      <c r="AD57" s="271">
        <f t="shared" si="23"/>
        <v>7536640</v>
      </c>
      <c r="AE57" s="265">
        <f t="shared" si="23"/>
        <v>15073280</v>
      </c>
      <c r="AF57" s="215">
        <f t="shared" si="23"/>
        <v>23583280</v>
      </c>
      <c r="AG57" s="245">
        <f>AG49*B41</f>
        <v>4716656</v>
      </c>
      <c r="AH57" s="37"/>
      <c r="AI57" s="37"/>
      <c r="AJ57" s="81"/>
    </row>
    <row r="58" spans="1:36" x14ac:dyDescent="0.25">
      <c r="A58" s="53" t="s">
        <v>283</v>
      </c>
      <c r="B58" s="28"/>
      <c r="C58" s="28"/>
      <c r="D58" s="28"/>
      <c r="E58" s="28"/>
      <c r="F58" s="28"/>
      <c r="G58" s="216">
        <f>G57-(1*$B$41)*(2^(((G48 - 14) - $B$45)/$G$74))</f>
        <v>20.664089590657923</v>
      </c>
      <c r="H58" s="217">
        <f>H57-(1*$B$41)*(2^(((H48 - 14) - $B$45)/$G$74))</f>
        <v>45.699712342982444</v>
      </c>
      <c r="I58" s="217">
        <f>I57-(1*$B$41)*(2^(((I48 - 14) - $B$45)/$G$74))</f>
        <v>97.779083400740888</v>
      </c>
      <c r="J58" s="217">
        <f>J57-(1*$B$41)*(2^(((J48 - 14) - $B$45)/$G$74))</f>
        <v>204.86841192873166</v>
      </c>
      <c r="K58" s="223">
        <f t="shared" ref="K58:AF58" si="26">MAX(K57-(($G$49*$B$41)*(2^(((K48 -14) - $G$48)/HLOOKUP((K48-14)-$B$45,$G$72:$AG$74,3,TRUE)))),0)</f>
        <v>425.26880842051185</v>
      </c>
      <c r="L58" s="224">
        <f t="shared" si="26"/>
        <v>855.48345365395755</v>
      </c>
      <c r="M58" s="223">
        <f t="shared" si="26"/>
        <v>1738.939393939394</v>
      </c>
      <c r="N58" s="223">
        <f t="shared" si="26"/>
        <v>3424.3943780596196</v>
      </c>
      <c r="O58" s="224">
        <f t="shared" si="26"/>
        <v>2899.6910318613886</v>
      </c>
      <c r="P58" s="223">
        <f t="shared" si="26"/>
        <v>0</v>
      </c>
      <c r="Q58" s="223">
        <f t="shared" si="26"/>
        <v>0</v>
      </c>
      <c r="R58" s="223">
        <f t="shared" si="26"/>
        <v>0</v>
      </c>
      <c r="S58" s="223">
        <f t="shared" si="26"/>
        <v>0</v>
      </c>
      <c r="T58" s="224">
        <f t="shared" si="26"/>
        <v>0</v>
      </c>
      <c r="U58" s="223">
        <f t="shared" si="26"/>
        <v>0</v>
      </c>
      <c r="V58" s="223">
        <f t="shared" si="26"/>
        <v>0</v>
      </c>
      <c r="W58" s="223">
        <f t="shared" si="26"/>
        <v>0</v>
      </c>
      <c r="X58" s="223">
        <f t="shared" si="26"/>
        <v>0</v>
      </c>
      <c r="Y58" s="223">
        <f t="shared" si="26"/>
        <v>0</v>
      </c>
      <c r="Z58" s="223">
        <f t="shared" si="26"/>
        <v>0</v>
      </c>
      <c r="AA58" s="223">
        <f t="shared" si="26"/>
        <v>0</v>
      </c>
      <c r="AB58" s="223">
        <f t="shared" si="26"/>
        <v>0</v>
      </c>
      <c r="AC58" s="223">
        <f t="shared" si="26"/>
        <v>0</v>
      </c>
      <c r="AD58" s="238">
        <f t="shared" si="26"/>
        <v>0</v>
      </c>
      <c r="AE58" s="268">
        <f t="shared" si="26"/>
        <v>0</v>
      </c>
      <c r="AF58" s="221">
        <f t="shared" si="26"/>
        <v>0</v>
      </c>
      <c r="AG58" s="243"/>
      <c r="AH58" s="37"/>
      <c r="AI58" s="37"/>
      <c r="AJ58" s="81"/>
    </row>
    <row r="59" spans="1:36" x14ac:dyDescent="0.25">
      <c r="A59" s="74" t="s">
        <v>210</v>
      </c>
      <c r="B59" s="21"/>
      <c r="C59" s="21"/>
      <c r="D59" s="21"/>
      <c r="E59" s="21"/>
      <c r="F59" s="21"/>
      <c r="G59" s="272">
        <f>(1*($B$42+$B$43))*(2^(((G48 - 7) - $B$45)/$G$74))</f>
        <v>1.3624403770173663</v>
      </c>
      <c r="H59" s="273">
        <f>(1*($B$42+$B$43))*(2^(((H48 - 7) - $B$45)/$G$74))</f>
        <v>1.9882966234408881</v>
      </c>
      <c r="I59" s="232">
        <f t="shared" ref="I59:AE59" si="27">($G$49*($B$42+$B$43))*(2^(((I48-7)-$G$48)/HLOOKUP((I48-7)-$B$45,$G$72:$AG$74,3,TRUE)))</f>
        <v>2.7477734693782825</v>
      </c>
      <c r="J59" s="232">
        <f t="shared" si="27"/>
        <v>5.6101344648732603</v>
      </c>
      <c r="K59" s="232">
        <f t="shared" si="27"/>
        <v>10.283171151388096</v>
      </c>
      <c r="L59" s="231">
        <f t="shared" si="27"/>
        <v>18.787878787878775</v>
      </c>
      <c r="M59" s="232">
        <f t="shared" si="27"/>
        <v>31.107290494170176</v>
      </c>
      <c r="N59" s="232">
        <f t="shared" si="27"/>
        <v>97.540056745390302</v>
      </c>
      <c r="O59" s="231">
        <f t="shared" si="27"/>
        <v>574.77618799654329</v>
      </c>
      <c r="P59" s="232">
        <f t="shared" si="27"/>
        <v>859.05698537255921</v>
      </c>
      <c r="Q59" s="232">
        <f t="shared" si="27"/>
        <v>3648.0224340846935</v>
      </c>
      <c r="R59" s="284">
        <f t="shared" si="27"/>
        <v>5412.5731227783745</v>
      </c>
      <c r="S59" s="284">
        <f t="shared" si="27"/>
        <v>914.98907768335982</v>
      </c>
      <c r="T59" s="285">
        <f t="shared" si="27"/>
        <v>713.45778394840875</v>
      </c>
      <c r="U59" s="232">
        <f t="shared" si="27"/>
        <v>39458.200449707045</v>
      </c>
      <c r="V59" s="232">
        <f t="shared" si="27"/>
        <v>16297.747279793073</v>
      </c>
      <c r="W59" s="232">
        <f t="shared" si="27"/>
        <v>17851.056692125047</v>
      </c>
      <c r="X59" s="232">
        <f t="shared" si="27"/>
        <v>25983.5391547082</v>
      </c>
      <c r="Y59" s="232">
        <f t="shared" si="27"/>
        <v>42702.692559550225</v>
      </c>
      <c r="Z59" s="232">
        <f t="shared" si="27"/>
        <v>74742.253629535087</v>
      </c>
      <c r="AA59" s="232">
        <f t="shared" si="27"/>
        <v>135733.92193164912</v>
      </c>
      <c r="AB59" s="232">
        <f t="shared" si="27"/>
        <v>252341.59549039422</v>
      </c>
      <c r="AC59" s="232">
        <f t="shared" si="27"/>
        <v>476607.68337329559</v>
      </c>
      <c r="AD59" s="240">
        <f t="shared" si="27"/>
        <v>910313.00697220734</v>
      </c>
      <c r="AE59" s="265">
        <f t="shared" si="27"/>
        <v>1752995.8163201262</v>
      </c>
      <c r="AF59" s="222">
        <f>($G$49*($B$42+$B$43))*(2^(((AF48 - 7) - $G$48)/AF74))</f>
        <v>1824532.9113552801</v>
      </c>
      <c r="AG59" s="243">
        <f>AG49*(B42+B43)</f>
        <v>410144</v>
      </c>
      <c r="AH59" s="57"/>
      <c r="AI59" s="57"/>
      <c r="AJ59" s="81"/>
    </row>
    <row r="60" spans="1:36" x14ac:dyDescent="0.25">
      <c r="A60" s="49" t="s">
        <v>262</v>
      </c>
      <c r="B60" s="50"/>
      <c r="C60" s="51"/>
      <c r="D60" s="51"/>
      <c r="E60" s="51"/>
      <c r="F60" s="51"/>
      <c r="G60" s="216">
        <f t="shared" ref="G60:J60" si="28">G59</f>
        <v>1.3624403770173663</v>
      </c>
      <c r="H60" s="217">
        <f t="shared" si="28"/>
        <v>1.9882966234408881</v>
      </c>
      <c r="I60" s="219">
        <f t="shared" si="28"/>
        <v>2.7477734693782825</v>
      </c>
      <c r="J60" s="219">
        <f t="shared" si="28"/>
        <v>5.6101344648732603</v>
      </c>
      <c r="K60" s="219">
        <f>K59-K62</f>
        <v>9.1506322955352211</v>
      </c>
      <c r="L60" s="220">
        <f t="shared" ref="L60:M60" si="29">L59-L62</f>
        <v>16.684078363551301</v>
      </c>
      <c r="M60" s="219">
        <f t="shared" si="29"/>
        <v>27.811835948715633</v>
      </c>
      <c r="N60" s="219">
        <f>N59-N62</f>
        <v>89.205090812551802</v>
      </c>
      <c r="O60" s="220">
        <f t="shared" ref="O60:S60" si="30">O59-O62</f>
        <v>489.33133033984944</v>
      </c>
      <c r="P60" s="219">
        <f t="shared" si="30"/>
        <v>376.35533838085632</v>
      </c>
      <c r="Q60" s="219">
        <f t="shared" ref="Q60:R60" si="31">Q59-Q62</f>
        <v>3007.9225055713932</v>
      </c>
      <c r="R60" s="219">
        <f t="shared" si="31"/>
        <v>4188.839639512581</v>
      </c>
      <c r="S60" s="219">
        <f t="shared" si="30"/>
        <v>669.43398342253204</v>
      </c>
      <c r="T60" s="220">
        <f t="shared" ref="T60:AF60" si="32">MAX(T59-($G$49*$B$42)*(2^(((T48 - 42) - $G$48)/HLOOKUP((T48-42)-$B$45,$G$72:$AG$74,3,TRUE)))-T62,0)</f>
        <v>0</v>
      </c>
      <c r="U60" s="219">
        <f t="shared" si="32"/>
        <v>26809.768695834013</v>
      </c>
      <c r="V60" s="219">
        <f t="shared" si="32"/>
        <v>9861.2522323300564</v>
      </c>
      <c r="W60" s="219">
        <f t="shared" si="32"/>
        <v>10116.989835975111</v>
      </c>
      <c r="X60" s="219">
        <f t="shared" si="32"/>
        <v>14124.228835357189</v>
      </c>
      <c r="Y60" s="219">
        <f t="shared" si="32"/>
        <v>22552.002900960761</v>
      </c>
      <c r="Z60" s="219">
        <f t="shared" si="32"/>
        <v>38646.847571134436</v>
      </c>
      <c r="AA60" s="219">
        <f t="shared" si="32"/>
        <v>69059.548535159891</v>
      </c>
      <c r="AB60" s="219">
        <f t="shared" si="32"/>
        <v>126763.55066033515</v>
      </c>
      <c r="AC60" s="219">
        <f t="shared" si="32"/>
        <v>236970.71705533084</v>
      </c>
      <c r="AD60" s="218">
        <f t="shared" si="32"/>
        <v>448780.01884909661</v>
      </c>
      <c r="AE60" s="268">
        <f t="shared" si="32"/>
        <v>858075.94553999463</v>
      </c>
      <c r="AF60" s="221">
        <f t="shared" si="32"/>
        <v>80417.106373888673</v>
      </c>
      <c r="AG60" s="245"/>
      <c r="AH60" s="57"/>
      <c r="AI60" s="57"/>
      <c r="AJ60" s="81"/>
    </row>
    <row r="61" spans="1:36" x14ac:dyDescent="0.25">
      <c r="A61" s="60" t="s">
        <v>211</v>
      </c>
      <c r="C61" s="21"/>
      <c r="D61" s="21"/>
      <c r="E61" s="21"/>
      <c r="F61" s="21"/>
      <c r="G61" s="272">
        <f>(1*$B$43)*(2^(((G48 - 14) -$B$45)/$G$74))</f>
        <v>0.26367099160898083</v>
      </c>
      <c r="H61" s="273">
        <f>(1*$B$43)*(2^(((H48 - 14) -$B$45)/$G$74))</f>
        <v>0.38479198881578991</v>
      </c>
      <c r="I61" s="273">
        <f>(1*$B$43)*(2^(((I48 - 14) -$B$45)/$G$74))</f>
        <v>0.5615516282367099</v>
      </c>
      <c r="J61" s="273">
        <f>(1*$B$43)*(2^(((J48 - 14) -$B$45)/$G$74))</f>
        <v>0.81950830667179397</v>
      </c>
      <c r="K61" s="240">
        <f t="shared" ref="K61:AF61" si="33">($G$49*$B$43)*(2^(((K48 - 14) - $G$48)/HLOOKUP((K48-14)-$B$45,$G$72:$AG$74,3,TRUE)))</f>
        <v>1.1325388558528744</v>
      </c>
      <c r="L61" s="232">
        <f t="shared" si="33"/>
        <v>2.1038004243274724</v>
      </c>
      <c r="M61" s="232">
        <f t="shared" si="33"/>
        <v>3.295454545454545</v>
      </c>
      <c r="N61" s="232">
        <f t="shared" si="33"/>
        <v>8.3349659328384966</v>
      </c>
      <c r="O61" s="231">
        <f t="shared" si="33"/>
        <v>85.444857656693841</v>
      </c>
      <c r="P61" s="232">
        <f t="shared" si="33"/>
        <v>482.70164699170289</v>
      </c>
      <c r="Q61" s="232">
        <f t="shared" si="33"/>
        <v>640.09992851330003</v>
      </c>
      <c r="R61" s="284">
        <f t="shared" si="33"/>
        <v>1223.7334832657932</v>
      </c>
      <c r="S61" s="284">
        <f t="shared" si="33"/>
        <v>245.55509426082781</v>
      </c>
      <c r="T61" s="285">
        <f t="shared" si="33"/>
        <v>425.45455935549376</v>
      </c>
      <c r="U61" s="232">
        <f t="shared" si="33"/>
        <v>11288.052457630698</v>
      </c>
      <c r="V61" s="232">
        <f t="shared" si="33"/>
        <v>5164.2831284756667</v>
      </c>
      <c r="W61" s="232">
        <f t="shared" si="33"/>
        <v>5881.5941913484785</v>
      </c>
      <c r="X61" s="232">
        <f t="shared" si="33"/>
        <v>8739.2385205338833</v>
      </c>
      <c r="Y61" s="232">
        <f t="shared" si="33"/>
        <v>14546.466256404297</v>
      </c>
      <c r="Z61" s="232">
        <f t="shared" si="33"/>
        <v>25681.621813447426</v>
      </c>
      <c r="AA61" s="232">
        <f t="shared" si="33"/>
        <v>46931.118092676472</v>
      </c>
      <c r="AB61" s="232">
        <f t="shared" si="33"/>
        <v>87663.315624486786</v>
      </c>
      <c r="AC61" s="232">
        <f t="shared" si="33"/>
        <v>166188.60450355953</v>
      </c>
      <c r="AD61" s="240">
        <f t="shared" si="33"/>
        <v>318366.42801534396</v>
      </c>
      <c r="AE61" s="265">
        <f t="shared" si="33"/>
        <v>614586.39622547769</v>
      </c>
      <c r="AF61" s="222">
        <f t="shared" si="33"/>
        <v>1193306.0317347823</v>
      </c>
      <c r="AG61" s="243">
        <f>AG49*B43</f>
        <v>153804</v>
      </c>
      <c r="AH61" s="57"/>
      <c r="AI61" s="57"/>
      <c r="AJ61" s="81"/>
    </row>
    <row r="62" spans="1:36" x14ac:dyDescent="0.25">
      <c r="A62" s="53" t="s">
        <v>263</v>
      </c>
      <c r="B62" s="27"/>
      <c r="C62" s="28"/>
      <c r="D62" s="28"/>
      <c r="E62" s="28"/>
      <c r="F62" s="28"/>
      <c r="G62" s="216">
        <f t="shared" ref="G62:J62" si="34">G61</f>
        <v>0.26367099160898083</v>
      </c>
      <c r="H62" s="217">
        <f t="shared" si="34"/>
        <v>0.38479198881578991</v>
      </c>
      <c r="I62" s="217">
        <f t="shared" si="34"/>
        <v>0.5615516282367099</v>
      </c>
      <c r="J62" s="217">
        <f t="shared" si="34"/>
        <v>0.81950830667179397</v>
      </c>
      <c r="K62" s="218">
        <f>K61</f>
        <v>1.1325388558528744</v>
      </c>
      <c r="L62" s="219">
        <f t="shared" ref="L62:N62" si="35">L61</f>
        <v>2.1038004243274724</v>
      </c>
      <c r="M62" s="219">
        <f t="shared" si="35"/>
        <v>3.295454545454545</v>
      </c>
      <c r="N62" s="219">
        <f t="shared" si="35"/>
        <v>8.3349659328384966</v>
      </c>
      <c r="O62" s="220">
        <f t="shared" ref="O62:S62" si="36">O61</f>
        <v>85.444857656693841</v>
      </c>
      <c r="P62" s="219">
        <f t="shared" si="36"/>
        <v>482.70164699170289</v>
      </c>
      <c r="Q62" s="219">
        <f t="shared" ref="Q62:R62" si="37">Q61</f>
        <v>640.09992851330003</v>
      </c>
      <c r="R62" s="219">
        <f t="shared" si="37"/>
        <v>1223.7334832657932</v>
      </c>
      <c r="S62" s="219">
        <f t="shared" si="36"/>
        <v>245.55509426082781</v>
      </c>
      <c r="T62" s="224">
        <f t="shared" ref="T62:AF62" si="38">MAX(T61-($G$49*$B$43)*(2^(((T48 - 35) - $G$48)/HLOOKUP((T48-35)-$B$45,$G$72:$AG$74,3,TRUE))),0)</f>
        <v>0</v>
      </c>
      <c r="U62" s="223">
        <f t="shared" si="38"/>
        <v>6276.5211401101242</v>
      </c>
      <c r="V62" s="223">
        <f t="shared" si="38"/>
        <v>2048.5257224423499</v>
      </c>
      <c r="W62" s="223">
        <f t="shared" si="38"/>
        <v>1892.3131326933162</v>
      </c>
      <c r="X62" s="223">
        <f t="shared" si="38"/>
        <v>2433.9399991381315</v>
      </c>
      <c r="Y62" s="223">
        <f t="shared" si="38"/>
        <v>3642.8531487919372</v>
      </c>
      <c r="Z62" s="223">
        <f t="shared" si="38"/>
        <v>5925.6946536035503</v>
      </c>
      <c r="AA62" s="223">
        <f t="shared" si="38"/>
        <v>10144.945238413246</v>
      </c>
      <c r="AB62" s="223">
        <f t="shared" si="38"/>
        <v>17966.773262175047</v>
      </c>
      <c r="AC62" s="223">
        <f t="shared" si="38"/>
        <v>32581.964270243683</v>
      </c>
      <c r="AD62" s="238">
        <f t="shared" si="38"/>
        <v>60114.833612486487</v>
      </c>
      <c r="AE62" s="268">
        <f t="shared" si="38"/>
        <v>112364.86258721427</v>
      </c>
      <c r="AF62" s="221">
        <f t="shared" si="38"/>
        <v>212149.46819079644</v>
      </c>
      <c r="AG62" s="243"/>
      <c r="AH62" s="57"/>
      <c r="AI62" s="57"/>
      <c r="AJ62" s="81"/>
    </row>
    <row r="63" spans="1:36" x14ac:dyDescent="0.25">
      <c r="A63" s="16" t="s">
        <v>153</v>
      </c>
      <c r="B63" s="97"/>
      <c r="C63" s="21"/>
      <c r="D63" s="21"/>
      <c r="E63" s="21"/>
      <c r="F63" s="21"/>
      <c r="G63" s="225">
        <f t="shared" ref="G63:AF63" si="39">G49*$B$44</f>
        <v>0.4375</v>
      </c>
      <c r="H63" s="226">
        <f t="shared" si="39"/>
        <v>0.875</v>
      </c>
      <c r="I63" s="226">
        <f t="shared" si="39"/>
        <v>1.75</v>
      </c>
      <c r="J63" s="226">
        <f t="shared" si="39"/>
        <v>3.5</v>
      </c>
      <c r="K63" s="226">
        <f t="shared" si="39"/>
        <v>7</v>
      </c>
      <c r="L63" s="225">
        <f t="shared" si="39"/>
        <v>14</v>
      </c>
      <c r="M63" s="226">
        <f t="shared" si="39"/>
        <v>28</v>
      </c>
      <c r="N63" s="226">
        <f t="shared" si="39"/>
        <v>56</v>
      </c>
      <c r="O63" s="225">
        <f t="shared" ref="O63:S63" si="40">O49*$B$44</f>
        <v>84</v>
      </c>
      <c r="P63" s="226">
        <f t="shared" si="40"/>
        <v>92.4</v>
      </c>
      <c r="Q63" s="226">
        <f t="shared" ref="Q63:R63" si="41">Q49*$B$44</f>
        <v>98</v>
      </c>
      <c r="R63" s="226">
        <f t="shared" si="41"/>
        <v>103.60000000000001</v>
      </c>
      <c r="S63" s="226">
        <f t="shared" si="40"/>
        <v>109.2</v>
      </c>
      <c r="T63" s="225">
        <f t="shared" si="39"/>
        <v>112</v>
      </c>
      <c r="U63" s="226">
        <f t="shared" si="39"/>
        <v>224</v>
      </c>
      <c r="V63" s="226">
        <f t="shared" si="39"/>
        <v>448</v>
      </c>
      <c r="W63" s="226">
        <f t="shared" si="39"/>
        <v>896</v>
      </c>
      <c r="X63" s="226">
        <f t="shared" si="39"/>
        <v>1792</v>
      </c>
      <c r="Y63" s="226">
        <f t="shared" si="39"/>
        <v>3584</v>
      </c>
      <c r="Z63" s="226">
        <f t="shared" si="39"/>
        <v>7168</v>
      </c>
      <c r="AA63" s="226">
        <f t="shared" si="39"/>
        <v>14336</v>
      </c>
      <c r="AB63" s="226">
        <f t="shared" si="39"/>
        <v>28672</v>
      </c>
      <c r="AC63" s="226">
        <f t="shared" si="39"/>
        <v>57344</v>
      </c>
      <c r="AD63" s="227">
        <f t="shared" si="39"/>
        <v>114688</v>
      </c>
      <c r="AE63" s="267">
        <f t="shared" si="39"/>
        <v>229376</v>
      </c>
      <c r="AF63" s="222">
        <f t="shared" si="39"/>
        <v>358876</v>
      </c>
      <c r="AG63" s="243">
        <f>AG49*B44</f>
        <v>71775.199999999997</v>
      </c>
      <c r="AH63" s="57"/>
      <c r="AI63" s="57"/>
      <c r="AJ63" s="81"/>
    </row>
    <row r="64" spans="1:36" x14ac:dyDescent="0.25">
      <c r="A64" s="49" t="s">
        <v>152</v>
      </c>
      <c r="B64" s="50"/>
      <c r="C64" s="51"/>
      <c r="D64" s="51"/>
      <c r="E64" s="51"/>
      <c r="F64" s="51"/>
      <c r="G64" s="216"/>
      <c r="H64" s="217"/>
      <c r="I64" s="217"/>
      <c r="J64" s="217"/>
      <c r="K64" s="217"/>
      <c r="L64" s="216"/>
      <c r="M64" s="217"/>
      <c r="N64" s="229">
        <f>($G$49*$B$44)*(2^(((N48-35)-$G$48)/$G$74))</f>
        <v>0.2054237812312126</v>
      </c>
      <c r="O64" s="230">
        <f t="shared" ref="O64:S64" si="42">($G$49*$B$44)*(2^(((O48-35)-$G$48)/$G$74))</f>
        <v>0.54629121045943951</v>
      </c>
      <c r="P64" s="229">
        <f t="shared" si="42"/>
        <v>1.6195514970756304</v>
      </c>
      <c r="Q64" s="229">
        <f t="shared" ref="Q64:R64" si="43">($G$49*$B$44)*(2^(((Q48-35)-$G$48)/$G$74))</f>
        <v>17.690087026044658</v>
      </c>
      <c r="R64" s="229">
        <f t="shared" si="43"/>
        <v>711.91777364932</v>
      </c>
      <c r="S64" s="229">
        <f t="shared" si="42"/>
        <v>3634.0061582451863</v>
      </c>
      <c r="T64" s="230">
        <f t="shared" ref="T64:AF64" si="44">($G$49*$B$44)*(2^(((T48-35)-$G$48)/HLOOKUP((T48-35)-$B$45,$G$72:$AG$74,3,TRUE)))</f>
        <v>999.9683985448753</v>
      </c>
      <c r="U64" s="229">
        <f t="shared" si="44"/>
        <v>2338.7146148429342</v>
      </c>
      <c r="V64" s="229">
        <f t="shared" si="44"/>
        <v>1454.0201228155479</v>
      </c>
      <c r="W64" s="229">
        <f t="shared" si="44"/>
        <v>1861.6644940390759</v>
      </c>
      <c r="X64" s="229">
        <f t="shared" si="44"/>
        <v>2942.4726433180176</v>
      </c>
      <c r="Y64" s="229">
        <f t="shared" si="44"/>
        <v>5088.3527835524346</v>
      </c>
      <c r="Z64" s="229">
        <f t="shared" si="44"/>
        <v>9219.4326745938088</v>
      </c>
      <c r="AA64" s="229">
        <f t="shared" si="44"/>
        <v>17166.880665322838</v>
      </c>
      <c r="AB64" s="229">
        <f t="shared" si="44"/>
        <v>32525.053102412145</v>
      </c>
      <c r="AC64" s="229">
        <f t="shared" si="44"/>
        <v>62349.765442214062</v>
      </c>
      <c r="AD64" s="228">
        <f t="shared" si="44"/>
        <v>120517.41072133348</v>
      </c>
      <c r="AE64" s="268">
        <f t="shared" si="44"/>
        <v>234370.04903118958</v>
      </c>
      <c r="AF64" s="221">
        <f t="shared" si="44"/>
        <v>457873.06298719335</v>
      </c>
      <c r="AG64" s="246">
        <f>($G$49*$B$44)*(2^(((AG48 - 35) - $G$48)/AG74))</f>
        <v>251555.45452232275</v>
      </c>
      <c r="AH64" s="57"/>
      <c r="AI64" s="57"/>
      <c r="AJ64" s="81"/>
    </row>
    <row r="65" spans="1:35" s="81" customFormat="1" hidden="1" x14ac:dyDescent="0.25">
      <c r="A65" s="60" t="s">
        <v>205</v>
      </c>
      <c r="B65" s="37"/>
      <c r="C65" s="59"/>
      <c r="D65" s="59"/>
      <c r="E65" s="59"/>
      <c r="F65" s="59"/>
      <c r="G65" s="164">
        <f t="shared" ref="G65:AF65" si="45">G48-7</f>
        <v>43885</v>
      </c>
      <c r="H65" s="164">
        <f t="shared" si="45"/>
        <v>43889</v>
      </c>
      <c r="I65" s="164">
        <f t="shared" si="45"/>
        <v>43893</v>
      </c>
      <c r="J65" s="164">
        <f t="shared" si="45"/>
        <v>43897</v>
      </c>
      <c r="K65" s="164">
        <f t="shared" si="45"/>
        <v>43901</v>
      </c>
      <c r="L65" s="164">
        <f t="shared" si="45"/>
        <v>43904</v>
      </c>
      <c r="M65" s="164">
        <f t="shared" si="45"/>
        <v>43907</v>
      </c>
      <c r="N65" s="164">
        <f t="shared" si="45"/>
        <v>43912</v>
      </c>
      <c r="O65" s="164"/>
      <c r="P65" s="164"/>
      <c r="Q65" s="164"/>
      <c r="R65" s="164"/>
      <c r="S65" s="164"/>
      <c r="T65" s="164">
        <f t="shared" si="45"/>
        <v>44027</v>
      </c>
      <c r="U65" s="164">
        <f t="shared" si="45"/>
        <v>44142</v>
      </c>
      <c r="V65" s="164">
        <f t="shared" si="45"/>
        <v>44257</v>
      </c>
      <c r="W65" s="164">
        <f t="shared" si="45"/>
        <v>44372</v>
      </c>
      <c r="X65" s="164">
        <f t="shared" si="45"/>
        <v>44487</v>
      </c>
      <c r="Y65" s="164">
        <f t="shared" si="45"/>
        <v>44602</v>
      </c>
      <c r="Z65" s="164">
        <f t="shared" si="45"/>
        <v>44717</v>
      </c>
      <c r="AA65" s="164">
        <f t="shared" si="45"/>
        <v>44832</v>
      </c>
      <c r="AB65" s="164">
        <f t="shared" si="45"/>
        <v>44947</v>
      </c>
      <c r="AC65" s="164">
        <f t="shared" si="45"/>
        <v>45062</v>
      </c>
      <c r="AD65" s="164">
        <f t="shared" si="45"/>
        <v>45177</v>
      </c>
      <c r="AE65" s="164">
        <f t="shared" si="45"/>
        <v>45292</v>
      </c>
      <c r="AF65" s="164">
        <f t="shared" si="45"/>
        <v>45407</v>
      </c>
      <c r="AG65" s="164"/>
      <c r="AH65" s="57"/>
      <c r="AI65" s="57"/>
    </row>
    <row r="66" spans="1:35" s="81" customFormat="1" hidden="1" x14ac:dyDescent="0.25">
      <c r="A66" s="60" t="s">
        <v>203</v>
      </c>
      <c r="B66" s="37"/>
      <c r="C66" s="59"/>
      <c r="D66" s="59"/>
      <c r="E66" s="59"/>
      <c r="F66" s="59"/>
      <c r="G66" s="164">
        <f t="shared" ref="G66:AF66" si="46">G48-14</f>
        <v>43878</v>
      </c>
      <c r="H66" s="164">
        <f t="shared" si="46"/>
        <v>43882</v>
      </c>
      <c r="I66" s="164">
        <f t="shared" si="46"/>
        <v>43886</v>
      </c>
      <c r="J66" s="164">
        <f t="shared" si="46"/>
        <v>43890</v>
      </c>
      <c r="K66" s="164">
        <f t="shared" si="46"/>
        <v>43894</v>
      </c>
      <c r="L66" s="164">
        <f t="shared" si="46"/>
        <v>43897</v>
      </c>
      <c r="M66" s="164">
        <f t="shared" si="46"/>
        <v>43900</v>
      </c>
      <c r="N66" s="164">
        <f t="shared" si="46"/>
        <v>43905</v>
      </c>
      <c r="O66" s="164"/>
      <c r="P66" s="164"/>
      <c r="Q66" s="164"/>
      <c r="R66" s="164"/>
      <c r="S66" s="164"/>
      <c r="T66" s="164">
        <f t="shared" si="46"/>
        <v>44020</v>
      </c>
      <c r="U66" s="164">
        <f t="shared" si="46"/>
        <v>44135</v>
      </c>
      <c r="V66" s="164">
        <f t="shared" si="46"/>
        <v>44250</v>
      </c>
      <c r="W66" s="164">
        <f t="shared" si="46"/>
        <v>44365</v>
      </c>
      <c r="X66" s="164">
        <f t="shared" si="46"/>
        <v>44480</v>
      </c>
      <c r="Y66" s="164">
        <f t="shared" si="46"/>
        <v>44595</v>
      </c>
      <c r="Z66" s="164">
        <f t="shared" si="46"/>
        <v>44710</v>
      </c>
      <c r="AA66" s="164">
        <f t="shared" si="46"/>
        <v>44825</v>
      </c>
      <c r="AB66" s="164">
        <f t="shared" si="46"/>
        <v>44940</v>
      </c>
      <c r="AC66" s="164">
        <f t="shared" si="46"/>
        <v>45055</v>
      </c>
      <c r="AD66" s="164">
        <f t="shared" si="46"/>
        <v>45170</v>
      </c>
      <c r="AE66" s="164">
        <f t="shared" si="46"/>
        <v>45285</v>
      </c>
      <c r="AF66" s="164">
        <f t="shared" si="46"/>
        <v>45400</v>
      </c>
      <c r="AG66" s="164"/>
      <c r="AH66" s="57"/>
      <c r="AI66" s="57"/>
    </row>
    <row r="67" spans="1:35" s="81" customFormat="1" hidden="1" x14ac:dyDescent="0.25">
      <c r="A67" s="60" t="s">
        <v>206</v>
      </c>
      <c r="B67" s="37"/>
      <c r="C67" s="59"/>
      <c r="D67" s="59"/>
      <c r="E67" s="59"/>
      <c r="F67" s="59"/>
      <c r="G67" s="164">
        <f t="shared" ref="G67:AF67" si="47">G48-(7*5)</f>
        <v>43857</v>
      </c>
      <c r="H67" s="164">
        <f t="shared" si="47"/>
        <v>43861</v>
      </c>
      <c r="I67" s="164">
        <f t="shared" si="47"/>
        <v>43865</v>
      </c>
      <c r="J67" s="164">
        <f t="shared" si="47"/>
        <v>43869</v>
      </c>
      <c r="K67" s="164">
        <f t="shared" si="47"/>
        <v>43873</v>
      </c>
      <c r="L67" s="164">
        <f t="shared" si="47"/>
        <v>43876</v>
      </c>
      <c r="M67" s="164">
        <f t="shared" si="47"/>
        <v>43879</v>
      </c>
      <c r="N67" s="164">
        <f t="shared" si="47"/>
        <v>43884</v>
      </c>
      <c r="O67" s="164"/>
      <c r="P67" s="164"/>
      <c r="Q67" s="164"/>
      <c r="R67" s="164"/>
      <c r="S67" s="164"/>
      <c r="T67" s="164">
        <f t="shared" si="47"/>
        <v>43999</v>
      </c>
      <c r="U67" s="164">
        <f t="shared" si="47"/>
        <v>44114</v>
      </c>
      <c r="V67" s="164">
        <f t="shared" si="47"/>
        <v>44229</v>
      </c>
      <c r="W67" s="164">
        <f t="shared" si="47"/>
        <v>44344</v>
      </c>
      <c r="X67" s="164">
        <f t="shared" si="47"/>
        <v>44459</v>
      </c>
      <c r="Y67" s="164">
        <f t="shared" si="47"/>
        <v>44574</v>
      </c>
      <c r="Z67" s="164">
        <f t="shared" si="47"/>
        <v>44689</v>
      </c>
      <c r="AA67" s="164">
        <f t="shared" si="47"/>
        <v>44804</v>
      </c>
      <c r="AB67" s="164">
        <f t="shared" si="47"/>
        <v>44919</v>
      </c>
      <c r="AC67" s="164">
        <f t="shared" si="47"/>
        <v>45034</v>
      </c>
      <c r="AD67" s="164">
        <f t="shared" si="47"/>
        <v>45149</v>
      </c>
      <c r="AE67" s="164">
        <f t="shared" si="47"/>
        <v>45264</v>
      </c>
      <c r="AF67" s="164">
        <f t="shared" si="47"/>
        <v>45379</v>
      </c>
      <c r="AG67" s="164"/>
      <c r="AH67" s="57"/>
      <c r="AI67" s="57"/>
    </row>
    <row r="68" spans="1:35" s="81" customFormat="1" hidden="1" x14ac:dyDescent="0.25">
      <c r="A68" s="60" t="s">
        <v>204</v>
      </c>
      <c r="B68" s="37"/>
      <c r="C68" s="59"/>
      <c r="D68" s="59"/>
      <c r="E68" s="59"/>
      <c r="F68" s="59"/>
      <c r="G68" s="164">
        <f t="shared" ref="G68:AF68" si="48">G48-(6*7)</f>
        <v>43850</v>
      </c>
      <c r="H68" s="164">
        <f t="shared" si="48"/>
        <v>43854</v>
      </c>
      <c r="I68" s="164">
        <f t="shared" si="48"/>
        <v>43858</v>
      </c>
      <c r="J68" s="164">
        <f t="shared" si="48"/>
        <v>43862</v>
      </c>
      <c r="K68" s="164">
        <f t="shared" si="48"/>
        <v>43866</v>
      </c>
      <c r="L68" s="164">
        <f t="shared" si="48"/>
        <v>43869</v>
      </c>
      <c r="M68" s="164">
        <f t="shared" si="48"/>
        <v>43872</v>
      </c>
      <c r="N68" s="164">
        <f t="shared" si="48"/>
        <v>43877</v>
      </c>
      <c r="O68" s="164"/>
      <c r="P68" s="164"/>
      <c r="Q68" s="164"/>
      <c r="R68" s="164"/>
      <c r="S68" s="164"/>
      <c r="T68" s="164">
        <f t="shared" si="48"/>
        <v>43992</v>
      </c>
      <c r="U68" s="164">
        <f t="shared" si="48"/>
        <v>44107</v>
      </c>
      <c r="V68" s="164">
        <f t="shared" si="48"/>
        <v>44222</v>
      </c>
      <c r="W68" s="164">
        <f t="shared" si="48"/>
        <v>44337</v>
      </c>
      <c r="X68" s="164">
        <f t="shared" si="48"/>
        <v>44452</v>
      </c>
      <c r="Y68" s="164">
        <f t="shared" si="48"/>
        <v>44567</v>
      </c>
      <c r="Z68" s="164">
        <f t="shared" si="48"/>
        <v>44682</v>
      </c>
      <c r="AA68" s="164">
        <f t="shared" si="48"/>
        <v>44797</v>
      </c>
      <c r="AB68" s="164">
        <f t="shared" si="48"/>
        <v>44912</v>
      </c>
      <c r="AC68" s="164">
        <f t="shared" si="48"/>
        <v>45027</v>
      </c>
      <c r="AD68" s="164">
        <f t="shared" si="48"/>
        <v>45142</v>
      </c>
      <c r="AE68" s="164">
        <f t="shared" si="48"/>
        <v>45257</v>
      </c>
      <c r="AF68" s="164">
        <f t="shared" si="48"/>
        <v>45372</v>
      </c>
      <c r="AG68" s="164"/>
      <c r="AH68" s="57"/>
      <c r="AI68" s="57"/>
    </row>
    <row r="70" spans="1:35" x14ac:dyDescent="0.25">
      <c r="A70" s="65" t="s">
        <v>140</v>
      </c>
      <c r="B70" s="27"/>
      <c r="C70" s="28"/>
      <c r="D70" s="28"/>
      <c r="E70" s="28"/>
      <c r="F70" s="28"/>
    </row>
    <row r="71" spans="1:35" s="81" customFormat="1" x14ac:dyDescent="0.25">
      <c r="A71" s="157" t="s">
        <v>201</v>
      </c>
      <c r="B71" s="37"/>
      <c r="C71" s="59"/>
      <c r="D71" s="59"/>
      <c r="E71" s="59"/>
      <c r="F71" s="59"/>
      <c r="G71" s="158">
        <f t="shared" ref="G71:AG71" si="49">(G48-$B$45)/7</f>
        <v>5.2857142857142856</v>
      </c>
      <c r="H71" s="155">
        <f t="shared" si="49"/>
        <v>5.8571428571428568</v>
      </c>
      <c r="I71" s="156">
        <f t="shared" si="49"/>
        <v>6.4285714285714288</v>
      </c>
      <c r="J71" s="158">
        <f t="shared" si="49"/>
        <v>7</v>
      </c>
      <c r="K71" s="155">
        <f t="shared" si="49"/>
        <v>7.5714285714285712</v>
      </c>
      <c r="L71" s="159">
        <f t="shared" si="49"/>
        <v>8</v>
      </c>
      <c r="M71" s="156">
        <f t="shared" si="49"/>
        <v>8.4285714285714288</v>
      </c>
      <c r="N71" s="158">
        <f t="shared" si="49"/>
        <v>9.1428571428571423</v>
      </c>
      <c r="O71" s="158">
        <f t="shared" ref="O71:S71" si="50">(O48-$B$45)/7</f>
        <v>10.621428571428364</v>
      </c>
      <c r="P71" s="155">
        <f t="shared" si="50"/>
        <v>12.264285714285506</v>
      </c>
      <c r="Q71" s="155">
        <f t="shared" ref="Q71:R71" si="51">(Q48-$B$45)/7</f>
        <v>15.878571428571636</v>
      </c>
      <c r="R71" s="155">
        <f t="shared" si="51"/>
        <v>21.464285714285715</v>
      </c>
      <c r="S71" s="155">
        <f t="shared" si="50"/>
        <v>23.928571428571427</v>
      </c>
      <c r="T71" s="155">
        <f t="shared" si="49"/>
        <v>25.571428571428573</v>
      </c>
      <c r="U71" s="158">
        <f t="shared" si="49"/>
        <v>42</v>
      </c>
      <c r="V71" s="156">
        <f t="shared" si="49"/>
        <v>58.428571428571431</v>
      </c>
      <c r="W71" s="158">
        <f t="shared" si="49"/>
        <v>74.857142857142861</v>
      </c>
      <c r="X71" s="158">
        <f t="shared" si="49"/>
        <v>91.285714285714292</v>
      </c>
      <c r="Y71" s="156">
        <f t="shared" si="49"/>
        <v>107.71428571428571</v>
      </c>
      <c r="Z71" s="158">
        <f t="shared" si="49"/>
        <v>124.14285714285714</v>
      </c>
      <c r="AA71" s="158">
        <f t="shared" si="49"/>
        <v>140.57142857142858</v>
      </c>
      <c r="AB71" s="158">
        <f t="shared" si="49"/>
        <v>157</v>
      </c>
      <c r="AC71" s="156">
        <f t="shared" si="49"/>
        <v>173.42857142857142</v>
      </c>
      <c r="AD71" s="155">
        <f t="shared" si="49"/>
        <v>189.85714285714286</v>
      </c>
      <c r="AE71" s="158">
        <f t="shared" si="49"/>
        <v>206.28571428571428</v>
      </c>
      <c r="AF71" s="158">
        <f t="shared" si="49"/>
        <v>222.71428571428572</v>
      </c>
      <c r="AG71" s="158">
        <f t="shared" si="49"/>
        <v>230.71428571428572</v>
      </c>
    </row>
    <row r="72" spans="1:35" s="81" customFormat="1" x14ac:dyDescent="0.25">
      <c r="A72" s="157" t="s">
        <v>200</v>
      </c>
      <c r="B72" s="37"/>
      <c r="C72" s="59"/>
      <c r="D72" s="59"/>
      <c r="E72" s="59"/>
      <c r="F72" s="59"/>
      <c r="G72" s="258">
        <f>G48-B45</f>
        <v>37</v>
      </c>
      <c r="H72" s="259">
        <f t="shared" ref="H72:AG72" si="52">H48-$B$45</f>
        <v>41</v>
      </c>
      <c r="I72" s="259">
        <f t="shared" si="52"/>
        <v>45</v>
      </c>
      <c r="J72" s="259">
        <f t="shared" si="52"/>
        <v>49</v>
      </c>
      <c r="K72" s="259">
        <f t="shared" si="52"/>
        <v>53</v>
      </c>
      <c r="L72" s="259">
        <f t="shared" si="52"/>
        <v>56</v>
      </c>
      <c r="M72" s="259">
        <f t="shared" si="52"/>
        <v>59</v>
      </c>
      <c r="N72" s="259">
        <f t="shared" si="52"/>
        <v>64</v>
      </c>
      <c r="O72" s="259">
        <f t="shared" ref="O72:S72" si="53">O48-$B$45</f>
        <v>74.349999999998545</v>
      </c>
      <c r="P72" s="259">
        <f t="shared" si="53"/>
        <v>85.849999999998545</v>
      </c>
      <c r="Q72" s="259">
        <f t="shared" ref="Q72:R72" si="54">Q48-$B$45</f>
        <v>111.15000000000146</v>
      </c>
      <c r="R72" s="259">
        <f t="shared" si="54"/>
        <v>150.25</v>
      </c>
      <c r="S72" s="259">
        <f t="shared" si="53"/>
        <v>167.5</v>
      </c>
      <c r="T72" s="259">
        <f t="shared" si="52"/>
        <v>179</v>
      </c>
      <c r="U72" s="259">
        <f t="shared" si="52"/>
        <v>294</v>
      </c>
      <c r="V72" s="259">
        <f t="shared" si="52"/>
        <v>409</v>
      </c>
      <c r="W72" s="259">
        <f t="shared" si="52"/>
        <v>524</v>
      </c>
      <c r="X72" s="259">
        <f t="shared" si="52"/>
        <v>639</v>
      </c>
      <c r="Y72" s="259">
        <f t="shared" si="52"/>
        <v>754</v>
      </c>
      <c r="Z72" s="259">
        <f t="shared" si="52"/>
        <v>869</v>
      </c>
      <c r="AA72" s="259">
        <f t="shared" si="52"/>
        <v>984</v>
      </c>
      <c r="AB72" s="259">
        <f t="shared" si="52"/>
        <v>1099</v>
      </c>
      <c r="AC72" s="260">
        <f t="shared" si="52"/>
        <v>1214</v>
      </c>
      <c r="AD72" s="259">
        <f t="shared" si="52"/>
        <v>1329</v>
      </c>
      <c r="AE72" s="264">
        <f t="shared" si="52"/>
        <v>1444</v>
      </c>
      <c r="AF72" s="257">
        <f t="shared" si="52"/>
        <v>1559</v>
      </c>
      <c r="AG72" s="257">
        <f t="shared" si="52"/>
        <v>1615</v>
      </c>
    </row>
    <row r="73" spans="1:35" x14ac:dyDescent="0.25">
      <c r="A73" s="53" t="s">
        <v>134</v>
      </c>
      <c r="B73" s="28"/>
      <c r="C73" s="28"/>
      <c r="D73" s="28"/>
      <c r="E73" s="28"/>
      <c r="F73" s="28"/>
      <c r="G73" s="160">
        <v>33</v>
      </c>
      <c r="H73" s="161">
        <v>63</v>
      </c>
      <c r="I73" s="162">
        <v>116</v>
      </c>
      <c r="J73" s="162">
        <v>248</v>
      </c>
      <c r="K73" s="162">
        <v>596</v>
      </c>
      <c r="L73" s="162">
        <v>1072</v>
      </c>
      <c r="M73" s="162">
        <v>2317</v>
      </c>
      <c r="N73" s="162">
        <v>4163</v>
      </c>
      <c r="O73" s="162">
        <v>6052</v>
      </c>
      <c r="P73" s="162">
        <v>6612</v>
      </c>
      <c r="Q73" s="162">
        <v>7019</v>
      </c>
      <c r="R73" s="198">
        <f>R49</f>
        <v>7400</v>
      </c>
      <c r="S73" s="198">
        <f>S49</f>
        <v>7800</v>
      </c>
      <c r="T73" s="198">
        <f>T49</f>
        <v>8000</v>
      </c>
      <c r="U73" s="198">
        <f t="shared" ref="U73:AD73" si="55">U49</f>
        <v>16000</v>
      </c>
      <c r="V73" s="198">
        <f t="shared" si="55"/>
        <v>32000</v>
      </c>
      <c r="W73" s="198">
        <f t="shared" si="55"/>
        <v>64000</v>
      </c>
      <c r="X73" s="198">
        <f t="shared" si="55"/>
        <v>128000</v>
      </c>
      <c r="Y73" s="198">
        <f t="shared" si="55"/>
        <v>256000</v>
      </c>
      <c r="Z73" s="198">
        <f t="shared" si="55"/>
        <v>512000</v>
      </c>
      <c r="AA73" s="198">
        <f t="shared" si="55"/>
        <v>1024000</v>
      </c>
      <c r="AB73" s="198">
        <f t="shared" si="55"/>
        <v>2048000</v>
      </c>
      <c r="AC73" s="198">
        <f t="shared" si="55"/>
        <v>4096000</v>
      </c>
      <c r="AD73" s="198">
        <f t="shared" si="55"/>
        <v>8192000</v>
      </c>
      <c r="AE73" s="255">
        <f t="shared" ref="AE73" si="56">AD73*2</f>
        <v>16384000</v>
      </c>
      <c r="AF73" s="202">
        <f>AF49</f>
        <v>25634000</v>
      </c>
      <c r="AG73" s="203">
        <f>AF73</f>
        <v>25634000</v>
      </c>
    </row>
    <row r="74" spans="1:35" x14ac:dyDescent="0.25">
      <c r="A74" s="53" t="s">
        <v>260</v>
      </c>
      <c r="B74" s="28"/>
      <c r="C74" s="28"/>
      <c r="D74" s="28"/>
      <c r="E74" s="28"/>
      <c r="F74" s="28"/>
      <c r="G74" s="208">
        <f>(G48-B45)/(LOG(G73/1)/LOG(2))</f>
        <v>7.3348749373107394</v>
      </c>
      <c r="H74" s="190">
        <f t="shared" ref="H74:AG74" si="57">(H48-$G$48)/(LOG(H73/$G$73)/LOG(2))</f>
        <v>4.287770252524326</v>
      </c>
      <c r="I74" s="190">
        <f t="shared" si="57"/>
        <v>4.4111479339015975</v>
      </c>
      <c r="J74" s="190">
        <f t="shared" si="57"/>
        <v>4.1239916709798061</v>
      </c>
      <c r="K74" s="190">
        <f t="shared" si="57"/>
        <v>3.8325424233151351</v>
      </c>
      <c r="L74" s="190">
        <f t="shared" si="57"/>
        <v>3.7835829796492675</v>
      </c>
      <c r="M74" s="190">
        <f t="shared" si="57"/>
        <v>3.5867723822019695</v>
      </c>
      <c r="N74" s="190">
        <f t="shared" si="57"/>
        <v>3.8687414968098568</v>
      </c>
      <c r="O74" s="190">
        <f>(O48-$G$48)/(LOG(O73/$G$73)/LOG(2))</f>
        <v>4.9675465906228018</v>
      </c>
      <c r="P74" s="190">
        <f>(P48-$G$48)/(LOG(P73/$G$73)/LOG(2))</f>
        <v>6.3885630863942993</v>
      </c>
      <c r="Q74" s="190">
        <f>(Q48-$G$48)/(LOG(Q73/$G$73)/LOG(2))</f>
        <v>9.5892023611624104</v>
      </c>
      <c r="R74" s="199">
        <f>(R48-$G$48)/(LOG(R73/$G$73)/LOG(2))</f>
        <v>14.50265416849677</v>
      </c>
      <c r="S74" s="199">
        <f>(S48-$G$48)/(LOG(S73/$G$73)/LOG(2))</f>
        <v>16.550697033232137</v>
      </c>
      <c r="T74" s="199">
        <f t="shared" si="57"/>
        <v>17.92614642591046</v>
      </c>
      <c r="U74" s="199">
        <f t="shared" si="57"/>
        <v>28.807169649356229</v>
      </c>
      <c r="V74" s="199">
        <f t="shared" si="57"/>
        <v>37.4947455751646</v>
      </c>
      <c r="W74" s="199">
        <f t="shared" si="57"/>
        <v>44.591392911422517</v>
      </c>
      <c r="X74" s="199">
        <f t="shared" si="57"/>
        <v>50.497466457567896</v>
      </c>
      <c r="Y74" s="199">
        <f t="shared" si="57"/>
        <v>55.489385493929291</v>
      </c>
      <c r="Z74" s="199">
        <f t="shared" si="57"/>
        <v>59.764146404976039</v>
      </c>
      <c r="AA74" s="199">
        <f t="shared" si="57"/>
        <v>63.46593645155378</v>
      </c>
      <c r="AB74" s="199">
        <f t="shared" si="57"/>
        <v>66.702718102740917</v>
      </c>
      <c r="AC74" s="199">
        <f t="shared" si="57"/>
        <v>69.556932882108754</v>
      </c>
      <c r="AD74" s="199">
        <f t="shared" si="57"/>
        <v>72.092621614887435</v>
      </c>
      <c r="AE74" s="256">
        <f t="shared" si="57"/>
        <v>74.360286834528239</v>
      </c>
      <c r="AF74" s="204">
        <f t="shared" si="57"/>
        <v>77.783383461145633</v>
      </c>
      <c r="AG74" s="205">
        <f t="shared" si="57"/>
        <v>80.645321354591204</v>
      </c>
    </row>
    <row r="75" spans="1:35" x14ac:dyDescent="0.25">
      <c r="A75" s="53" t="s">
        <v>290</v>
      </c>
      <c r="B75" s="28"/>
      <c r="C75" s="28"/>
      <c r="D75" s="28"/>
      <c r="E75" s="28"/>
      <c r="F75" s="28"/>
      <c r="G75" s="261">
        <v>17</v>
      </c>
      <c r="H75" s="262">
        <v>39</v>
      </c>
      <c r="I75" s="262">
        <v>91</v>
      </c>
      <c r="J75" s="262">
        <v>218</v>
      </c>
      <c r="K75" s="262">
        <v>547</v>
      </c>
      <c r="L75" s="262">
        <v>1019</v>
      </c>
      <c r="M75" s="262">
        <v>2191</v>
      </c>
      <c r="N75" s="262">
        <v>3902</v>
      </c>
      <c r="O75" s="262">
        <v>3189</v>
      </c>
      <c r="P75" s="262">
        <v>2311</v>
      </c>
      <c r="Q75" s="262">
        <v>584</v>
      </c>
      <c r="R75" s="263"/>
      <c r="S75" s="263"/>
      <c r="T75" s="263"/>
      <c r="U75" s="263"/>
      <c r="V75" s="263"/>
      <c r="W75" s="263"/>
      <c r="X75" s="263"/>
      <c r="Y75" s="263"/>
      <c r="Z75" s="263"/>
      <c r="AA75" s="263"/>
      <c r="AB75" s="263"/>
      <c r="AC75" s="263"/>
      <c r="AD75" s="263"/>
      <c r="AE75" s="255"/>
      <c r="AF75" s="202"/>
      <c r="AG75" s="203"/>
    </row>
    <row r="76" spans="1:35" x14ac:dyDescent="0.25">
      <c r="A76" s="53" t="s">
        <v>160</v>
      </c>
      <c r="B76" s="28"/>
      <c r="C76" s="28"/>
      <c r="D76" s="28"/>
      <c r="E76" s="28"/>
      <c r="F76" s="28"/>
      <c r="G76" s="119">
        <f>G73-G75-G77</f>
        <v>15</v>
      </c>
      <c r="H76" s="120">
        <f>H73-H75-H77</f>
        <v>22</v>
      </c>
      <c r="I76" s="120">
        <f t="shared" ref="I76:J76" si="58">I73-I75-I77</f>
        <v>22</v>
      </c>
      <c r="J76" s="120">
        <f t="shared" si="58"/>
        <v>25</v>
      </c>
      <c r="K76" s="163">
        <f>K73-K75-K77</f>
        <v>43</v>
      </c>
      <c r="L76" s="163">
        <f t="shared" ref="L76:N76" si="59">L73-L75-L77</f>
        <v>46</v>
      </c>
      <c r="M76" s="163">
        <f t="shared" si="59"/>
        <v>118</v>
      </c>
      <c r="N76" s="163">
        <f t="shared" si="59"/>
        <v>245</v>
      </c>
      <c r="O76" s="163">
        <f t="shared" ref="O76:P76" si="60">O73-O75-O77</f>
        <v>2813</v>
      </c>
      <c r="P76" s="163">
        <f t="shared" si="60"/>
        <v>4230</v>
      </c>
      <c r="Q76" s="163">
        <f t="shared" ref="Q76" si="61">Q73-Q75-Q77</f>
        <v>6337</v>
      </c>
      <c r="R76" s="249">
        <v>6877</v>
      </c>
      <c r="S76" s="249"/>
      <c r="T76" s="249"/>
      <c r="U76" s="200"/>
      <c r="V76" s="200"/>
      <c r="W76" s="200"/>
      <c r="X76" s="200"/>
      <c r="Y76" s="200"/>
      <c r="Z76" s="200"/>
      <c r="AA76" s="200"/>
      <c r="AB76" s="200"/>
      <c r="AC76" s="200"/>
      <c r="AD76" s="200"/>
      <c r="AE76" s="255"/>
      <c r="AF76" s="202"/>
      <c r="AG76" s="203"/>
    </row>
    <row r="77" spans="1:35" x14ac:dyDescent="0.25">
      <c r="A77" s="61" t="s">
        <v>135</v>
      </c>
      <c r="B77" s="50"/>
      <c r="C77" s="51"/>
      <c r="D77" s="51"/>
      <c r="E77" s="51"/>
      <c r="F77" s="51"/>
      <c r="G77" s="79">
        <v>1</v>
      </c>
      <c r="H77" s="80">
        <v>2</v>
      </c>
      <c r="I77" s="64">
        <v>3</v>
      </c>
      <c r="J77" s="64">
        <v>5</v>
      </c>
      <c r="K77" s="64">
        <v>6</v>
      </c>
      <c r="L77" s="64">
        <v>7</v>
      </c>
      <c r="M77" s="64">
        <v>8</v>
      </c>
      <c r="N77" s="64">
        <v>16</v>
      </c>
      <c r="O77" s="64">
        <v>50</v>
      </c>
      <c r="P77" s="64">
        <v>71</v>
      </c>
      <c r="Q77" s="64">
        <v>98</v>
      </c>
      <c r="R77" s="250">
        <v>102</v>
      </c>
      <c r="S77" s="250"/>
      <c r="T77" s="250"/>
      <c r="U77" s="201"/>
      <c r="V77" s="201"/>
      <c r="W77" s="201"/>
      <c r="X77" s="201"/>
      <c r="Y77" s="201"/>
      <c r="Z77" s="201"/>
      <c r="AA77" s="201"/>
      <c r="AB77" s="201"/>
      <c r="AC77" s="201"/>
      <c r="AD77" s="201"/>
      <c r="AE77" s="239"/>
      <c r="AF77" s="234"/>
      <c r="AG77" s="235"/>
    </row>
    <row r="78" spans="1:35" x14ac:dyDescent="0.25">
      <c r="B78" s="3"/>
      <c r="G78" s="47"/>
      <c r="H78" s="47"/>
      <c r="I78" s="47"/>
      <c r="J78" s="47"/>
      <c r="K78" s="47"/>
      <c r="L78" s="47"/>
      <c r="M78" s="47"/>
      <c r="N78" s="47"/>
      <c r="O78" s="47"/>
      <c r="P78" s="47"/>
      <c r="Q78" s="47"/>
      <c r="R78" s="47"/>
      <c r="S78" s="47"/>
      <c r="T78" s="47"/>
      <c r="U78" s="47"/>
      <c r="V78" s="47"/>
      <c r="W78" s="47"/>
      <c r="X78" s="47"/>
      <c r="Y78" s="47"/>
      <c r="Z78" s="47"/>
      <c r="AA78" s="47"/>
      <c r="AB78" s="47"/>
      <c r="AC78" s="47"/>
    </row>
    <row r="79" spans="1:35" x14ac:dyDescent="0.25">
      <c r="A79" s="86" t="s">
        <v>141</v>
      </c>
      <c r="AC79" s="28"/>
    </row>
    <row r="80" spans="1:35" x14ac:dyDescent="0.25">
      <c r="A80" s="16" t="s">
        <v>1</v>
      </c>
      <c r="B80" s="69" t="s">
        <v>147</v>
      </c>
      <c r="C80" s="17" t="s">
        <v>4</v>
      </c>
      <c r="D80" s="69" t="s">
        <v>143</v>
      </c>
      <c r="E80" s="70" t="s">
        <v>3</v>
      </c>
      <c r="F80" s="21" t="s">
        <v>4</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13</v>
      </c>
      <c r="B81" s="25">
        <f>'ABS Population by Age Range'!D107</f>
        <v>4.0260989985204748E-2</v>
      </c>
      <c r="C81" s="24">
        <f>$B$35*B81</f>
        <v>1032050.2172807385</v>
      </c>
      <c r="D81" s="34">
        <f>'AU Infection Rate by Age'!E4</f>
        <v>3.372352285395764E-2</v>
      </c>
      <c r="E81" s="17"/>
      <c r="F81" s="28"/>
      <c r="G81" s="30">
        <f t="shared" ref="G81:AF81" si="62">G$49*$D$81</f>
        <v>1.0538600891861762</v>
      </c>
      <c r="H81" s="31">
        <f t="shared" si="62"/>
        <v>2.1077201783723525</v>
      </c>
      <c r="I81" s="31">
        <f t="shared" si="62"/>
        <v>4.215440356744705</v>
      </c>
      <c r="J81" s="31">
        <f t="shared" si="62"/>
        <v>8.4308807134894099</v>
      </c>
      <c r="K81" s="31">
        <f t="shared" si="62"/>
        <v>16.86176142697882</v>
      </c>
      <c r="L81" s="31">
        <f t="shared" si="62"/>
        <v>33.72352285395764</v>
      </c>
      <c r="M81" s="31">
        <f t="shared" si="62"/>
        <v>67.447045707915279</v>
      </c>
      <c r="N81" s="31">
        <f t="shared" si="62"/>
        <v>134.89409141583056</v>
      </c>
      <c r="O81" s="31">
        <f t="shared" si="62"/>
        <v>202.34113712374582</v>
      </c>
      <c r="P81" s="31">
        <f t="shared" si="62"/>
        <v>222.57525083612043</v>
      </c>
      <c r="Q81" s="31">
        <f t="shared" si="62"/>
        <v>236.06465997770349</v>
      </c>
      <c r="R81" s="31">
        <f t="shared" si="62"/>
        <v>249.55406911928654</v>
      </c>
      <c r="S81" s="31">
        <f t="shared" si="62"/>
        <v>263.04347826086956</v>
      </c>
      <c r="T81" s="31">
        <f t="shared" si="62"/>
        <v>269.78818283166112</v>
      </c>
      <c r="U81" s="31">
        <f t="shared" si="62"/>
        <v>539.57636566332224</v>
      </c>
      <c r="V81" s="31">
        <f t="shared" si="62"/>
        <v>1079.1527313266445</v>
      </c>
      <c r="W81" s="31">
        <f t="shared" si="62"/>
        <v>2158.3054626532889</v>
      </c>
      <c r="X81" s="31">
        <f t="shared" si="62"/>
        <v>4316.6109253065779</v>
      </c>
      <c r="Y81" s="31">
        <f t="shared" si="62"/>
        <v>8633.2218506131558</v>
      </c>
      <c r="Z81" s="31">
        <f t="shared" si="62"/>
        <v>17266.443701226312</v>
      </c>
      <c r="AA81" s="31">
        <f t="shared" si="62"/>
        <v>34532.887402452623</v>
      </c>
      <c r="AB81" s="31">
        <f t="shared" si="62"/>
        <v>69065.774804905246</v>
      </c>
      <c r="AC81" s="31">
        <f t="shared" si="62"/>
        <v>138131.54960981049</v>
      </c>
      <c r="AD81" s="72">
        <f t="shared" si="62"/>
        <v>276263.09921962098</v>
      </c>
      <c r="AE81" s="31">
        <f t="shared" si="62"/>
        <v>552526.19843924197</v>
      </c>
      <c r="AF81" s="72">
        <f t="shared" si="62"/>
        <v>864468.78483835014</v>
      </c>
      <c r="AG81" s="57"/>
    </row>
    <row r="82" spans="1:33" x14ac:dyDescent="0.25">
      <c r="A82" s="53"/>
      <c r="B82" s="18"/>
      <c r="C82" s="22"/>
      <c r="D82" s="20"/>
      <c r="E82" s="39">
        <f>'AU Infection Rate by Age'!F18</f>
        <v>0.22727272727272727</v>
      </c>
      <c r="F82" s="22"/>
      <c r="G82" s="41">
        <f t="shared" ref="G82:AF82" si="63">G$49*$D$81*$E$82</f>
        <v>0.23951365663322186</v>
      </c>
      <c r="H82" s="42">
        <f t="shared" si="63"/>
        <v>0.47902731326644371</v>
      </c>
      <c r="I82" s="42">
        <f t="shared" si="63"/>
        <v>0.95805462653288742</v>
      </c>
      <c r="J82" s="42">
        <f t="shared" si="63"/>
        <v>1.9161092530657748</v>
      </c>
      <c r="K82" s="42">
        <f t="shared" si="63"/>
        <v>3.8322185061315497</v>
      </c>
      <c r="L82" s="42">
        <f t="shared" si="63"/>
        <v>7.6644370122630994</v>
      </c>
      <c r="M82" s="42">
        <f t="shared" si="63"/>
        <v>15.328874024526199</v>
      </c>
      <c r="N82" s="42">
        <f t="shared" si="63"/>
        <v>30.657748049052397</v>
      </c>
      <c r="O82" s="42">
        <f t="shared" si="63"/>
        <v>45.986622073578594</v>
      </c>
      <c r="P82" s="42">
        <f t="shared" si="63"/>
        <v>50.585284280936463</v>
      </c>
      <c r="Q82" s="42">
        <f t="shared" si="63"/>
        <v>53.651059085841702</v>
      </c>
      <c r="R82" s="42">
        <f t="shared" si="63"/>
        <v>56.71683389074694</v>
      </c>
      <c r="S82" s="42">
        <f t="shared" si="63"/>
        <v>59.782608695652172</v>
      </c>
      <c r="T82" s="42">
        <f t="shared" si="63"/>
        <v>61.315496098104795</v>
      </c>
      <c r="U82" s="42">
        <f t="shared" si="63"/>
        <v>122.63099219620959</v>
      </c>
      <c r="V82" s="42">
        <f t="shared" si="63"/>
        <v>245.26198439241918</v>
      </c>
      <c r="W82" s="42">
        <f t="shared" si="63"/>
        <v>490.52396878483836</v>
      </c>
      <c r="X82" s="42">
        <f t="shared" si="63"/>
        <v>981.04793756967672</v>
      </c>
      <c r="Y82" s="42">
        <f t="shared" si="63"/>
        <v>1962.0958751393534</v>
      </c>
      <c r="Z82" s="42">
        <f t="shared" si="63"/>
        <v>3924.1917502787069</v>
      </c>
      <c r="AA82" s="42">
        <f t="shared" si="63"/>
        <v>7848.3835005574138</v>
      </c>
      <c r="AB82" s="42">
        <f t="shared" si="63"/>
        <v>15696.767001114828</v>
      </c>
      <c r="AC82" s="42">
        <f t="shared" si="63"/>
        <v>31393.534002229655</v>
      </c>
      <c r="AD82" s="83">
        <f t="shared" si="63"/>
        <v>62787.06800445931</v>
      </c>
      <c r="AE82" s="42">
        <f t="shared" si="63"/>
        <v>125574.13600891862</v>
      </c>
      <c r="AF82" s="83">
        <f t="shared" si="63"/>
        <v>196470.1783723523</v>
      </c>
      <c r="AG82" s="57"/>
    </row>
    <row r="83" spans="1:33" x14ac:dyDescent="0.25">
      <c r="A83" s="53" t="s">
        <v>14</v>
      </c>
      <c r="B83" s="18">
        <f>'ABS Population by Age Range'!D97</f>
        <v>7.065336711718416E-2</v>
      </c>
      <c r="C83" s="22">
        <f t="shared" ref="C83:C97" si="64">$B$35*B83</f>
        <v>1811128.4126818988</v>
      </c>
      <c r="D83" s="35">
        <f>'AU Infection Rate by Age'!E5</f>
        <v>0.10521181716833891</v>
      </c>
      <c r="E83" s="29"/>
      <c r="F83" s="28"/>
      <c r="G83" s="32">
        <f t="shared" ref="G83:AF83" si="65">G$49*$D$83</f>
        <v>3.287869286510591</v>
      </c>
      <c r="H83" s="33">
        <f t="shared" si="65"/>
        <v>6.5757385730211819</v>
      </c>
      <c r="I83" s="33">
        <f t="shared" si="65"/>
        <v>13.151477146042364</v>
      </c>
      <c r="J83" s="33">
        <f t="shared" si="65"/>
        <v>26.302954292084728</v>
      </c>
      <c r="K83" s="33">
        <f t="shared" si="65"/>
        <v>52.605908584169455</v>
      </c>
      <c r="L83" s="33">
        <f t="shared" si="65"/>
        <v>105.21181716833891</v>
      </c>
      <c r="M83" s="33">
        <f t="shared" si="65"/>
        <v>210.42363433667782</v>
      </c>
      <c r="N83" s="33">
        <f t="shared" si="65"/>
        <v>420.84726867335564</v>
      </c>
      <c r="O83" s="33">
        <f t="shared" si="65"/>
        <v>631.27090301003352</v>
      </c>
      <c r="P83" s="33">
        <f t="shared" si="65"/>
        <v>694.39799331103677</v>
      </c>
      <c r="Q83" s="33">
        <f t="shared" si="65"/>
        <v>736.48272017837235</v>
      </c>
      <c r="R83" s="33">
        <f t="shared" si="65"/>
        <v>778.56744704570792</v>
      </c>
      <c r="S83" s="33">
        <f t="shared" si="65"/>
        <v>820.6521739130435</v>
      </c>
      <c r="T83" s="33">
        <f t="shared" si="65"/>
        <v>841.69453734671129</v>
      </c>
      <c r="U83" s="33">
        <f t="shared" si="65"/>
        <v>1683.3890746934226</v>
      </c>
      <c r="V83" s="33">
        <f t="shared" si="65"/>
        <v>3366.7781493868451</v>
      </c>
      <c r="W83" s="33">
        <f t="shared" si="65"/>
        <v>6733.5562987736903</v>
      </c>
      <c r="X83" s="33">
        <f t="shared" si="65"/>
        <v>13467.112597547381</v>
      </c>
      <c r="Y83" s="33">
        <f t="shared" si="65"/>
        <v>26934.225195094761</v>
      </c>
      <c r="Z83" s="33">
        <f t="shared" si="65"/>
        <v>53868.450390189522</v>
      </c>
      <c r="AA83" s="33">
        <f t="shared" si="65"/>
        <v>107736.90078037904</v>
      </c>
      <c r="AB83" s="33">
        <f t="shared" si="65"/>
        <v>215473.80156075809</v>
      </c>
      <c r="AC83" s="33">
        <f t="shared" si="65"/>
        <v>430947.60312151618</v>
      </c>
      <c r="AD83" s="84">
        <f t="shared" si="65"/>
        <v>861895.20624303236</v>
      </c>
      <c r="AE83" s="33">
        <f t="shared" si="65"/>
        <v>1723790.4124860647</v>
      </c>
      <c r="AF83" s="84">
        <f t="shared" si="65"/>
        <v>2696999.7212931998</v>
      </c>
      <c r="AG83" s="57"/>
    </row>
    <row r="84" spans="1:33" x14ac:dyDescent="0.25">
      <c r="A84" s="53"/>
      <c r="B84" s="18"/>
      <c r="C84" s="22"/>
      <c r="D84" s="20"/>
      <c r="E84" s="39">
        <f>'AU Infection Rate by Age'!F19</f>
        <v>4.5033112582781455E-2</v>
      </c>
      <c r="F84" s="22"/>
      <c r="G84" s="41">
        <f t="shared" ref="G84:AF84" si="66">G$49*$D$83*$E$84</f>
        <v>0.14806298773690077</v>
      </c>
      <c r="H84" s="42">
        <f t="shared" si="66"/>
        <v>0.29612597547380154</v>
      </c>
      <c r="I84" s="42">
        <f t="shared" si="66"/>
        <v>0.59225195094760308</v>
      </c>
      <c r="J84" s="42">
        <f t="shared" si="66"/>
        <v>1.1845039018952062</v>
      </c>
      <c r="K84" s="42">
        <f t="shared" si="66"/>
        <v>2.3690078037904123</v>
      </c>
      <c r="L84" s="42">
        <f t="shared" si="66"/>
        <v>4.7380156075808246</v>
      </c>
      <c r="M84" s="42">
        <f t="shared" si="66"/>
        <v>9.4760312151616493</v>
      </c>
      <c r="N84" s="42">
        <f t="shared" si="66"/>
        <v>18.952062430323299</v>
      </c>
      <c r="O84" s="42">
        <f t="shared" si="66"/>
        <v>28.428093645484953</v>
      </c>
      <c r="P84" s="42">
        <f t="shared" si="66"/>
        <v>31.270903010033443</v>
      </c>
      <c r="Q84" s="42">
        <f t="shared" si="66"/>
        <v>33.16610925306577</v>
      </c>
      <c r="R84" s="42">
        <f t="shared" si="66"/>
        <v>35.061315496098103</v>
      </c>
      <c r="S84" s="42">
        <f t="shared" si="66"/>
        <v>36.956521739130437</v>
      </c>
      <c r="T84" s="42">
        <f t="shared" si="66"/>
        <v>37.904124860646597</v>
      </c>
      <c r="U84" s="42">
        <f t="shared" si="66"/>
        <v>75.808249721293194</v>
      </c>
      <c r="V84" s="42">
        <f t="shared" si="66"/>
        <v>151.61649944258639</v>
      </c>
      <c r="W84" s="42">
        <f t="shared" si="66"/>
        <v>303.23299888517278</v>
      </c>
      <c r="X84" s="42">
        <f t="shared" si="66"/>
        <v>606.46599777034555</v>
      </c>
      <c r="Y84" s="42">
        <f t="shared" si="66"/>
        <v>1212.9319955406911</v>
      </c>
      <c r="Z84" s="42">
        <f t="shared" si="66"/>
        <v>2425.8639910813822</v>
      </c>
      <c r="AA84" s="42">
        <f t="shared" si="66"/>
        <v>4851.7279821627644</v>
      </c>
      <c r="AB84" s="42">
        <f t="shared" si="66"/>
        <v>9703.4559643255288</v>
      </c>
      <c r="AC84" s="42">
        <f t="shared" si="66"/>
        <v>19406.911928651058</v>
      </c>
      <c r="AD84" s="83">
        <f t="shared" si="66"/>
        <v>38813.823857302115</v>
      </c>
      <c r="AE84" s="42">
        <f t="shared" si="66"/>
        <v>77627.647714604231</v>
      </c>
      <c r="AF84" s="83">
        <f t="shared" si="66"/>
        <v>121454.29208472687</v>
      </c>
      <c r="AG84" s="57"/>
    </row>
    <row r="85" spans="1:33" x14ac:dyDescent="0.25">
      <c r="A85" s="53" t="s">
        <v>15</v>
      </c>
      <c r="B85" s="18">
        <f>'ABS Population by Age Range'!D85</f>
        <v>0.10301766910746854</v>
      </c>
      <c r="C85" s="22">
        <f t="shared" si="64"/>
        <v>2640754.9299008488</v>
      </c>
      <c r="D85" s="35">
        <f>'AU Infection Rate by Age'!E6</f>
        <v>0.16234671125975475</v>
      </c>
      <c r="E85" s="29"/>
      <c r="F85" s="22"/>
      <c r="G85" s="32">
        <f t="shared" ref="G85:AF85" si="67">G$49*$D$85</f>
        <v>5.0733347268673361</v>
      </c>
      <c r="H85" s="33">
        <f t="shared" si="67"/>
        <v>10.146669453734672</v>
      </c>
      <c r="I85" s="33">
        <f t="shared" si="67"/>
        <v>20.293338907469344</v>
      </c>
      <c r="J85" s="33">
        <f t="shared" si="67"/>
        <v>40.586677814938689</v>
      </c>
      <c r="K85" s="33">
        <f t="shared" si="67"/>
        <v>81.173355629877378</v>
      </c>
      <c r="L85" s="33">
        <f t="shared" si="67"/>
        <v>162.34671125975476</v>
      </c>
      <c r="M85" s="33">
        <f t="shared" si="67"/>
        <v>324.69342251950951</v>
      </c>
      <c r="N85" s="33">
        <f t="shared" si="67"/>
        <v>649.38684503901902</v>
      </c>
      <c r="O85" s="33">
        <f t="shared" si="67"/>
        <v>974.08026755852848</v>
      </c>
      <c r="P85" s="33">
        <f t="shared" si="67"/>
        <v>1071.4882943143814</v>
      </c>
      <c r="Q85" s="33">
        <f t="shared" si="67"/>
        <v>1136.4269788182833</v>
      </c>
      <c r="R85" s="33">
        <f t="shared" si="67"/>
        <v>1201.3656633221851</v>
      </c>
      <c r="S85" s="33">
        <f t="shared" si="67"/>
        <v>1266.304347826087</v>
      </c>
      <c r="T85" s="33">
        <f t="shared" si="67"/>
        <v>1298.773690078038</v>
      </c>
      <c r="U85" s="33">
        <f t="shared" si="67"/>
        <v>2597.5473801560761</v>
      </c>
      <c r="V85" s="33">
        <f t="shared" si="67"/>
        <v>5195.0947603121522</v>
      </c>
      <c r="W85" s="33">
        <f t="shared" si="67"/>
        <v>10390.189520624304</v>
      </c>
      <c r="X85" s="33">
        <f t="shared" si="67"/>
        <v>20780.379041248609</v>
      </c>
      <c r="Y85" s="33">
        <f t="shared" si="67"/>
        <v>41560.758082497217</v>
      </c>
      <c r="Z85" s="33">
        <f t="shared" si="67"/>
        <v>83121.516164994435</v>
      </c>
      <c r="AA85" s="33">
        <f t="shared" si="67"/>
        <v>166243.03232998887</v>
      </c>
      <c r="AB85" s="33">
        <f t="shared" si="67"/>
        <v>332486.06465997774</v>
      </c>
      <c r="AC85" s="33">
        <f t="shared" si="67"/>
        <v>664972.12931995548</v>
      </c>
      <c r="AD85" s="84">
        <f t="shared" si="67"/>
        <v>1329944.258639911</v>
      </c>
      <c r="AE85" s="33">
        <f t="shared" si="67"/>
        <v>2659888.5172798219</v>
      </c>
      <c r="AF85" s="84">
        <f t="shared" si="67"/>
        <v>4161595.5964325531</v>
      </c>
      <c r="AG85" s="57"/>
    </row>
    <row r="86" spans="1:33" x14ac:dyDescent="0.25">
      <c r="A86" s="53"/>
      <c r="B86" s="18"/>
      <c r="C86" s="22"/>
      <c r="D86" s="20"/>
      <c r="E86" s="39">
        <f>'AU Infection Rate by Age'!F20</f>
        <v>8.5836909871244635E-3</v>
      </c>
      <c r="F86" s="22"/>
      <c r="G86" s="41">
        <f t="shared" ref="G86:AF86" si="68">G$49*$D$85*$E$86</f>
        <v>4.3547937569676703E-2</v>
      </c>
      <c r="H86" s="42">
        <f t="shared" si="68"/>
        <v>8.7095875139353407E-2</v>
      </c>
      <c r="I86" s="42">
        <f t="shared" si="68"/>
        <v>0.17419175027870681</v>
      </c>
      <c r="J86" s="42">
        <f t="shared" si="68"/>
        <v>0.34838350055741363</v>
      </c>
      <c r="K86" s="42">
        <f t="shared" si="68"/>
        <v>0.69676700111482726</v>
      </c>
      <c r="L86" s="42">
        <f t="shared" si="68"/>
        <v>1.3935340022296545</v>
      </c>
      <c r="M86" s="42">
        <f t="shared" si="68"/>
        <v>2.787068004459309</v>
      </c>
      <c r="N86" s="42">
        <f t="shared" si="68"/>
        <v>5.574136008918618</v>
      </c>
      <c r="O86" s="42">
        <f t="shared" si="68"/>
        <v>8.3612040133779271</v>
      </c>
      <c r="P86" s="42">
        <f t="shared" si="68"/>
        <v>9.1973244147157196</v>
      </c>
      <c r="Q86" s="42">
        <f t="shared" si="68"/>
        <v>9.7547380156075825</v>
      </c>
      <c r="R86" s="42">
        <f t="shared" si="68"/>
        <v>10.312151616499444</v>
      </c>
      <c r="S86" s="42">
        <f t="shared" si="68"/>
        <v>10.869565217391305</v>
      </c>
      <c r="T86" s="42">
        <f t="shared" si="68"/>
        <v>11.148272017837236</v>
      </c>
      <c r="U86" s="42">
        <f t="shared" si="68"/>
        <v>22.296544035674472</v>
      </c>
      <c r="V86" s="42">
        <f t="shared" si="68"/>
        <v>44.593088071348944</v>
      </c>
      <c r="W86" s="42">
        <f t="shared" si="68"/>
        <v>89.186176142697889</v>
      </c>
      <c r="X86" s="42">
        <f t="shared" si="68"/>
        <v>178.37235228539578</v>
      </c>
      <c r="Y86" s="42">
        <f t="shared" si="68"/>
        <v>356.74470457079155</v>
      </c>
      <c r="Z86" s="42">
        <f t="shared" si="68"/>
        <v>713.48940914158311</v>
      </c>
      <c r="AA86" s="42">
        <f t="shared" si="68"/>
        <v>1426.9788182831662</v>
      </c>
      <c r="AB86" s="42">
        <f t="shared" si="68"/>
        <v>2853.9576365663324</v>
      </c>
      <c r="AC86" s="42">
        <f t="shared" si="68"/>
        <v>5707.9152731326649</v>
      </c>
      <c r="AD86" s="83">
        <f t="shared" si="68"/>
        <v>11415.83054626533</v>
      </c>
      <c r="AE86" s="42">
        <f t="shared" si="68"/>
        <v>22831.66109253066</v>
      </c>
      <c r="AF86" s="83">
        <f t="shared" si="68"/>
        <v>35721.850613154966</v>
      </c>
      <c r="AG86" s="57"/>
    </row>
    <row r="87" spans="1:33" x14ac:dyDescent="0.25">
      <c r="A87" s="53" t="s">
        <v>16</v>
      </c>
      <c r="B87" s="18">
        <f>'ABS Population by Age Range'!D73</f>
        <v>0.12142789925761971</v>
      </c>
      <c r="C87" s="22">
        <f t="shared" si="64"/>
        <v>3112682.7695698235</v>
      </c>
      <c r="D87" s="35">
        <f>'AU Infection Rate by Age'!E7</f>
        <v>0.15774804905239687</v>
      </c>
      <c r="E87" s="29"/>
      <c r="F87" s="22"/>
      <c r="G87" s="32">
        <f t="shared" ref="G87:AF87" si="69">G$49*$D$87</f>
        <v>4.9296265328874025</v>
      </c>
      <c r="H87" s="33">
        <f t="shared" si="69"/>
        <v>9.859253065774805</v>
      </c>
      <c r="I87" s="33">
        <f t="shared" si="69"/>
        <v>19.71850613154961</v>
      </c>
      <c r="J87" s="33">
        <f t="shared" si="69"/>
        <v>39.43701226309922</v>
      </c>
      <c r="K87" s="33">
        <f t="shared" si="69"/>
        <v>78.87402452619844</v>
      </c>
      <c r="L87" s="33">
        <f t="shared" si="69"/>
        <v>157.74804905239688</v>
      </c>
      <c r="M87" s="33">
        <f t="shared" si="69"/>
        <v>315.49609810479376</v>
      </c>
      <c r="N87" s="33">
        <f t="shared" si="69"/>
        <v>630.99219620958752</v>
      </c>
      <c r="O87" s="33">
        <f t="shared" si="69"/>
        <v>946.48829431438116</v>
      </c>
      <c r="P87" s="33">
        <f t="shared" si="69"/>
        <v>1041.1371237458193</v>
      </c>
      <c r="Q87" s="33">
        <f t="shared" si="69"/>
        <v>1104.2363433667781</v>
      </c>
      <c r="R87" s="33">
        <f t="shared" si="69"/>
        <v>1167.3355629877369</v>
      </c>
      <c r="S87" s="33">
        <f t="shared" si="69"/>
        <v>1230.4347826086955</v>
      </c>
      <c r="T87" s="33">
        <f t="shared" si="69"/>
        <v>1261.984392419175</v>
      </c>
      <c r="U87" s="33">
        <f t="shared" si="69"/>
        <v>2523.9687848383501</v>
      </c>
      <c r="V87" s="33">
        <f t="shared" si="69"/>
        <v>5047.9375696767002</v>
      </c>
      <c r="W87" s="33">
        <f t="shared" si="69"/>
        <v>10095.8751393534</v>
      </c>
      <c r="X87" s="33">
        <f t="shared" si="69"/>
        <v>20191.750278706801</v>
      </c>
      <c r="Y87" s="33">
        <f t="shared" si="69"/>
        <v>40383.500557413601</v>
      </c>
      <c r="Z87" s="33">
        <f t="shared" si="69"/>
        <v>80767.001114827202</v>
      </c>
      <c r="AA87" s="33">
        <f t="shared" si="69"/>
        <v>161534.0022296544</v>
      </c>
      <c r="AB87" s="33">
        <f t="shared" si="69"/>
        <v>323068.00445930881</v>
      </c>
      <c r="AC87" s="33">
        <f t="shared" si="69"/>
        <v>646136.00891861762</v>
      </c>
      <c r="AD87" s="84">
        <f t="shared" si="69"/>
        <v>1292272.0178372352</v>
      </c>
      <c r="AE87" s="33">
        <f t="shared" si="69"/>
        <v>2584544.0356744705</v>
      </c>
      <c r="AF87" s="84">
        <f t="shared" si="69"/>
        <v>4043713.4894091412</v>
      </c>
      <c r="AG87" s="57"/>
    </row>
    <row r="88" spans="1:33" x14ac:dyDescent="0.25">
      <c r="A88" s="53"/>
      <c r="B88" s="18"/>
      <c r="C88" s="22"/>
      <c r="D88" s="20"/>
      <c r="E88" s="39">
        <f>'AU Infection Rate by Age'!F21</f>
        <v>1.7667844522968198E-3</v>
      </c>
      <c r="F88" s="22"/>
      <c r="G88" s="41">
        <f t="shared" ref="G88:AF88" si="70">G$49*$D$87*$E$88</f>
        <v>8.70958751393534E-3</v>
      </c>
      <c r="H88" s="42">
        <f t="shared" si="70"/>
        <v>1.741917502787068E-2</v>
      </c>
      <c r="I88" s="42">
        <f t="shared" si="70"/>
        <v>3.483835005574136E-2</v>
      </c>
      <c r="J88" s="42">
        <f t="shared" si="70"/>
        <v>6.967670011148272E-2</v>
      </c>
      <c r="K88" s="42">
        <f t="shared" si="70"/>
        <v>0.13935340022296544</v>
      </c>
      <c r="L88" s="42">
        <f t="shared" si="70"/>
        <v>0.27870680044593088</v>
      </c>
      <c r="M88" s="42">
        <f t="shared" si="70"/>
        <v>0.55741360089186176</v>
      </c>
      <c r="N88" s="42">
        <f t="shared" si="70"/>
        <v>1.1148272017837235</v>
      </c>
      <c r="O88" s="42">
        <f t="shared" si="70"/>
        <v>1.6722408026755851</v>
      </c>
      <c r="P88" s="42">
        <f t="shared" si="70"/>
        <v>1.8394648829431435</v>
      </c>
      <c r="Q88" s="42">
        <f t="shared" si="70"/>
        <v>1.950947603121516</v>
      </c>
      <c r="R88" s="42">
        <f t="shared" si="70"/>
        <v>2.0624303232998886</v>
      </c>
      <c r="S88" s="42">
        <f t="shared" si="70"/>
        <v>2.1739130434782608</v>
      </c>
      <c r="T88" s="42">
        <f t="shared" si="70"/>
        <v>2.229654403567447</v>
      </c>
      <c r="U88" s="42">
        <f t="shared" si="70"/>
        <v>4.4593088071348941</v>
      </c>
      <c r="V88" s="42">
        <f t="shared" si="70"/>
        <v>8.9186176142697882</v>
      </c>
      <c r="W88" s="42">
        <f t="shared" si="70"/>
        <v>17.837235228539576</v>
      </c>
      <c r="X88" s="42">
        <f t="shared" si="70"/>
        <v>35.674470457079153</v>
      </c>
      <c r="Y88" s="42">
        <f t="shared" si="70"/>
        <v>71.348940914158305</v>
      </c>
      <c r="Z88" s="42">
        <f t="shared" si="70"/>
        <v>142.69788182831661</v>
      </c>
      <c r="AA88" s="42">
        <f t="shared" si="70"/>
        <v>285.39576365663322</v>
      </c>
      <c r="AB88" s="42">
        <f t="shared" si="70"/>
        <v>570.79152731326644</v>
      </c>
      <c r="AC88" s="42">
        <f t="shared" si="70"/>
        <v>1141.5830546265329</v>
      </c>
      <c r="AD88" s="83">
        <f t="shared" si="70"/>
        <v>2283.1661092530658</v>
      </c>
      <c r="AE88" s="42">
        <f t="shared" si="70"/>
        <v>4566.3322185061315</v>
      </c>
      <c r="AF88" s="83">
        <f t="shared" si="70"/>
        <v>7144.3701226309913</v>
      </c>
      <c r="AG88" s="57"/>
    </row>
    <row r="89" spans="1:33" x14ac:dyDescent="0.25">
      <c r="A89" s="53" t="s">
        <v>17</v>
      </c>
      <c r="B89" s="18">
        <f>'ABS Population by Age Range'!D61</f>
        <v>0.12908272398046944</v>
      </c>
      <c r="C89" s="22">
        <f t="shared" si="64"/>
        <v>3308906.5465153535</v>
      </c>
      <c r="D89" s="35">
        <f>'AU Infection Rate by Age'!E8</f>
        <v>0.1273690078037904</v>
      </c>
      <c r="E89" s="29"/>
      <c r="F89" s="22"/>
      <c r="G89" s="32">
        <f t="shared" ref="G89:AF89" si="71">G$49*$D$89</f>
        <v>3.9802814938684499</v>
      </c>
      <c r="H89" s="33">
        <f t="shared" si="71"/>
        <v>7.9605629877368997</v>
      </c>
      <c r="I89" s="33">
        <f t="shared" si="71"/>
        <v>15.921125975473799</v>
      </c>
      <c r="J89" s="33">
        <f t="shared" si="71"/>
        <v>31.842251950947599</v>
      </c>
      <c r="K89" s="33">
        <f t="shared" si="71"/>
        <v>63.684503901895198</v>
      </c>
      <c r="L89" s="33">
        <f t="shared" si="71"/>
        <v>127.3690078037904</v>
      </c>
      <c r="M89" s="33">
        <f t="shared" si="71"/>
        <v>254.73801560758079</v>
      </c>
      <c r="N89" s="33">
        <f t="shared" si="71"/>
        <v>509.47603121516158</v>
      </c>
      <c r="O89" s="33">
        <f t="shared" si="71"/>
        <v>764.21404682274238</v>
      </c>
      <c r="P89" s="33">
        <f t="shared" si="71"/>
        <v>840.6354515050167</v>
      </c>
      <c r="Q89" s="33">
        <f t="shared" si="71"/>
        <v>891.58305462653277</v>
      </c>
      <c r="R89" s="33">
        <f t="shared" si="71"/>
        <v>942.53065774804895</v>
      </c>
      <c r="S89" s="33">
        <f t="shared" si="71"/>
        <v>993.47826086956513</v>
      </c>
      <c r="T89" s="33">
        <f t="shared" si="71"/>
        <v>1018.9520624303232</v>
      </c>
      <c r="U89" s="33">
        <f t="shared" si="71"/>
        <v>2037.9041248606463</v>
      </c>
      <c r="V89" s="33">
        <f t="shared" si="71"/>
        <v>4075.8082497212927</v>
      </c>
      <c r="W89" s="33">
        <f t="shared" si="71"/>
        <v>8151.6164994425853</v>
      </c>
      <c r="X89" s="33">
        <f t="shared" si="71"/>
        <v>16303.232998885171</v>
      </c>
      <c r="Y89" s="33">
        <f t="shared" si="71"/>
        <v>32606.465997770341</v>
      </c>
      <c r="Z89" s="33">
        <f t="shared" si="71"/>
        <v>65212.931995540683</v>
      </c>
      <c r="AA89" s="33">
        <f t="shared" si="71"/>
        <v>130425.86399108137</v>
      </c>
      <c r="AB89" s="33">
        <f t="shared" si="71"/>
        <v>260851.72798216273</v>
      </c>
      <c r="AC89" s="33">
        <f t="shared" si="71"/>
        <v>521703.45596432546</v>
      </c>
      <c r="AD89" s="84">
        <f t="shared" si="71"/>
        <v>1043406.9119286509</v>
      </c>
      <c r="AE89" s="33">
        <f t="shared" si="71"/>
        <v>2086813.8238573018</v>
      </c>
      <c r="AF89" s="84">
        <f t="shared" si="71"/>
        <v>3264977.1460423633</v>
      </c>
      <c r="AG89" s="57"/>
    </row>
    <row r="90" spans="1:33" x14ac:dyDescent="0.25">
      <c r="A90" s="53"/>
      <c r="B90" s="18"/>
      <c r="C90" s="22"/>
      <c r="D90" s="20"/>
      <c r="E90" s="39">
        <f>'AU Infection Rate by Age'!F22</f>
        <v>1.0940919037199124E-3</v>
      </c>
      <c r="F90" s="22"/>
      <c r="G90" s="41">
        <f t="shared" ref="G90:AF90" si="72">G$49*$D$89*$E$90</f>
        <v>4.3547937569676691E-3</v>
      </c>
      <c r="H90" s="42">
        <f t="shared" si="72"/>
        <v>8.7095875139353383E-3</v>
      </c>
      <c r="I90" s="42">
        <f t="shared" si="72"/>
        <v>1.7419175027870677E-2</v>
      </c>
      <c r="J90" s="42">
        <f t="shared" si="72"/>
        <v>3.4838350055741353E-2</v>
      </c>
      <c r="K90" s="42">
        <f t="shared" si="72"/>
        <v>6.9676700111482706E-2</v>
      </c>
      <c r="L90" s="42">
        <f t="shared" si="72"/>
        <v>0.13935340022296541</v>
      </c>
      <c r="M90" s="42">
        <f t="shared" si="72"/>
        <v>0.27870680044593082</v>
      </c>
      <c r="N90" s="42">
        <f t="shared" si="72"/>
        <v>0.55741360089186165</v>
      </c>
      <c r="O90" s="42">
        <f t="shared" si="72"/>
        <v>0.83612040133779253</v>
      </c>
      <c r="P90" s="42">
        <f t="shared" si="72"/>
        <v>0.91973244147157185</v>
      </c>
      <c r="Q90" s="42">
        <f t="shared" si="72"/>
        <v>0.97547380156075791</v>
      </c>
      <c r="R90" s="42">
        <f t="shared" si="72"/>
        <v>1.0312151616499441</v>
      </c>
      <c r="S90" s="42">
        <f t="shared" si="72"/>
        <v>1.0869565217391304</v>
      </c>
      <c r="T90" s="42">
        <f t="shared" si="72"/>
        <v>1.1148272017837233</v>
      </c>
      <c r="U90" s="42">
        <f t="shared" si="72"/>
        <v>2.2296544035674466</v>
      </c>
      <c r="V90" s="42">
        <f t="shared" si="72"/>
        <v>4.4593088071348932</v>
      </c>
      <c r="W90" s="42">
        <f t="shared" si="72"/>
        <v>8.9186176142697864</v>
      </c>
      <c r="X90" s="42">
        <f t="shared" si="72"/>
        <v>17.837235228539573</v>
      </c>
      <c r="Y90" s="42">
        <f t="shared" si="72"/>
        <v>35.674470457079146</v>
      </c>
      <c r="Z90" s="42">
        <f t="shared" si="72"/>
        <v>71.348940914158291</v>
      </c>
      <c r="AA90" s="42">
        <f t="shared" si="72"/>
        <v>142.69788182831658</v>
      </c>
      <c r="AB90" s="42">
        <f t="shared" si="72"/>
        <v>285.39576365663316</v>
      </c>
      <c r="AC90" s="42">
        <f t="shared" si="72"/>
        <v>570.79152731326633</v>
      </c>
      <c r="AD90" s="83">
        <f t="shared" si="72"/>
        <v>1141.5830546265327</v>
      </c>
      <c r="AE90" s="42">
        <f t="shared" si="72"/>
        <v>2283.1661092530653</v>
      </c>
      <c r="AF90" s="83">
        <f t="shared" si="72"/>
        <v>3572.1850613154957</v>
      </c>
      <c r="AG90" s="57"/>
    </row>
    <row r="91" spans="1:33" x14ac:dyDescent="0.25">
      <c r="A91" s="53" t="s">
        <v>18</v>
      </c>
      <c r="B91" s="18">
        <f>'ABS Population by Age Range'!D49</f>
        <v>0.14481341657950456</v>
      </c>
      <c r="C91" s="22">
        <f t="shared" si="64"/>
        <v>3712147.1205990198</v>
      </c>
      <c r="D91" s="35">
        <f>'AU Infection Rate by Age'!E9</f>
        <v>0.15900222965440355</v>
      </c>
      <c r="E91" s="29"/>
      <c r="F91" s="22"/>
      <c r="G91" s="32">
        <f t="shared" ref="G91:AF91" si="73">G$49*$D$91</f>
        <v>4.9688196767001109</v>
      </c>
      <c r="H91" s="33">
        <f t="shared" si="73"/>
        <v>9.9376393534002219</v>
      </c>
      <c r="I91" s="33">
        <f t="shared" si="73"/>
        <v>19.875278706800444</v>
      </c>
      <c r="J91" s="33">
        <f t="shared" si="73"/>
        <v>39.750557413600887</v>
      </c>
      <c r="K91" s="33">
        <f t="shared" si="73"/>
        <v>79.501114827201775</v>
      </c>
      <c r="L91" s="33">
        <f t="shared" si="73"/>
        <v>159.00222965440355</v>
      </c>
      <c r="M91" s="33">
        <f t="shared" si="73"/>
        <v>318.0044593088071</v>
      </c>
      <c r="N91" s="33">
        <f t="shared" si="73"/>
        <v>636.0089186176142</v>
      </c>
      <c r="O91" s="33">
        <f t="shared" si="73"/>
        <v>954.0133779264213</v>
      </c>
      <c r="P91" s="33">
        <f t="shared" si="73"/>
        <v>1049.4147157190635</v>
      </c>
      <c r="Q91" s="33">
        <f t="shared" si="73"/>
        <v>1113.015607580825</v>
      </c>
      <c r="R91" s="33">
        <f t="shared" si="73"/>
        <v>1176.6164994425862</v>
      </c>
      <c r="S91" s="33">
        <f t="shared" si="73"/>
        <v>1240.2173913043478</v>
      </c>
      <c r="T91" s="33">
        <f t="shared" si="73"/>
        <v>1272.0178372352284</v>
      </c>
      <c r="U91" s="33">
        <f t="shared" si="73"/>
        <v>2544.0356744704568</v>
      </c>
      <c r="V91" s="33">
        <f t="shared" si="73"/>
        <v>5088.0713489409136</v>
      </c>
      <c r="W91" s="33">
        <f t="shared" si="73"/>
        <v>10176.142697881827</v>
      </c>
      <c r="X91" s="33">
        <f t="shared" si="73"/>
        <v>20352.285395763654</v>
      </c>
      <c r="Y91" s="33">
        <f t="shared" si="73"/>
        <v>40704.570791527309</v>
      </c>
      <c r="Z91" s="33">
        <f t="shared" si="73"/>
        <v>81409.141583054618</v>
      </c>
      <c r="AA91" s="33">
        <f t="shared" si="73"/>
        <v>162818.28316610924</v>
      </c>
      <c r="AB91" s="33">
        <f t="shared" si="73"/>
        <v>325636.56633221847</v>
      </c>
      <c r="AC91" s="33">
        <f t="shared" si="73"/>
        <v>651273.13266443694</v>
      </c>
      <c r="AD91" s="84">
        <f t="shared" si="73"/>
        <v>1302546.2653288739</v>
      </c>
      <c r="AE91" s="33">
        <f t="shared" si="73"/>
        <v>2605092.5306577478</v>
      </c>
      <c r="AF91" s="84">
        <f t="shared" si="73"/>
        <v>4075863.1549609806</v>
      </c>
      <c r="AG91" s="57"/>
    </row>
    <row r="92" spans="1:33" x14ac:dyDescent="0.25">
      <c r="A92" s="53"/>
      <c r="B92" s="18"/>
      <c r="C92" s="22"/>
      <c r="D92" s="20"/>
      <c r="E92" s="39">
        <f>'AU Infection Rate by Age'!F23</f>
        <v>0</v>
      </c>
      <c r="F92" s="22"/>
      <c r="G92" s="41">
        <f t="shared" ref="G92:AF92" si="74">G$49*$D$91*$E$92</f>
        <v>0</v>
      </c>
      <c r="H92" s="42">
        <f t="shared" si="74"/>
        <v>0</v>
      </c>
      <c r="I92" s="42">
        <f t="shared" si="74"/>
        <v>0</v>
      </c>
      <c r="J92" s="42">
        <f t="shared" si="74"/>
        <v>0</v>
      </c>
      <c r="K92" s="42">
        <f t="shared" si="74"/>
        <v>0</v>
      </c>
      <c r="L92" s="42">
        <f t="shared" si="74"/>
        <v>0</v>
      </c>
      <c r="M92" s="42">
        <f t="shared" si="74"/>
        <v>0</v>
      </c>
      <c r="N92" s="42">
        <f t="shared" si="74"/>
        <v>0</v>
      </c>
      <c r="O92" s="42">
        <f t="shared" si="74"/>
        <v>0</v>
      </c>
      <c r="P92" s="42">
        <f t="shared" si="74"/>
        <v>0</v>
      </c>
      <c r="Q92" s="42">
        <f t="shared" si="74"/>
        <v>0</v>
      </c>
      <c r="R92" s="42">
        <f t="shared" si="74"/>
        <v>0</v>
      </c>
      <c r="S92" s="42">
        <f t="shared" si="74"/>
        <v>0</v>
      </c>
      <c r="T92" s="42">
        <f t="shared" si="74"/>
        <v>0</v>
      </c>
      <c r="U92" s="42">
        <f t="shared" si="74"/>
        <v>0</v>
      </c>
      <c r="V92" s="42">
        <f t="shared" si="74"/>
        <v>0</v>
      </c>
      <c r="W92" s="42">
        <f t="shared" si="74"/>
        <v>0</v>
      </c>
      <c r="X92" s="42">
        <f t="shared" si="74"/>
        <v>0</v>
      </c>
      <c r="Y92" s="42">
        <f t="shared" si="74"/>
        <v>0</v>
      </c>
      <c r="Z92" s="42">
        <f t="shared" si="74"/>
        <v>0</v>
      </c>
      <c r="AA92" s="42">
        <f t="shared" si="74"/>
        <v>0</v>
      </c>
      <c r="AB92" s="42">
        <f t="shared" si="74"/>
        <v>0</v>
      </c>
      <c r="AC92" s="42">
        <f t="shared" si="74"/>
        <v>0</v>
      </c>
      <c r="AD92" s="83">
        <f t="shared" si="74"/>
        <v>0</v>
      </c>
      <c r="AE92" s="42">
        <f t="shared" si="74"/>
        <v>0</v>
      </c>
      <c r="AF92" s="83">
        <f t="shared" si="74"/>
        <v>0</v>
      </c>
      <c r="AG92" s="57"/>
    </row>
    <row r="93" spans="1:33" x14ac:dyDescent="0.25">
      <c r="A93" s="53" t="s">
        <v>19</v>
      </c>
      <c r="B93" s="18">
        <f>'ABS Population by Age Range'!D37</f>
        <v>0.14458334093878666</v>
      </c>
      <c r="C93" s="22">
        <f t="shared" si="64"/>
        <v>3706249.3616248574</v>
      </c>
      <c r="D93" s="35">
        <f>'AU Infection Rate by Age'!E10</f>
        <v>0.20791527313266445</v>
      </c>
      <c r="E93" s="29"/>
      <c r="F93" s="22"/>
      <c r="G93" s="32">
        <f t="shared" ref="G93:AF93" si="75">G$49*$D$93</f>
        <v>6.4973522853957641</v>
      </c>
      <c r="H93" s="33">
        <f t="shared" si="75"/>
        <v>12.994704570791528</v>
      </c>
      <c r="I93" s="33">
        <f t="shared" si="75"/>
        <v>25.989409141583057</v>
      </c>
      <c r="J93" s="33">
        <f t="shared" si="75"/>
        <v>51.978818283166113</v>
      </c>
      <c r="K93" s="33">
        <f t="shared" si="75"/>
        <v>103.95763656633223</v>
      </c>
      <c r="L93" s="33">
        <f t="shared" si="75"/>
        <v>207.91527313266445</v>
      </c>
      <c r="M93" s="33">
        <f t="shared" si="75"/>
        <v>415.83054626532891</v>
      </c>
      <c r="N93" s="33">
        <f t="shared" si="75"/>
        <v>831.66109253065781</v>
      </c>
      <c r="O93" s="33">
        <f t="shared" si="75"/>
        <v>1247.4916387959868</v>
      </c>
      <c r="P93" s="33">
        <f t="shared" si="75"/>
        <v>1372.2408026755854</v>
      </c>
      <c r="Q93" s="33">
        <f t="shared" si="75"/>
        <v>1455.4069119286512</v>
      </c>
      <c r="R93" s="33">
        <f t="shared" si="75"/>
        <v>1538.573021181717</v>
      </c>
      <c r="S93" s="33">
        <f t="shared" si="75"/>
        <v>1621.7391304347827</v>
      </c>
      <c r="T93" s="33">
        <f t="shared" si="75"/>
        <v>1663.3221850613156</v>
      </c>
      <c r="U93" s="33">
        <f t="shared" si="75"/>
        <v>3326.6443701226312</v>
      </c>
      <c r="V93" s="33">
        <f t="shared" si="75"/>
        <v>6653.2887402452625</v>
      </c>
      <c r="W93" s="33">
        <f t="shared" si="75"/>
        <v>13306.577480490525</v>
      </c>
      <c r="X93" s="33">
        <f t="shared" si="75"/>
        <v>26613.15496098105</v>
      </c>
      <c r="Y93" s="33">
        <f t="shared" si="75"/>
        <v>53226.3099219621</v>
      </c>
      <c r="Z93" s="33">
        <f t="shared" si="75"/>
        <v>106452.6198439242</v>
      </c>
      <c r="AA93" s="33">
        <f t="shared" si="75"/>
        <v>212905.2396878484</v>
      </c>
      <c r="AB93" s="33">
        <f t="shared" si="75"/>
        <v>425810.4793756968</v>
      </c>
      <c r="AC93" s="33">
        <f t="shared" si="75"/>
        <v>851620.9587513936</v>
      </c>
      <c r="AD93" s="84">
        <f t="shared" si="75"/>
        <v>1703241.9175027872</v>
      </c>
      <c r="AE93" s="33">
        <f t="shared" si="75"/>
        <v>3406483.8350055744</v>
      </c>
      <c r="AF93" s="84">
        <f t="shared" si="75"/>
        <v>5329700.1114827208</v>
      </c>
      <c r="AG93" s="57"/>
    </row>
    <row r="94" spans="1:33" x14ac:dyDescent="0.25">
      <c r="A94" s="53"/>
      <c r="B94" s="18"/>
      <c r="C94" s="22"/>
      <c r="D94" s="20"/>
      <c r="E94" s="39">
        <f>'AU Infection Rate by Age'!F24</f>
        <v>0</v>
      </c>
      <c r="F94" s="22"/>
      <c r="G94" s="41">
        <f t="shared" ref="G94:AF94" si="76">G$49*$D$93*$E$94</f>
        <v>0</v>
      </c>
      <c r="H94" s="42">
        <f t="shared" si="76"/>
        <v>0</v>
      </c>
      <c r="I94" s="42">
        <f t="shared" si="76"/>
        <v>0</v>
      </c>
      <c r="J94" s="42">
        <f t="shared" si="76"/>
        <v>0</v>
      </c>
      <c r="K94" s="42">
        <f t="shared" si="76"/>
        <v>0</v>
      </c>
      <c r="L94" s="42">
        <f t="shared" si="76"/>
        <v>0</v>
      </c>
      <c r="M94" s="42">
        <f t="shared" si="76"/>
        <v>0</v>
      </c>
      <c r="N94" s="42">
        <f t="shared" si="76"/>
        <v>0</v>
      </c>
      <c r="O94" s="42">
        <f t="shared" si="76"/>
        <v>0</v>
      </c>
      <c r="P94" s="42">
        <f t="shared" si="76"/>
        <v>0</v>
      </c>
      <c r="Q94" s="42">
        <f t="shared" si="76"/>
        <v>0</v>
      </c>
      <c r="R94" s="42">
        <f t="shared" si="76"/>
        <v>0</v>
      </c>
      <c r="S94" s="42">
        <f t="shared" si="76"/>
        <v>0</v>
      </c>
      <c r="T94" s="42">
        <f t="shared" si="76"/>
        <v>0</v>
      </c>
      <c r="U94" s="42">
        <f t="shared" si="76"/>
        <v>0</v>
      </c>
      <c r="V94" s="42">
        <f t="shared" si="76"/>
        <v>0</v>
      </c>
      <c r="W94" s="42">
        <f t="shared" si="76"/>
        <v>0</v>
      </c>
      <c r="X94" s="42">
        <f t="shared" si="76"/>
        <v>0</v>
      </c>
      <c r="Y94" s="42">
        <f t="shared" si="76"/>
        <v>0</v>
      </c>
      <c r="Z94" s="42">
        <f t="shared" si="76"/>
        <v>0</v>
      </c>
      <c r="AA94" s="42">
        <f t="shared" si="76"/>
        <v>0</v>
      </c>
      <c r="AB94" s="42">
        <f t="shared" si="76"/>
        <v>0</v>
      </c>
      <c r="AC94" s="42">
        <f t="shared" si="76"/>
        <v>0</v>
      </c>
      <c r="AD94" s="83">
        <f t="shared" si="76"/>
        <v>0</v>
      </c>
      <c r="AE94" s="42">
        <f t="shared" si="76"/>
        <v>0</v>
      </c>
      <c r="AF94" s="83">
        <f t="shared" si="76"/>
        <v>0</v>
      </c>
      <c r="AG94" s="57"/>
    </row>
    <row r="95" spans="1:33" x14ac:dyDescent="0.25">
      <c r="A95" s="54" t="s">
        <v>20</v>
      </c>
      <c r="B95" s="18">
        <f>'ABS Population by Age Range'!D25</f>
        <v>0.12056476079328157</v>
      </c>
      <c r="C95" s="22">
        <f t="shared" si="64"/>
        <v>3090557.0781749799</v>
      </c>
      <c r="D95" s="35">
        <f>'AU Infection Rate by Age'!E11</f>
        <v>3.2469342251950944E-2</v>
      </c>
      <c r="E95" s="29"/>
      <c r="F95" s="22"/>
      <c r="G95" s="32">
        <f t="shared" ref="G95:AF95" si="77">G$49*$D$95</f>
        <v>1.0146669453734669</v>
      </c>
      <c r="H95" s="33">
        <f t="shared" si="77"/>
        <v>2.0293338907469338</v>
      </c>
      <c r="I95" s="33">
        <f t="shared" si="77"/>
        <v>4.0586677814938676</v>
      </c>
      <c r="J95" s="33">
        <f t="shared" si="77"/>
        <v>8.1173355629877353</v>
      </c>
      <c r="K95" s="33">
        <f t="shared" si="77"/>
        <v>16.234671125975471</v>
      </c>
      <c r="L95" s="33">
        <f t="shared" si="77"/>
        <v>32.469342251950941</v>
      </c>
      <c r="M95" s="33">
        <f t="shared" si="77"/>
        <v>64.938684503901882</v>
      </c>
      <c r="N95" s="33">
        <f t="shared" si="77"/>
        <v>129.87736900780376</v>
      </c>
      <c r="O95" s="33">
        <f t="shared" si="77"/>
        <v>194.81605351170566</v>
      </c>
      <c r="P95" s="33">
        <f t="shared" si="77"/>
        <v>214.29765886287623</v>
      </c>
      <c r="Q95" s="33">
        <f t="shared" si="77"/>
        <v>227.28539576365662</v>
      </c>
      <c r="R95" s="33">
        <f t="shared" si="77"/>
        <v>240.27313266443699</v>
      </c>
      <c r="S95" s="33">
        <f t="shared" si="77"/>
        <v>253.26086956521738</v>
      </c>
      <c r="T95" s="33">
        <f t="shared" si="77"/>
        <v>259.75473801560753</v>
      </c>
      <c r="U95" s="33">
        <f t="shared" si="77"/>
        <v>519.50947603121506</v>
      </c>
      <c r="V95" s="33">
        <f t="shared" si="77"/>
        <v>1039.0189520624301</v>
      </c>
      <c r="W95" s="33">
        <f t="shared" si="77"/>
        <v>2078.0379041248602</v>
      </c>
      <c r="X95" s="33">
        <f t="shared" si="77"/>
        <v>4156.0758082497205</v>
      </c>
      <c r="Y95" s="33">
        <f t="shared" si="77"/>
        <v>8312.1516164994409</v>
      </c>
      <c r="Z95" s="33">
        <f t="shared" si="77"/>
        <v>16624.303232998882</v>
      </c>
      <c r="AA95" s="33">
        <f t="shared" si="77"/>
        <v>33248.606465997764</v>
      </c>
      <c r="AB95" s="33">
        <f t="shared" si="77"/>
        <v>66497.212931995527</v>
      </c>
      <c r="AC95" s="33">
        <f t="shared" si="77"/>
        <v>132994.42586399105</v>
      </c>
      <c r="AD95" s="84">
        <f t="shared" si="77"/>
        <v>265988.85172798211</v>
      </c>
      <c r="AE95" s="33">
        <f t="shared" si="77"/>
        <v>531977.70345596422</v>
      </c>
      <c r="AF95" s="84">
        <f t="shared" si="77"/>
        <v>832319.11928651051</v>
      </c>
      <c r="AG95" s="57"/>
    </row>
    <row r="96" spans="1:33" x14ac:dyDescent="0.25">
      <c r="A96" s="54"/>
      <c r="B96" s="18"/>
      <c r="C96" s="22"/>
      <c r="D96" s="20"/>
      <c r="E96" s="39">
        <f>'AU Infection Rate by Age'!F25</f>
        <v>0</v>
      </c>
      <c r="F96" s="22"/>
      <c r="G96" s="41">
        <f t="shared" ref="G96:AF96" si="78">G$49*$D$95*$E$96</f>
        <v>0</v>
      </c>
      <c r="H96" s="42">
        <f t="shared" si="78"/>
        <v>0</v>
      </c>
      <c r="I96" s="42">
        <f t="shared" si="78"/>
        <v>0</v>
      </c>
      <c r="J96" s="42">
        <f t="shared" si="78"/>
        <v>0</v>
      </c>
      <c r="K96" s="42">
        <f t="shared" si="78"/>
        <v>0</v>
      </c>
      <c r="L96" s="42">
        <f t="shared" si="78"/>
        <v>0</v>
      </c>
      <c r="M96" s="42">
        <f t="shared" si="78"/>
        <v>0</v>
      </c>
      <c r="N96" s="42">
        <f t="shared" si="78"/>
        <v>0</v>
      </c>
      <c r="O96" s="42">
        <f t="shared" si="78"/>
        <v>0</v>
      </c>
      <c r="P96" s="42">
        <f t="shared" si="78"/>
        <v>0</v>
      </c>
      <c r="Q96" s="42">
        <f t="shared" si="78"/>
        <v>0</v>
      </c>
      <c r="R96" s="42">
        <f t="shared" si="78"/>
        <v>0</v>
      </c>
      <c r="S96" s="42">
        <f t="shared" si="78"/>
        <v>0</v>
      </c>
      <c r="T96" s="42">
        <f t="shared" si="78"/>
        <v>0</v>
      </c>
      <c r="U96" s="42">
        <f t="shared" si="78"/>
        <v>0</v>
      </c>
      <c r="V96" s="42">
        <f t="shared" si="78"/>
        <v>0</v>
      </c>
      <c r="W96" s="42">
        <f t="shared" si="78"/>
        <v>0</v>
      </c>
      <c r="X96" s="42">
        <f t="shared" si="78"/>
        <v>0</v>
      </c>
      <c r="Y96" s="42">
        <f t="shared" si="78"/>
        <v>0</v>
      </c>
      <c r="Z96" s="42">
        <f t="shared" si="78"/>
        <v>0</v>
      </c>
      <c r="AA96" s="42">
        <f t="shared" si="78"/>
        <v>0</v>
      </c>
      <c r="AB96" s="42">
        <f t="shared" si="78"/>
        <v>0</v>
      </c>
      <c r="AC96" s="42">
        <f t="shared" si="78"/>
        <v>0</v>
      </c>
      <c r="AD96" s="83">
        <f t="shared" si="78"/>
        <v>0</v>
      </c>
      <c r="AE96" s="42">
        <f t="shared" si="78"/>
        <v>0</v>
      </c>
      <c r="AF96" s="83">
        <f t="shared" si="78"/>
        <v>0</v>
      </c>
      <c r="AG96" s="57"/>
    </row>
    <row r="97" spans="1:33" x14ac:dyDescent="0.25">
      <c r="A97" s="54" t="s">
        <v>21</v>
      </c>
      <c r="B97" s="18">
        <f>'ABS Population by Age Range'!D13</f>
        <v>0.1255958322404806</v>
      </c>
      <c r="C97" s="22">
        <f t="shared" si="64"/>
        <v>3219523.5636524796</v>
      </c>
      <c r="D97" s="35">
        <f>'AU Infection Rate by Age'!E12</f>
        <v>1.4214046822742474E-2</v>
      </c>
      <c r="E97" s="29"/>
      <c r="F97" s="22"/>
      <c r="G97" s="32">
        <f t="shared" ref="G97:AF97" si="79">G$49*$D$97</f>
        <v>0.44418896321070234</v>
      </c>
      <c r="H97" s="33">
        <f t="shared" si="79"/>
        <v>0.88837792642140467</v>
      </c>
      <c r="I97" s="33">
        <f t="shared" si="79"/>
        <v>1.7767558528428093</v>
      </c>
      <c r="J97" s="33">
        <f t="shared" si="79"/>
        <v>3.5535117056856187</v>
      </c>
      <c r="K97" s="33">
        <f t="shared" si="79"/>
        <v>7.1070234113712374</v>
      </c>
      <c r="L97" s="33">
        <f t="shared" si="79"/>
        <v>14.214046822742475</v>
      </c>
      <c r="M97" s="33">
        <f t="shared" si="79"/>
        <v>28.42809364548495</v>
      </c>
      <c r="N97" s="33">
        <f t="shared" si="79"/>
        <v>56.856187290969899</v>
      </c>
      <c r="O97" s="33">
        <f t="shared" si="79"/>
        <v>85.284280936454849</v>
      </c>
      <c r="P97" s="33">
        <f t="shared" si="79"/>
        <v>93.812709030100322</v>
      </c>
      <c r="Q97" s="33">
        <f t="shared" si="79"/>
        <v>99.498327759197323</v>
      </c>
      <c r="R97" s="33">
        <f t="shared" si="79"/>
        <v>105.18394648829431</v>
      </c>
      <c r="S97" s="33">
        <f t="shared" si="79"/>
        <v>110.8695652173913</v>
      </c>
      <c r="T97" s="33">
        <f t="shared" si="79"/>
        <v>113.7123745819398</v>
      </c>
      <c r="U97" s="33">
        <f t="shared" si="79"/>
        <v>227.4247491638796</v>
      </c>
      <c r="V97" s="33">
        <f t="shared" si="79"/>
        <v>454.84949832775919</v>
      </c>
      <c r="W97" s="33">
        <f t="shared" si="79"/>
        <v>909.69899665551839</v>
      </c>
      <c r="X97" s="33">
        <f t="shared" si="79"/>
        <v>1819.3979933110368</v>
      </c>
      <c r="Y97" s="33">
        <f t="shared" si="79"/>
        <v>3638.7959866220735</v>
      </c>
      <c r="Z97" s="33">
        <f t="shared" si="79"/>
        <v>7277.5919732441471</v>
      </c>
      <c r="AA97" s="33">
        <f t="shared" si="79"/>
        <v>14555.183946488294</v>
      </c>
      <c r="AB97" s="33">
        <f t="shared" si="79"/>
        <v>29110.367892976588</v>
      </c>
      <c r="AC97" s="33">
        <f t="shared" si="79"/>
        <v>58220.735785953177</v>
      </c>
      <c r="AD97" s="84">
        <f t="shared" si="79"/>
        <v>116441.47157190635</v>
      </c>
      <c r="AE97" s="33">
        <f t="shared" si="79"/>
        <v>232882.94314381271</v>
      </c>
      <c r="AF97" s="84">
        <f t="shared" si="79"/>
        <v>364362.87625418056</v>
      </c>
      <c r="AG97" s="57"/>
    </row>
    <row r="98" spans="1:33" x14ac:dyDescent="0.25">
      <c r="A98" s="54"/>
      <c r="B98" s="19"/>
      <c r="C98" s="23"/>
      <c r="D98" s="38"/>
      <c r="E98" s="40">
        <f>'AU Infection Rate by Age'!F26</f>
        <v>0</v>
      </c>
      <c r="F98" s="22"/>
      <c r="G98" s="41">
        <f t="shared" ref="G98:AF98" si="80">G$49*$D$97*$E$98</f>
        <v>0</v>
      </c>
      <c r="H98" s="42">
        <f t="shared" si="80"/>
        <v>0</v>
      </c>
      <c r="I98" s="42">
        <f t="shared" si="80"/>
        <v>0</v>
      </c>
      <c r="J98" s="42">
        <f t="shared" si="80"/>
        <v>0</v>
      </c>
      <c r="K98" s="42">
        <f t="shared" si="80"/>
        <v>0</v>
      </c>
      <c r="L98" s="42">
        <f t="shared" si="80"/>
        <v>0</v>
      </c>
      <c r="M98" s="42">
        <f t="shared" si="80"/>
        <v>0</v>
      </c>
      <c r="N98" s="42">
        <f t="shared" si="80"/>
        <v>0</v>
      </c>
      <c r="O98" s="42">
        <f t="shared" si="80"/>
        <v>0</v>
      </c>
      <c r="P98" s="42">
        <f t="shared" si="80"/>
        <v>0</v>
      </c>
      <c r="Q98" s="42">
        <f t="shared" si="80"/>
        <v>0</v>
      </c>
      <c r="R98" s="42">
        <f t="shared" si="80"/>
        <v>0</v>
      </c>
      <c r="S98" s="42">
        <f t="shared" si="80"/>
        <v>0</v>
      </c>
      <c r="T98" s="42">
        <f t="shared" si="80"/>
        <v>0</v>
      </c>
      <c r="U98" s="42">
        <f t="shared" si="80"/>
        <v>0</v>
      </c>
      <c r="V98" s="42">
        <f t="shared" si="80"/>
        <v>0</v>
      </c>
      <c r="W98" s="42">
        <f t="shared" si="80"/>
        <v>0</v>
      </c>
      <c r="X98" s="42">
        <f t="shared" si="80"/>
        <v>0</v>
      </c>
      <c r="Y98" s="42">
        <f t="shared" si="80"/>
        <v>0</v>
      </c>
      <c r="Z98" s="42">
        <f t="shared" si="80"/>
        <v>0</v>
      </c>
      <c r="AA98" s="42">
        <f t="shared" si="80"/>
        <v>0</v>
      </c>
      <c r="AB98" s="42">
        <f t="shared" si="80"/>
        <v>0</v>
      </c>
      <c r="AC98" s="42">
        <f t="shared" si="80"/>
        <v>0</v>
      </c>
      <c r="AD98" s="83">
        <f t="shared" si="80"/>
        <v>0</v>
      </c>
      <c r="AE98" s="44">
        <f t="shared" si="80"/>
        <v>0</v>
      </c>
      <c r="AF98" s="85">
        <f t="shared" si="80"/>
        <v>0</v>
      </c>
      <c r="AG98" s="57"/>
    </row>
    <row r="99" spans="1:33" x14ac:dyDescent="0.25">
      <c r="A99" s="53" t="s">
        <v>131</v>
      </c>
      <c r="B99" s="26"/>
      <c r="C99" s="22"/>
      <c r="D99" s="22"/>
      <c r="E99" s="27"/>
      <c r="F99" s="22"/>
      <c r="G99" s="30">
        <f t="shared" ref="G99:AB99" si="81">SUM(G81,G83,G85,G87,G89,G91,G93,G95,G97)</f>
        <v>31.249999999999996</v>
      </c>
      <c r="H99" s="31">
        <f t="shared" si="81"/>
        <v>62.499999999999993</v>
      </c>
      <c r="I99" s="31">
        <f t="shared" si="81"/>
        <v>124.99999999999999</v>
      </c>
      <c r="J99" s="31">
        <f t="shared" si="81"/>
        <v>249.99999999999997</v>
      </c>
      <c r="K99" s="31">
        <f t="shared" si="81"/>
        <v>499.99999999999994</v>
      </c>
      <c r="L99" s="31">
        <f>SUM(L81,L83,L85,L87,L89,L91,L93,L95,L97)</f>
        <v>999.99999999999989</v>
      </c>
      <c r="M99" s="31">
        <f t="shared" si="81"/>
        <v>1999.9999999999998</v>
      </c>
      <c r="N99" s="31">
        <f t="shared" si="81"/>
        <v>3999.9999999999995</v>
      </c>
      <c r="O99" s="31">
        <f t="shared" ref="O99:S99" si="82">SUM(O81,O83,O85,O87,O89,O91,O93,O95,O97)</f>
        <v>6000</v>
      </c>
      <c r="P99" s="31">
        <f t="shared" si="82"/>
        <v>6600</v>
      </c>
      <c r="Q99" s="31">
        <f t="shared" ref="Q99:R99" si="83">SUM(Q81,Q83,Q85,Q87,Q89,Q91,Q93,Q95,Q97)</f>
        <v>7000</v>
      </c>
      <c r="R99" s="31">
        <f t="shared" si="83"/>
        <v>7400</v>
      </c>
      <c r="S99" s="31">
        <f t="shared" si="82"/>
        <v>7800</v>
      </c>
      <c r="T99" s="31">
        <f t="shared" si="81"/>
        <v>7999.9999999999991</v>
      </c>
      <c r="U99" s="31">
        <f t="shared" si="81"/>
        <v>15999.999999999998</v>
      </c>
      <c r="V99" s="31">
        <f t="shared" si="81"/>
        <v>31999.999999999996</v>
      </c>
      <c r="W99" s="31">
        <f t="shared" si="81"/>
        <v>63999.999999999993</v>
      </c>
      <c r="X99" s="31">
        <f t="shared" si="81"/>
        <v>127999.99999999999</v>
      </c>
      <c r="Y99" s="31">
        <f t="shared" si="81"/>
        <v>255999.99999999997</v>
      </c>
      <c r="Z99" s="31">
        <f t="shared" si="81"/>
        <v>511999.99999999994</v>
      </c>
      <c r="AA99" s="31">
        <f t="shared" si="81"/>
        <v>1023999.9999999999</v>
      </c>
      <c r="AB99" s="31">
        <f t="shared" si="81"/>
        <v>2047999.9999999998</v>
      </c>
      <c r="AC99" s="31">
        <f t="shared" ref="AC99:AF100" si="84">SUM(AC81,AC83,AC85,AC87,AC89,AC91,AC93,AC95,AC97)</f>
        <v>4095999.9999999995</v>
      </c>
      <c r="AD99" s="72">
        <f t="shared" si="84"/>
        <v>8191999.9999999991</v>
      </c>
      <c r="AE99" s="31">
        <f t="shared" si="84"/>
        <v>16383999.999999998</v>
      </c>
      <c r="AF99" s="72">
        <f t="shared" si="84"/>
        <v>25634000.000000004</v>
      </c>
      <c r="AG99" s="57"/>
    </row>
    <row r="100" spans="1:33" x14ac:dyDescent="0.25">
      <c r="A100" s="55" t="s">
        <v>130</v>
      </c>
      <c r="B100" s="56"/>
      <c r="C100" s="23"/>
      <c r="D100" s="23"/>
      <c r="E100" s="50"/>
      <c r="F100" s="23"/>
      <c r="G100" s="43">
        <f>SUM(G82,G84,G86,G88,G90,G92,G94,G96,G98)</f>
        <v>0.44418896321070234</v>
      </c>
      <c r="H100" s="44">
        <f>SUM(H82,H84,H86,H88,H90,H92,H94,H96,H98)</f>
        <v>0.88837792642140467</v>
      </c>
      <c r="I100" s="44">
        <f t="shared" ref="I100:AB100" si="85">SUM(I82,I84,I86,I88,I90,I92,I94,I96,I98)</f>
        <v>1.7767558528428093</v>
      </c>
      <c r="J100" s="44">
        <f t="shared" si="85"/>
        <v>3.5535117056856187</v>
      </c>
      <c r="K100" s="44">
        <f t="shared" si="85"/>
        <v>7.1070234113712374</v>
      </c>
      <c r="L100" s="44">
        <f t="shared" si="85"/>
        <v>14.214046822742475</v>
      </c>
      <c r="M100" s="44">
        <f t="shared" si="85"/>
        <v>28.42809364548495</v>
      </c>
      <c r="N100" s="44">
        <f t="shared" si="85"/>
        <v>56.856187290969899</v>
      </c>
      <c r="O100" s="44">
        <f t="shared" ref="O100:S100" si="86">SUM(O82,O84,O86,O88,O90,O92,O94,O96,O98)</f>
        <v>85.284280936454863</v>
      </c>
      <c r="P100" s="44">
        <f>SUM(P82,P84,P86,P88,P90,P92,P94,P96,P98)</f>
        <v>93.812709030100336</v>
      </c>
      <c r="Q100" s="44">
        <f t="shared" ref="Q100:R100" si="87">SUM(Q82,Q84,Q86,Q88,Q90,Q92,Q94,Q96,Q98)</f>
        <v>99.498327759197323</v>
      </c>
      <c r="R100" s="44">
        <f t="shared" si="87"/>
        <v>105.18394648829432</v>
      </c>
      <c r="S100" s="44">
        <f t="shared" si="86"/>
        <v>110.8695652173913</v>
      </c>
      <c r="T100" s="44">
        <f t="shared" si="85"/>
        <v>113.7123745819398</v>
      </c>
      <c r="U100" s="44">
        <f t="shared" si="85"/>
        <v>227.4247491638796</v>
      </c>
      <c r="V100" s="44">
        <f t="shared" si="85"/>
        <v>454.84949832775919</v>
      </c>
      <c r="W100" s="44">
        <f t="shared" si="85"/>
        <v>909.69899665551839</v>
      </c>
      <c r="X100" s="44">
        <f t="shared" si="85"/>
        <v>1819.3979933110368</v>
      </c>
      <c r="Y100" s="44">
        <f t="shared" si="85"/>
        <v>3638.7959866220735</v>
      </c>
      <c r="Z100" s="44">
        <f t="shared" si="85"/>
        <v>7277.5919732441471</v>
      </c>
      <c r="AA100" s="44">
        <f t="shared" si="85"/>
        <v>14555.183946488294</v>
      </c>
      <c r="AB100" s="44">
        <f t="shared" si="85"/>
        <v>29110.367892976588</v>
      </c>
      <c r="AC100" s="44">
        <f t="shared" si="84"/>
        <v>58220.735785953177</v>
      </c>
      <c r="AD100" s="85">
        <f t="shared" si="84"/>
        <v>116441.47157190635</v>
      </c>
      <c r="AE100" s="44">
        <f t="shared" si="84"/>
        <v>232882.94314381271</v>
      </c>
      <c r="AF100" s="85">
        <f t="shared" si="84"/>
        <v>364362.87625418062</v>
      </c>
      <c r="AG100" s="57"/>
    </row>
    <row r="101" spans="1:33" x14ac:dyDescent="0.25">
      <c r="A101" s="54"/>
      <c r="B101" s="26"/>
      <c r="C101" s="22"/>
      <c r="D101" s="22"/>
      <c r="E101" s="27"/>
      <c r="F101" s="22"/>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spans="1:33" x14ac:dyDescent="0.25">
      <c r="A102" s="66" t="s">
        <v>142</v>
      </c>
      <c r="B102" s="26"/>
      <c r="C102" s="22"/>
      <c r="D102" s="22"/>
      <c r="E102" s="27"/>
      <c r="F102" s="22"/>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spans="1:33" x14ac:dyDescent="0.25">
      <c r="A103" s="16"/>
      <c r="B103" s="21" t="s">
        <v>6</v>
      </c>
      <c r="C103" s="21" t="s">
        <v>4</v>
      </c>
      <c r="D103" s="21"/>
      <c r="E103" s="71" t="s">
        <v>3</v>
      </c>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17"/>
      <c r="AG103" s="59"/>
    </row>
    <row r="104" spans="1:33" x14ac:dyDescent="0.25">
      <c r="A104" s="53" t="s">
        <v>2</v>
      </c>
      <c r="B104" s="36">
        <v>0.05</v>
      </c>
      <c r="C104" s="22">
        <f>$B$35 * B104</f>
        <v>1281700</v>
      </c>
      <c r="D104" s="28"/>
      <c r="E104" s="28"/>
      <c r="F104" s="28"/>
      <c r="G104" s="30">
        <f t="shared" ref="G104:AF104" si="88">G$49*$B$104</f>
        <v>1.5625</v>
      </c>
      <c r="H104" s="31">
        <f t="shared" si="88"/>
        <v>3.125</v>
      </c>
      <c r="I104" s="31">
        <f t="shared" si="88"/>
        <v>6.25</v>
      </c>
      <c r="J104" s="31">
        <f t="shared" si="88"/>
        <v>12.5</v>
      </c>
      <c r="K104" s="31">
        <f t="shared" si="88"/>
        <v>25</v>
      </c>
      <c r="L104" s="31">
        <f t="shared" si="88"/>
        <v>50</v>
      </c>
      <c r="M104" s="31">
        <f t="shared" si="88"/>
        <v>100</v>
      </c>
      <c r="N104" s="31">
        <f t="shared" si="88"/>
        <v>200</v>
      </c>
      <c r="O104" s="31">
        <f t="shared" si="88"/>
        <v>300</v>
      </c>
      <c r="P104" s="31">
        <f t="shared" si="88"/>
        <v>330</v>
      </c>
      <c r="Q104" s="31">
        <f t="shared" si="88"/>
        <v>350</v>
      </c>
      <c r="R104" s="31">
        <f t="shared" si="88"/>
        <v>370</v>
      </c>
      <c r="S104" s="31">
        <f t="shared" si="88"/>
        <v>390</v>
      </c>
      <c r="T104" s="31">
        <f t="shared" si="88"/>
        <v>400</v>
      </c>
      <c r="U104" s="31">
        <f t="shared" si="88"/>
        <v>800</v>
      </c>
      <c r="V104" s="31">
        <f t="shared" si="88"/>
        <v>1600</v>
      </c>
      <c r="W104" s="31">
        <f t="shared" si="88"/>
        <v>3200</v>
      </c>
      <c r="X104" s="31">
        <f t="shared" si="88"/>
        <v>6400</v>
      </c>
      <c r="Y104" s="31">
        <f t="shared" si="88"/>
        <v>12800</v>
      </c>
      <c r="Z104" s="31">
        <f t="shared" si="88"/>
        <v>25600</v>
      </c>
      <c r="AA104" s="31">
        <f t="shared" si="88"/>
        <v>51200</v>
      </c>
      <c r="AB104" s="31">
        <f t="shared" si="88"/>
        <v>102400</v>
      </c>
      <c r="AC104" s="31">
        <f t="shared" si="88"/>
        <v>204800</v>
      </c>
      <c r="AD104" s="72">
        <f t="shared" si="88"/>
        <v>409600</v>
      </c>
      <c r="AE104" s="31">
        <f t="shared" si="88"/>
        <v>819200</v>
      </c>
      <c r="AF104" s="72">
        <f t="shared" si="88"/>
        <v>1281700</v>
      </c>
      <c r="AG104" s="57"/>
    </row>
    <row r="105" spans="1:33" x14ac:dyDescent="0.25">
      <c r="A105" s="53"/>
      <c r="B105" s="28"/>
      <c r="C105" s="28"/>
      <c r="D105" s="37"/>
      <c r="E105" s="58">
        <v>0.105</v>
      </c>
      <c r="F105" s="28"/>
      <c r="G105" s="41">
        <f>G104*$E$105</f>
        <v>0.1640625</v>
      </c>
      <c r="H105" s="42">
        <f t="shared" ref="H105:AB105" si="89">H104*$E$105</f>
        <v>0.328125</v>
      </c>
      <c r="I105" s="42">
        <f t="shared" si="89"/>
        <v>0.65625</v>
      </c>
      <c r="J105" s="42">
        <f t="shared" si="89"/>
        <v>1.3125</v>
      </c>
      <c r="K105" s="42">
        <f t="shared" si="89"/>
        <v>2.625</v>
      </c>
      <c r="L105" s="42">
        <f t="shared" si="89"/>
        <v>5.25</v>
      </c>
      <c r="M105" s="42">
        <f t="shared" si="89"/>
        <v>10.5</v>
      </c>
      <c r="N105" s="42">
        <f t="shared" si="89"/>
        <v>21</v>
      </c>
      <c r="O105" s="42">
        <f t="shared" ref="O105:S105" si="90">O104*$E$105</f>
        <v>31.5</v>
      </c>
      <c r="P105" s="42">
        <f t="shared" si="90"/>
        <v>34.65</v>
      </c>
      <c r="Q105" s="42">
        <f t="shared" ref="Q105:R105" si="91">Q104*$E$105</f>
        <v>36.75</v>
      </c>
      <c r="R105" s="42">
        <f t="shared" si="91"/>
        <v>38.85</v>
      </c>
      <c r="S105" s="42">
        <f t="shared" si="90"/>
        <v>40.949999999999996</v>
      </c>
      <c r="T105" s="42">
        <f t="shared" si="89"/>
        <v>42</v>
      </c>
      <c r="U105" s="42">
        <f t="shared" si="89"/>
        <v>84</v>
      </c>
      <c r="V105" s="42">
        <f t="shared" si="89"/>
        <v>168</v>
      </c>
      <c r="W105" s="42">
        <f t="shared" si="89"/>
        <v>336</v>
      </c>
      <c r="X105" s="42">
        <f t="shared" si="89"/>
        <v>672</v>
      </c>
      <c r="Y105" s="42">
        <f t="shared" si="89"/>
        <v>1344</v>
      </c>
      <c r="Z105" s="42">
        <f t="shared" si="89"/>
        <v>2688</v>
      </c>
      <c r="AA105" s="42">
        <f t="shared" si="89"/>
        <v>5376</v>
      </c>
      <c r="AB105" s="42">
        <f t="shared" si="89"/>
        <v>10752</v>
      </c>
      <c r="AC105" s="42">
        <f>AC104*$E$105</f>
        <v>21504</v>
      </c>
      <c r="AD105" s="83">
        <f>AD104*$E$105</f>
        <v>43008</v>
      </c>
      <c r="AE105" s="42">
        <f>AE104*$E$105</f>
        <v>86016</v>
      </c>
      <c r="AF105" s="83">
        <f>AF104*$E$105</f>
        <v>134578.5</v>
      </c>
      <c r="AG105" s="57"/>
    </row>
    <row r="106" spans="1:33" x14ac:dyDescent="0.25">
      <c r="A106" s="53" t="s">
        <v>5</v>
      </c>
      <c r="B106" s="36">
        <v>4.9000000000000002E-2</v>
      </c>
      <c r="C106" s="22">
        <f>$B$35 * B106</f>
        <v>1256066</v>
      </c>
      <c r="D106" s="59"/>
      <c r="E106" s="28"/>
      <c r="F106" s="28"/>
      <c r="G106" s="32">
        <f t="shared" ref="G106:AF106" si="92">G$49*$B$106</f>
        <v>1.53125</v>
      </c>
      <c r="H106" s="33">
        <f t="shared" si="92"/>
        <v>3.0625</v>
      </c>
      <c r="I106" s="33">
        <f t="shared" si="92"/>
        <v>6.125</v>
      </c>
      <c r="J106" s="33">
        <f t="shared" si="92"/>
        <v>12.25</v>
      </c>
      <c r="K106" s="33">
        <f t="shared" si="92"/>
        <v>24.5</v>
      </c>
      <c r="L106" s="33">
        <f t="shared" si="92"/>
        <v>49</v>
      </c>
      <c r="M106" s="33">
        <f t="shared" si="92"/>
        <v>98</v>
      </c>
      <c r="N106" s="33">
        <f t="shared" si="92"/>
        <v>196</v>
      </c>
      <c r="O106" s="33">
        <f t="shared" si="92"/>
        <v>294</v>
      </c>
      <c r="P106" s="33">
        <f t="shared" si="92"/>
        <v>323.40000000000003</v>
      </c>
      <c r="Q106" s="33">
        <f t="shared" si="92"/>
        <v>343</v>
      </c>
      <c r="R106" s="33">
        <f t="shared" si="92"/>
        <v>362.6</v>
      </c>
      <c r="S106" s="33">
        <f t="shared" si="92"/>
        <v>382.2</v>
      </c>
      <c r="T106" s="33">
        <f t="shared" si="92"/>
        <v>392</v>
      </c>
      <c r="U106" s="33">
        <f t="shared" si="92"/>
        <v>784</v>
      </c>
      <c r="V106" s="33">
        <f t="shared" si="92"/>
        <v>1568</v>
      </c>
      <c r="W106" s="33">
        <f t="shared" si="92"/>
        <v>3136</v>
      </c>
      <c r="X106" s="33">
        <f t="shared" si="92"/>
        <v>6272</v>
      </c>
      <c r="Y106" s="33">
        <f t="shared" si="92"/>
        <v>12544</v>
      </c>
      <c r="Z106" s="33">
        <f t="shared" si="92"/>
        <v>25088</v>
      </c>
      <c r="AA106" s="33">
        <f t="shared" si="92"/>
        <v>50176</v>
      </c>
      <c r="AB106" s="33">
        <f t="shared" si="92"/>
        <v>100352</v>
      </c>
      <c r="AC106" s="33">
        <f t="shared" si="92"/>
        <v>200704</v>
      </c>
      <c r="AD106" s="84">
        <f t="shared" si="92"/>
        <v>401408</v>
      </c>
      <c r="AE106" s="33">
        <f t="shared" si="92"/>
        <v>802816</v>
      </c>
      <c r="AF106" s="84">
        <f t="shared" si="92"/>
        <v>1256066</v>
      </c>
      <c r="AG106" s="57"/>
    </row>
    <row r="107" spans="1:33" x14ac:dyDescent="0.25">
      <c r="A107" s="53"/>
      <c r="B107" s="28"/>
      <c r="C107" s="28"/>
      <c r="D107" s="37"/>
      <c r="E107" s="58">
        <v>7.2999999999999995E-2</v>
      </c>
      <c r="F107" s="28"/>
      <c r="G107" s="41">
        <f t="shared" ref="G107:AB107" si="93">G106*$E$107</f>
        <v>0.11178125</v>
      </c>
      <c r="H107" s="42">
        <f t="shared" si="93"/>
        <v>0.2235625</v>
      </c>
      <c r="I107" s="42">
        <f t="shared" si="93"/>
        <v>0.44712499999999999</v>
      </c>
      <c r="J107" s="42">
        <f t="shared" si="93"/>
        <v>0.89424999999999999</v>
      </c>
      <c r="K107" s="42">
        <f t="shared" si="93"/>
        <v>1.7885</v>
      </c>
      <c r="L107" s="42">
        <f t="shared" si="93"/>
        <v>3.577</v>
      </c>
      <c r="M107" s="42">
        <f t="shared" si="93"/>
        <v>7.1539999999999999</v>
      </c>
      <c r="N107" s="42">
        <f t="shared" si="93"/>
        <v>14.308</v>
      </c>
      <c r="O107" s="42">
        <f t="shared" ref="O107:S107" si="94">O106*$E$107</f>
        <v>21.462</v>
      </c>
      <c r="P107" s="42">
        <f t="shared" si="94"/>
        <v>23.6082</v>
      </c>
      <c r="Q107" s="42">
        <f t="shared" ref="Q107:R107" si="95">Q106*$E$107</f>
        <v>25.038999999999998</v>
      </c>
      <c r="R107" s="42">
        <f t="shared" si="95"/>
        <v>26.469799999999999</v>
      </c>
      <c r="S107" s="42">
        <f t="shared" si="94"/>
        <v>27.900599999999997</v>
      </c>
      <c r="T107" s="42">
        <f t="shared" si="93"/>
        <v>28.616</v>
      </c>
      <c r="U107" s="42">
        <f t="shared" si="93"/>
        <v>57.231999999999999</v>
      </c>
      <c r="V107" s="42">
        <f t="shared" si="93"/>
        <v>114.464</v>
      </c>
      <c r="W107" s="42">
        <f t="shared" si="93"/>
        <v>228.928</v>
      </c>
      <c r="X107" s="42">
        <f t="shared" si="93"/>
        <v>457.85599999999999</v>
      </c>
      <c r="Y107" s="42">
        <f t="shared" si="93"/>
        <v>915.71199999999999</v>
      </c>
      <c r="Z107" s="42">
        <f t="shared" si="93"/>
        <v>1831.424</v>
      </c>
      <c r="AA107" s="42">
        <f t="shared" si="93"/>
        <v>3662.848</v>
      </c>
      <c r="AB107" s="42">
        <f t="shared" si="93"/>
        <v>7325.6959999999999</v>
      </c>
      <c r="AC107" s="42">
        <f>AC106*$E$107</f>
        <v>14651.392</v>
      </c>
      <c r="AD107" s="83">
        <f>AD106*$E$107</f>
        <v>29302.784</v>
      </c>
      <c r="AE107" s="42">
        <f>AE106*$E$107</f>
        <v>58605.567999999999</v>
      </c>
      <c r="AF107" s="83">
        <f>AF106*$E$107</f>
        <v>91692.817999999999</v>
      </c>
      <c r="AG107" s="57"/>
    </row>
    <row r="108" spans="1:33" x14ac:dyDescent="0.25">
      <c r="A108" s="53" t="s">
        <v>7</v>
      </c>
      <c r="B108" s="36">
        <v>0.31</v>
      </c>
      <c r="C108" s="22">
        <f>$B$35 * B108</f>
        <v>7946540</v>
      </c>
      <c r="D108" s="59"/>
      <c r="E108" s="28"/>
      <c r="F108" s="28"/>
      <c r="G108" s="32">
        <f t="shared" ref="G108:AF108" si="96">G$49*$B$108</f>
        <v>9.6875</v>
      </c>
      <c r="H108" s="33">
        <f t="shared" si="96"/>
        <v>19.375</v>
      </c>
      <c r="I108" s="33">
        <f t="shared" si="96"/>
        <v>38.75</v>
      </c>
      <c r="J108" s="33">
        <f t="shared" si="96"/>
        <v>77.5</v>
      </c>
      <c r="K108" s="33">
        <f t="shared" si="96"/>
        <v>155</v>
      </c>
      <c r="L108" s="33">
        <f t="shared" si="96"/>
        <v>310</v>
      </c>
      <c r="M108" s="33">
        <f t="shared" si="96"/>
        <v>620</v>
      </c>
      <c r="N108" s="33">
        <f t="shared" si="96"/>
        <v>1240</v>
      </c>
      <c r="O108" s="33">
        <f t="shared" si="96"/>
        <v>1860</v>
      </c>
      <c r="P108" s="33">
        <f t="shared" si="96"/>
        <v>2046</v>
      </c>
      <c r="Q108" s="33">
        <f t="shared" si="96"/>
        <v>2170</v>
      </c>
      <c r="R108" s="33">
        <f t="shared" si="96"/>
        <v>2294</v>
      </c>
      <c r="S108" s="33">
        <f t="shared" si="96"/>
        <v>2418</v>
      </c>
      <c r="T108" s="33">
        <f t="shared" si="96"/>
        <v>2480</v>
      </c>
      <c r="U108" s="33">
        <f t="shared" si="96"/>
        <v>4960</v>
      </c>
      <c r="V108" s="33">
        <f t="shared" si="96"/>
        <v>9920</v>
      </c>
      <c r="W108" s="33">
        <f t="shared" si="96"/>
        <v>19840</v>
      </c>
      <c r="X108" s="33">
        <f t="shared" si="96"/>
        <v>39680</v>
      </c>
      <c r="Y108" s="33">
        <f t="shared" si="96"/>
        <v>79360</v>
      </c>
      <c r="Z108" s="33">
        <f t="shared" si="96"/>
        <v>158720</v>
      </c>
      <c r="AA108" s="33">
        <f t="shared" si="96"/>
        <v>317440</v>
      </c>
      <c r="AB108" s="33">
        <f t="shared" si="96"/>
        <v>634880</v>
      </c>
      <c r="AC108" s="33">
        <f t="shared" si="96"/>
        <v>1269760</v>
      </c>
      <c r="AD108" s="84">
        <f t="shared" si="96"/>
        <v>2539520</v>
      </c>
      <c r="AE108" s="33">
        <f t="shared" si="96"/>
        <v>5079040</v>
      </c>
      <c r="AF108" s="84">
        <f t="shared" si="96"/>
        <v>7946540</v>
      </c>
      <c r="AG108" s="57"/>
    </row>
    <row r="109" spans="1:33" x14ac:dyDescent="0.25">
      <c r="A109" s="53"/>
      <c r="B109" s="28"/>
      <c r="C109" s="28"/>
      <c r="D109" s="37"/>
      <c r="E109" s="58">
        <v>6.3E-2</v>
      </c>
      <c r="F109" s="28"/>
      <c r="G109" s="41">
        <f t="shared" ref="G109:AB109" si="97">G108*$E$109</f>
        <v>0.61031250000000004</v>
      </c>
      <c r="H109" s="42">
        <f t="shared" si="97"/>
        <v>1.2206250000000001</v>
      </c>
      <c r="I109" s="42">
        <f t="shared" si="97"/>
        <v>2.4412500000000001</v>
      </c>
      <c r="J109" s="42">
        <f t="shared" si="97"/>
        <v>4.8825000000000003</v>
      </c>
      <c r="K109" s="42">
        <f t="shared" si="97"/>
        <v>9.7650000000000006</v>
      </c>
      <c r="L109" s="42">
        <f t="shared" si="97"/>
        <v>19.53</v>
      </c>
      <c r="M109" s="42">
        <f t="shared" si="97"/>
        <v>39.06</v>
      </c>
      <c r="N109" s="42">
        <f t="shared" si="97"/>
        <v>78.12</v>
      </c>
      <c r="O109" s="42">
        <f t="shared" ref="O109:S109" si="98">O108*$E$109</f>
        <v>117.18</v>
      </c>
      <c r="P109" s="42">
        <f t="shared" si="98"/>
        <v>128.898</v>
      </c>
      <c r="Q109" s="42">
        <f t="shared" ref="Q109:R109" si="99">Q108*$E$109</f>
        <v>136.71</v>
      </c>
      <c r="R109" s="42">
        <f t="shared" si="99"/>
        <v>144.52199999999999</v>
      </c>
      <c r="S109" s="42">
        <f t="shared" si="98"/>
        <v>152.334</v>
      </c>
      <c r="T109" s="42">
        <f t="shared" si="97"/>
        <v>156.24</v>
      </c>
      <c r="U109" s="42">
        <f t="shared" si="97"/>
        <v>312.48</v>
      </c>
      <c r="V109" s="42">
        <f t="shared" si="97"/>
        <v>624.96</v>
      </c>
      <c r="W109" s="42">
        <f t="shared" si="97"/>
        <v>1249.92</v>
      </c>
      <c r="X109" s="42">
        <f t="shared" si="97"/>
        <v>2499.84</v>
      </c>
      <c r="Y109" s="42">
        <f t="shared" si="97"/>
        <v>4999.68</v>
      </c>
      <c r="Z109" s="42">
        <f t="shared" si="97"/>
        <v>9999.36</v>
      </c>
      <c r="AA109" s="42">
        <f t="shared" si="97"/>
        <v>19998.72</v>
      </c>
      <c r="AB109" s="42">
        <f t="shared" si="97"/>
        <v>39997.440000000002</v>
      </c>
      <c r="AC109" s="42">
        <f>AC108*$E$109</f>
        <v>79994.880000000005</v>
      </c>
      <c r="AD109" s="83">
        <f>AD108*$E$109</f>
        <v>159989.76000000001</v>
      </c>
      <c r="AE109" s="42">
        <f>AE108*$E$109</f>
        <v>319979.52000000002</v>
      </c>
      <c r="AF109" s="83">
        <f>AF108*$E$109</f>
        <v>500632.02</v>
      </c>
      <c r="AG109" s="57"/>
    </row>
    <row r="110" spans="1:33" x14ac:dyDescent="0.25">
      <c r="A110" s="53" t="s">
        <v>8</v>
      </c>
      <c r="B110" s="36">
        <v>0.106</v>
      </c>
      <c r="C110" s="22">
        <f>$B$35 * B110</f>
        <v>2717204</v>
      </c>
      <c r="D110" s="59"/>
      <c r="E110" s="28"/>
      <c r="F110" s="28"/>
      <c r="G110" s="32">
        <f t="shared" ref="G110:AF110" si="100">G$49*$B$110</f>
        <v>3.3125</v>
      </c>
      <c r="H110" s="33">
        <f t="shared" si="100"/>
        <v>6.625</v>
      </c>
      <c r="I110" s="33">
        <f t="shared" si="100"/>
        <v>13.25</v>
      </c>
      <c r="J110" s="33">
        <f t="shared" si="100"/>
        <v>26.5</v>
      </c>
      <c r="K110" s="33">
        <f t="shared" si="100"/>
        <v>53</v>
      </c>
      <c r="L110" s="33">
        <f t="shared" si="100"/>
        <v>106</v>
      </c>
      <c r="M110" s="33">
        <f t="shared" si="100"/>
        <v>212</v>
      </c>
      <c r="N110" s="33">
        <f t="shared" si="100"/>
        <v>424</v>
      </c>
      <c r="O110" s="33">
        <f t="shared" si="100"/>
        <v>636</v>
      </c>
      <c r="P110" s="33">
        <f t="shared" si="100"/>
        <v>699.6</v>
      </c>
      <c r="Q110" s="33">
        <f t="shared" si="100"/>
        <v>742</v>
      </c>
      <c r="R110" s="33">
        <f t="shared" si="100"/>
        <v>784.4</v>
      </c>
      <c r="S110" s="33">
        <f t="shared" si="100"/>
        <v>826.8</v>
      </c>
      <c r="T110" s="33">
        <f t="shared" si="100"/>
        <v>848</v>
      </c>
      <c r="U110" s="33">
        <f t="shared" si="100"/>
        <v>1696</v>
      </c>
      <c r="V110" s="33">
        <f t="shared" si="100"/>
        <v>3392</v>
      </c>
      <c r="W110" s="33">
        <f t="shared" si="100"/>
        <v>6784</v>
      </c>
      <c r="X110" s="33">
        <f t="shared" si="100"/>
        <v>13568</v>
      </c>
      <c r="Y110" s="33">
        <f t="shared" si="100"/>
        <v>27136</v>
      </c>
      <c r="Z110" s="33">
        <f t="shared" si="100"/>
        <v>54272</v>
      </c>
      <c r="AA110" s="33">
        <f t="shared" si="100"/>
        <v>108544</v>
      </c>
      <c r="AB110" s="33">
        <f t="shared" si="100"/>
        <v>217088</v>
      </c>
      <c r="AC110" s="33">
        <f t="shared" si="100"/>
        <v>434176</v>
      </c>
      <c r="AD110" s="84">
        <f t="shared" si="100"/>
        <v>868352</v>
      </c>
      <c r="AE110" s="33">
        <f t="shared" si="100"/>
        <v>1736704</v>
      </c>
      <c r="AF110" s="84">
        <f t="shared" si="100"/>
        <v>2717204</v>
      </c>
      <c r="AG110" s="57"/>
    </row>
    <row r="111" spans="1:33" x14ac:dyDescent="0.25">
      <c r="A111" s="53"/>
      <c r="B111" s="28"/>
      <c r="C111" s="28"/>
      <c r="D111" s="37"/>
      <c r="E111" s="58">
        <v>0.06</v>
      </c>
      <c r="F111" s="28"/>
      <c r="G111" s="41">
        <f t="shared" ref="G111:AB111" si="101">G110*$E$111</f>
        <v>0.19874999999999998</v>
      </c>
      <c r="H111" s="42">
        <f t="shared" si="101"/>
        <v>0.39749999999999996</v>
      </c>
      <c r="I111" s="42">
        <f t="shared" si="101"/>
        <v>0.79499999999999993</v>
      </c>
      <c r="J111" s="42">
        <f t="shared" si="101"/>
        <v>1.5899999999999999</v>
      </c>
      <c r="K111" s="42">
        <f t="shared" si="101"/>
        <v>3.1799999999999997</v>
      </c>
      <c r="L111" s="42">
        <f t="shared" si="101"/>
        <v>6.3599999999999994</v>
      </c>
      <c r="M111" s="42">
        <f t="shared" si="101"/>
        <v>12.719999999999999</v>
      </c>
      <c r="N111" s="42">
        <f t="shared" si="101"/>
        <v>25.439999999999998</v>
      </c>
      <c r="O111" s="42">
        <f t="shared" ref="O111:S111" si="102">O110*$E$111</f>
        <v>38.159999999999997</v>
      </c>
      <c r="P111" s="42">
        <f t="shared" si="102"/>
        <v>41.975999999999999</v>
      </c>
      <c r="Q111" s="42">
        <f t="shared" ref="Q111:R111" si="103">Q110*$E$111</f>
        <v>44.519999999999996</v>
      </c>
      <c r="R111" s="42">
        <f t="shared" si="103"/>
        <v>47.064</v>
      </c>
      <c r="S111" s="42">
        <f t="shared" si="102"/>
        <v>49.607999999999997</v>
      </c>
      <c r="T111" s="42">
        <f t="shared" si="101"/>
        <v>50.879999999999995</v>
      </c>
      <c r="U111" s="42">
        <f t="shared" si="101"/>
        <v>101.75999999999999</v>
      </c>
      <c r="V111" s="42">
        <f t="shared" si="101"/>
        <v>203.51999999999998</v>
      </c>
      <c r="W111" s="42">
        <f t="shared" si="101"/>
        <v>407.03999999999996</v>
      </c>
      <c r="X111" s="42">
        <f t="shared" si="101"/>
        <v>814.07999999999993</v>
      </c>
      <c r="Y111" s="42">
        <f t="shared" si="101"/>
        <v>1628.1599999999999</v>
      </c>
      <c r="Z111" s="42">
        <f t="shared" si="101"/>
        <v>3256.3199999999997</v>
      </c>
      <c r="AA111" s="42">
        <f t="shared" si="101"/>
        <v>6512.6399999999994</v>
      </c>
      <c r="AB111" s="42">
        <f t="shared" si="101"/>
        <v>13025.279999999999</v>
      </c>
      <c r="AC111" s="42">
        <f>AC110*$E$111</f>
        <v>26050.559999999998</v>
      </c>
      <c r="AD111" s="83">
        <f>AD110*$E$111</f>
        <v>52101.119999999995</v>
      </c>
      <c r="AE111" s="42">
        <f>AE110*$E$111</f>
        <v>104202.23999999999</v>
      </c>
      <c r="AF111" s="83">
        <f>AF110*$E$111</f>
        <v>163032.24</v>
      </c>
      <c r="AG111" s="57"/>
    </row>
    <row r="112" spans="1:33" x14ac:dyDescent="0.25">
      <c r="A112" s="53" t="s">
        <v>9</v>
      </c>
      <c r="B112" s="36">
        <v>1.7999999999999999E-2</v>
      </c>
      <c r="C112" s="22">
        <f>$B$35 * B112</f>
        <v>461411.99999999994</v>
      </c>
      <c r="D112" s="59"/>
      <c r="E112" s="28"/>
      <c r="F112" s="28"/>
      <c r="G112" s="32">
        <f t="shared" ref="G112:AF112" si="104">G$49*$B$112</f>
        <v>0.5625</v>
      </c>
      <c r="H112" s="33">
        <f t="shared" si="104"/>
        <v>1.125</v>
      </c>
      <c r="I112" s="33">
        <f t="shared" si="104"/>
        <v>2.25</v>
      </c>
      <c r="J112" s="33">
        <f t="shared" si="104"/>
        <v>4.5</v>
      </c>
      <c r="K112" s="33">
        <f t="shared" si="104"/>
        <v>9</v>
      </c>
      <c r="L112" s="33">
        <f t="shared" si="104"/>
        <v>18</v>
      </c>
      <c r="M112" s="33">
        <f t="shared" si="104"/>
        <v>36</v>
      </c>
      <c r="N112" s="33">
        <f t="shared" si="104"/>
        <v>72</v>
      </c>
      <c r="O112" s="33">
        <f t="shared" si="104"/>
        <v>107.99999999999999</v>
      </c>
      <c r="P112" s="33">
        <f t="shared" si="104"/>
        <v>118.8</v>
      </c>
      <c r="Q112" s="33">
        <f t="shared" si="104"/>
        <v>125.99999999999999</v>
      </c>
      <c r="R112" s="33">
        <f t="shared" si="104"/>
        <v>133.19999999999999</v>
      </c>
      <c r="S112" s="33">
        <f t="shared" si="104"/>
        <v>140.39999999999998</v>
      </c>
      <c r="T112" s="33">
        <f t="shared" si="104"/>
        <v>144</v>
      </c>
      <c r="U112" s="33">
        <f t="shared" si="104"/>
        <v>288</v>
      </c>
      <c r="V112" s="33">
        <f t="shared" si="104"/>
        <v>576</v>
      </c>
      <c r="W112" s="33">
        <f t="shared" si="104"/>
        <v>1152</v>
      </c>
      <c r="X112" s="33">
        <f t="shared" si="104"/>
        <v>2304</v>
      </c>
      <c r="Y112" s="33">
        <f t="shared" si="104"/>
        <v>4608</v>
      </c>
      <c r="Z112" s="33">
        <f t="shared" si="104"/>
        <v>9216</v>
      </c>
      <c r="AA112" s="33">
        <f t="shared" si="104"/>
        <v>18432</v>
      </c>
      <c r="AB112" s="33">
        <f t="shared" si="104"/>
        <v>36864</v>
      </c>
      <c r="AC112" s="33">
        <f t="shared" si="104"/>
        <v>73728</v>
      </c>
      <c r="AD112" s="84">
        <f t="shared" si="104"/>
        <v>147456</v>
      </c>
      <c r="AE112" s="33">
        <f t="shared" si="104"/>
        <v>294912</v>
      </c>
      <c r="AF112" s="84">
        <f t="shared" si="104"/>
        <v>461411.99999999994</v>
      </c>
      <c r="AG112" s="57"/>
    </row>
    <row r="113" spans="1:33" x14ac:dyDescent="0.25">
      <c r="A113" s="53"/>
      <c r="B113" s="28"/>
      <c r="C113" s="28"/>
      <c r="D113" s="37"/>
      <c r="E113" s="58">
        <v>5.6000000000000001E-2</v>
      </c>
      <c r="F113" s="28"/>
      <c r="G113" s="41">
        <f t="shared" ref="G113:AB113" si="105">G112*$E$113</f>
        <v>3.15E-2</v>
      </c>
      <c r="H113" s="42">
        <f t="shared" si="105"/>
        <v>6.3E-2</v>
      </c>
      <c r="I113" s="42">
        <f t="shared" si="105"/>
        <v>0.126</v>
      </c>
      <c r="J113" s="42">
        <f t="shared" si="105"/>
        <v>0.252</v>
      </c>
      <c r="K113" s="42">
        <f t="shared" si="105"/>
        <v>0.504</v>
      </c>
      <c r="L113" s="42">
        <f t="shared" si="105"/>
        <v>1.008</v>
      </c>
      <c r="M113" s="42">
        <f t="shared" si="105"/>
        <v>2.016</v>
      </c>
      <c r="N113" s="42">
        <f t="shared" si="105"/>
        <v>4.032</v>
      </c>
      <c r="O113" s="42">
        <f t="shared" ref="O113:S113" si="106">O112*$E$113</f>
        <v>6.0479999999999992</v>
      </c>
      <c r="P113" s="42">
        <f t="shared" si="106"/>
        <v>6.6528</v>
      </c>
      <c r="Q113" s="42">
        <f t="shared" ref="Q113:R113" si="107">Q112*$E$113</f>
        <v>7.0559999999999992</v>
      </c>
      <c r="R113" s="42">
        <f t="shared" si="107"/>
        <v>7.4591999999999992</v>
      </c>
      <c r="S113" s="42">
        <f t="shared" si="106"/>
        <v>7.8623999999999992</v>
      </c>
      <c r="T113" s="42">
        <f t="shared" si="105"/>
        <v>8.0640000000000001</v>
      </c>
      <c r="U113" s="42">
        <f t="shared" si="105"/>
        <v>16.128</v>
      </c>
      <c r="V113" s="42">
        <f t="shared" si="105"/>
        <v>32.256</v>
      </c>
      <c r="W113" s="42">
        <f t="shared" si="105"/>
        <v>64.512</v>
      </c>
      <c r="X113" s="42">
        <f t="shared" si="105"/>
        <v>129.024</v>
      </c>
      <c r="Y113" s="42">
        <f t="shared" si="105"/>
        <v>258.048</v>
      </c>
      <c r="Z113" s="42">
        <f t="shared" si="105"/>
        <v>516.096</v>
      </c>
      <c r="AA113" s="42">
        <f t="shared" si="105"/>
        <v>1032.192</v>
      </c>
      <c r="AB113" s="42">
        <f t="shared" si="105"/>
        <v>2064.384</v>
      </c>
      <c r="AC113" s="42">
        <f>AC112*$E$113</f>
        <v>4128.768</v>
      </c>
      <c r="AD113" s="83">
        <f>AD112*$E$113</f>
        <v>8257.5360000000001</v>
      </c>
      <c r="AE113" s="42">
        <f>AE112*$E$113</f>
        <v>16515.072</v>
      </c>
      <c r="AF113" s="83">
        <f>AF112*$E$113</f>
        <v>25839.071999999996</v>
      </c>
      <c r="AG113" s="57"/>
    </row>
    <row r="114" spans="1:33" x14ac:dyDescent="0.25">
      <c r="A114" s="53" t="s">
        <v>10</v>
      </c>
      <c r="B114" s="36">
        <v>0.152</v>
      </c>
      <c r="C114" s="22">
        <f>$B$35 * B114</f>
        <v>3896368</v>
      </c>
      <c r="D114" s="59"/>
      <c r="E114" s="28"/>
      <c r="F114" s="28"/>
      <c r="G114" s="32">
        <f t="shared" ref="G114:AF114" si="108">G$49*$B$114</f>
        <v>4.75</v>
      </c>
      <c r="H114" s="33">
        <f t="shared" si="108"/>
        <v>9.5</v>
      </c>
      <c r="I114" s="33">
        <f t="shared" si="108"/>
        <v>19</v>
      </c>
      <c r="J114" s="33">
        <f t="shared" si="108"/>
        <v>38</v>
      </c>
      <c r="K114" s="33">
        <f t="shared" si="108"/>
        <v>76</v>
      </c>
      <c r="L114" s="33">
        <f t="shared" si="108"/>
        <v>152</v>
      </c>
      <c r="M114" s="33">
        <f t="shared" si="108"/>
        <v>304</v>
      </c>
      <c r="N114" s="33">
        <f t="shared" si="108"/>
        <v>608</v>
      </c>
      <c r="O114" s="33">
        <f t="shared" si="108"/>
        <v>912</v>
      </c>
      <c r="P114" s="33">
        <f t="shared" si="108"/>
        <v>1003.1999999999999</v>
      </c>
      <c r="Q114" s="33">
        <f t="shared" si="108"/>
        <v>1064</v>
      </c>
      <c r="R114" s="33">
        <f t="shared" si="108"/>
        <v>1124.8</v>
      </c>
      <c r="S114" s="33">
        <f t="shared" si="108"/>
        <v>1185.5999999999999</v>
      </c>
      <c r="T114" s="33">
        <f t="shared" si="108"/>
        <v>1216</v>
      </c>
      <c r="U114" s="33">
        <f t="shared" si="108"/>
        <v>2432</v>
      </c>
      <c r="V114" s="33">
        <f t="shared" si="108"/>
        <v>4864</v>
      </c>
      <c r="W114" s="33">
        <f t="shared" si="108"/>
        <v>9728</v>
      </c>
      <c r="X114" s="33">
        <f t="shared" si="108"/>
        <v>19456</v>
      </c>
      <c r="Y114" s="33">
        <f t="shared" si="108"/>
        <v>38912</v>
      </c>
      <c r="Z114" s="33">
        <f t="shared" si="108"/>
        <v>77824</v>
      </c>
      <c r="AA114" s="33">
        <f t="shared" si="108"/>
        <v>155648</v>
      </c>
      <c r="AB114" s="33">
        <f t="shared" si="108"/>
        <v>311296</v>
      </c>
      <c r="AC114" s="33">
        <f t="shared" si="108"/>
        <v>622592</v>
      </c>
      <c r="AD114" s="84">
        <f t="shared" si="108"/>
        <v>1245184</v>
      </c>
      <c r="AE114" s="33">
        <f t="shared" si="108"/>
        <v>2490368</v>
      </c>
      <c r="AF114" s="84">
        <f t="shared" si="108"/>
        <v>3896368</v>
      </c>
      <c r="AG114" s="57"/>
    </row>
    <row r="115" spans="1:33" x14ac:dyDescent="0.25">
      <c r="A115" s="49"/>
      <c r="B115" s="51"/>
      <c r="C115" s="51"/>
      <c r="D115" s="67"/>
      <c r="E115" s="68" t="s">
        <v>11</v>
      </c>
      <c r="F115" s="51"/>
      <c r="G115" s="41" t="s">
        <v>11</v>
      </c>
      <c r="H115" s="42" t="s">
        <v>11</v>
      </c>
      <c r="I115" s="42" t="s">
        <v>11</v>
      </c>
      <c r="J115" s="42" t="s">
        <v>11</v>
      </c>
      <c r="K115" s="42" t="s">
        <v>11</v>
      </c>
      <c r="L115" s="42" t="s">
        <v>11</v>
      </c>
      <c r="M115" s="42" t="s">
        <v>11</v>
      </c>
      <c r="N115" s="42" t="s">
        <v>11</v>
      </c>
      <c r="O115" s="42" t="s">
        <v>11</v>
      </c>
      <c r="P115" s="42" t="s">
        <v>11</v>
      </c>
      <c r="Q115" s="42" t="s">
        <v>11</v>
      </c>
      <c r="R115" s="42" t="s">
        <v>11</v>
      </c>
      <c r="S115" s="42" t="s">
        <v>11</v>
      </c>
      <c r="T115" s="42" t="s">
        <v>11</v>
      </c>
      <c r="U115" s="42" t="s">
        <v>11</v>
      </c>
      <c r="V115" s="42" t="s">
        <v>11</v>
      </c>
      <c r="W115" s="42" t="s">
        <v>11</v>
      </c>
      <c r="X115" s="42" t="s">
        <v>11</v>
      </c>
      <c r="Y115" s="42" t="s">
        <v>11</v>
      </c>
      <c r="Z115" s="42" t="s">
        <v>11</v>
      </c>
      <c r="AA115" s="42" t="s">
        <v>11</v>
      </c>
      <c r="AB115" s="42" t="s">
        <v>11</v>
      </c>
      <c r="AC115" s="42" t="s">
        <v>11</v>
      </c>
      <c r="AD115" s="83" t="s">
        <v>11</v>
      </c>
      <c r="AE115" s="44" t="s">
        <v>11</v>
      </c>
      <c r="AF115" s="85" t="s">
        <v>11</v>
      </c>
      <c r="AG115" s="57"/>
    </row>
    <row r="116" spans="1:33" x14ac:dyDescent="0.25">
      <c r="A116" s="53"/>
      <c r="B116" s="28"/>
      <c r="C116" s="28"/>
      <c r="D116" s="59"/>
      <c r="E116" s="28"/>
      <c r="F116" s="28"/>
      <c r="G116" s="30">
        <f>SUM(G104,G106,G108,G110,G112,G114)</f>
        <v>21.40625</v>
      </c>
      <c r="H116" s="31">
        <f t="shared" ref="H116:AB116" si="109">SUM(H104,H106,H108,H110,H112,H114)</f>
        <v>42.8125</v>
      </c>
      <c r="I116" s="31">
        <f t="shared" si="109"/>
        <v>85.625</v>
      </c>
      <c r="J116" s="31">
        <f t="shared" si="109"/>
        <v>171.25</v>
      </c>
      <c r="K116" s="31">
        <f t="shared" si="109"/>
        <v>342.5</v>
      </c>
      <c r="L116" s="31">
        <f t="shared" si="109"/>
        <v>685</v>
      </c>
      <c r="M116" s="31">
        <f>SUM(M104,M106,M108,M110,M112,M114)</f>
        <v>1370</v>
      </c>
      <c r="N116" s="31">
        <f t="shared" si="109"/>
        <v>2740</v>
      </c>
      <c r="O116" s="31">
        <f t="shared" ref="O116:S116" si="110">SUM(O104,O106,O108,O110,O112,O114)</f>
        <v>4110</v>
      </c>
      <c r="P116" s="31">
        <f t="shared" si="110"/>
        <v>4521</v>
      </c>
      <c r="Q116" s="31">
        <f t="shared" ref="Q116:R116" si="111">SUM(Q104,Q106,Q108,Q110,Q112,Q114)</f>
        <v>4795</v>
      </c>
      <c r="R116" s="31">
        <f t="shared" si="111"/>
        <v>5069</v>
      </c>
      <c r="S116" s="31">
        <f t="shared" si="110"/>
        <v>5343</v>
      </c>
      <c r="T116" s="31">
        <f t="shared" si="109"/>
        <v>5480</v>
      </c>
      <c r="U116" s="31">
        <f t="shared" si="109"/>
        <v>10960</v>
      </c>
      <c r="V116" s="31">
        <f t="shared" si="109"/>
        <v>21920</v>
      </c>
      <c r="W116" s="31">
        <f t="shared" si="109"/>
        <v>43840</v>
      </c>
      <c r="X116" s="31">
        <f t="shared" si="109"/>
        <v>87680</v>
      </c>
      <c r="Y116" s="31">
        <f t="shared" si="109"/>
        <v>175360</v>
      </c>
      <c r="Z116" s="31">
        <f t="shared" si="109"/>
        <v>350720</v>
      </c>
      <c r="AA116" s="31">
        <f t="shared" si="109"/>
        <v>701440</v>
      </c>
      <c r="AB116" s="31">
        <f t="shared" si="109"/>
        <v>1402880</v>
      </c>
      <c r="AC116" s="31">
        <f t="shared" ref="AC116:AF117" si="112">SUM(AC104,AC106,AC108,AC110,AC112,AC114)</f>
        <v>2805760</v>
      </c>
      <c r="AD116" s="72">
        <f t="shared" si="112"/>
        <v>5611520</v>
      </c>
      <c r="AE116" s="33">
        <f t="shared" si="112"/>
        <v>11223040</v>
      </c>
      <c r="AF116" s="84">
        <f t="shared" si="112"/>
        <v>17559290</v>
      </c>
      <c r="AG116" s="57"/>
    </row>
    <row r="117" spans="1:33" x14ac:dyDescent="0.25">
      <c r="A117" s="49" t="s">
        <v>132</v>
      </c>
      <c r="B117" s="51"/>
      <c r="C117" s="51"/>
      <c r="D117" s="51"/>
      <c r="E117" s="51"/>
      <c r="F117" s="51"/>
      <c r="G117" s="43">
        <f>SUM(G105,G107,G109,G111,G113,G115)</f>
        <v>1.11640625</v>
      </c>
      <c r="H117" s="44">
        <f t="shared" ref="H117:AB117" si="113">SUM(H105,H107,H109,H111,H113,H115)</f>
        <v>2.2328125000000001</v>
      </c>
      <c r="I117" s="44">
        <f t="shared" si="113"/>
        <v>4.4656250000000002</v>
      </c>
      <c r="J117" s="44">
        <f t="shared" si="113"/>
        <v>8.9312500000000004</v>
      </c>
      <c r="K117" s="44">
        <f t="shared" si="113"/>
        <v>17.862500000000001</v>
      </c>
      <c r="L117" s="44">
        <f t="shared" si="113"/>
        <v>35.725000000000001</v>
      </c>
      <c r="M117" s="44">
        <f t="shared" si="113"/>
        <v>71.45</v>
      </c>
      <c r="N117" s="44">
        <f t="shared" si="113"/>
        <v>142.9</v>
      </c>
      <c r="O117" s="44">
        <f t="shared" ref="O117:S117" si="114">SUM(O105,O107,O109,O111,O113,O115)</f>
        <v>214.35</v>
      </c>
      <c r="P117" s="44">
        <f t="shared" si="114"/>
        <v>235.78500000000003</v>
      </c>
      <c r="Q117" s="44">
        <f t="shared" ref="Q117:R117" si="115">SUM(Q105,Q107,Q109,Q111,Q113,Q115)</f>
        <v>250.07500000000002</v>
      </c>
      <c r="R117" s="44">
        <f t="shared" si="115"/>
        <v>264.36500000000001</v>
      </c>
      <c r="S117" s="44">
        <f t="shared" si="114"/>
        <v>278.65499999999997</v>
      </c>
      <c r="T117" s="44">
        <f t="shared" si="113"/>
        <v>285.8</v>
      </c>
      <c r="U117" s="44">
        <f t="shared" si="113"/>
        <v>571.6</v>
      </c>
      <c r="V117" s="44">
        <f t="shared" si="113"/>
        <v>1143.2</v>
      </c>
      <c r="W117" s="44">
        <f t="shared" si="113"/>
        <v>2286.4</v>
      </c>
      <c r="X117" s="44">
        <f t="shared" si="113"/>
        <v>4572.8</v>
      </c>
      <c r="Y117" s="44">
        <f t="shared" si="113"/>
        <v>9145.6</v>
      </c>
      <c r="Z117" s="44">
        <f t="shared" si="113"/>
        <v>18291.2</v>
      </c>
      <c r="AA117" s="44">
        <f t="shared" si="113"/>
        <v>36582.400000000001</v>
      </c>
      <c r="AB117" s="44">
        <f t="shared" si="113"/>
        <v>73164.800000000003</v>
      </c>
      <c r="AC117" s="44">
        <f t="shared" si="112"/>
        <v>146329.60000000001</v>
      </c>
      <c r="AD117" s="85">
        <f t="shared" si="112"/>
        <v>292659.20000000001</v>
      </c>
      <c r="AE117" s="44">
        <f t="shared" si="112"/>
        <v>585318.40000000002</v>
      </c>
      <c r="AF117" s="85">
        <f t="shared" si="112"/>
        <v>915774.65</v>
      </c>
      <c r="AG117" s="57"/>
    </row>
  </sheetData>
  <conditionalFormatting sqref="AE60:AG60 G60:AC60">
    <cfRule type="cellIs" dxfId="28" priority="36" operator="greaterThan">
      <formula>$C$39</formula>
    </cfRule>
  </conditionalFormatting>
  <conditionalFormatting sqref="AE62:AF62 G62:AC62">
    <cfRule type="cellIs" dxfId="27" priority="35" operator="greaterThan">
      <formula>$C$40</formula>
    </cfRule>
  </conditionalFormatting>
  <conditionalFormatting sqref="G81:AF81">
    <cfRule type="cellIs" dxfId="26" priority="34" operator="greaterThan">
      <formula>$C$81</formula>
    </cfRule>
  </conditionalFormatting>
  <conditionalFormatting sqref="G83:AF83">
    <cfRule type="cellIs" dxfId="25" priority="33" operator="greaterThan">
      <formula>$C$83</formula>
    </cfRule>
  </conditionalFormatting>
  <conditionalFormatting sqref="G85:AF85">
    <cfRule type="cellIs" dxfId="24" priority="32" operator="greaterThan">
      <formula>$C$85</formula>
    </cfRule>
  </conditionalFormatting>
  <conditionalFormatting sqref="G87:AF87">
    <cfRule type="cellIs" dxfId="23" priority="24" operator="greaterThan">
      <formula>$C$87</formula>
    </cfRule>
  </conditionalFormatting>
  <conditionalFormatting sqref="G89:AF89">
    <cfRule type="cellIs" dxfId="22" priority="23" operator="greaterThan">
      <formula>$C$89</formula>
    </cfRule>
  </conditionalFormatting>
  <conditionalFormatting sqref="G91:AF91">
    <cfRule type="cellIs" dxfId="21" priority="22" operator="greaterThan">
      <formula>$C$91</formula>
    </cfRule>
  </conditionalFormatting>
  <conditionalFormatting sqref="G93:AF93">
    <cfRule type="cellIs" dxfId="20" priority="21" operator="greaterThan">
      <formula>$C$93</formula>
    </cfRule>
  </conditionalFormatting>
  <conditionalFormatting sqref="G95:AF95">
    <cfRule type="cellIs" dxfId="19" priority="20" operator="greaterThan">
      <formula>$C$95</formula>
    </cfRule>
  </conditionalFormatting>
  <conditionalFormatting sqref="G97:AF97">
    <cfRule type="cellIs" dxfId="18" priority="19" operator="greaterThan">
      <formula>$C$97</formula>
    </cfRule>
  </conditionalFormatting>
  <conditionalFormatting sqref="AE51:AF51 G51:AC51">
    <cfRule type="cellIs" dxfId="17" priority="18" operator="equal">
      <formula>0</formula>
    </cfRule>
  </conditionalFormatting>
  <conditionalFormatting sqref="AE58 G58:AC58 G60:AC60 H62:AC62">
    <cfRule type="cellIs" dxfId="16" priority="17" operator="equal">
      <formula>0</formula>
    </cfRule>
  </conditionalFormatting>
  <conditionalFormatting sqref="AE60:AF60">
    <cfRule type="cellIs" dxfId="15" priority="16" operator="equal">
      <formula>0</formula>
    </cfRule>
  </conditionalFormatting>
  <conditionalFormatting sqref="AE62:AF62">
    <cfRule type="cellIs" dxfId="14" priority="15" operator="equal">
      <formula>0</formula>
    </cfRule>
  </conditionalFormatting>
  <conditionalFormatting sqref="D83">
    <cfRule type="cellIs" dxfId="13" priority="14" operator="greaterThan">
      <formula>$B$83</formula>
    </cfRule>
  </conditionalFormatting>
  <conditionalFormatting sqref="D85">
    <cfRule type="cellIs" dxfId="12" priority="13" operator="greaterThan">
      <formula>$B$85</formula>
    </cfRule>
  </conditionalFormatting>
  <conditionalFormatting sqref="D87">
    <cfRule type="cellIs" dxfId="11" priority="12" operator="greaterThan">
      <formula>$B$87</formula>
    </cfRule>
  </conditionalFormatting>
  <conditionalFormatting sqref="D89">
    <cfRule type="cellIs" dxfId="10" priority="11" operator="greaterThan">
      <formula>$B$89</formula>
    </cfRule>
  </conditionalFormatting>
  <conditionalFormatting sqref="D91">
    <cfRule type="cellIs" dxfId="9" priority="10" operator="greaterThan">
      <formula>$B$91</formula>
    </cfRule>
  </conditionalFormatting>
  <conditionalFormatting sqref="D93">
    <cfRule type="cellIs" dxfId="8" priority="9" operator="greaterThan">
      <formula>$B$93</formula>
    </cfRule>
  </conditionalFormatting>
  <conditionalFormatting sqref="D95">
    <cfRule type="cellIs" dxfId="7" priority="8" operator="greaterThan">
      <formula>$B$95</formula>
    </cfRule>
  </conditionalFormatting>
  <conditionalFormatting sqref="D97">
    <cfRule type="cellIs" dxfId="6" priority="7" operator="greaterThan">
      <formula>$B$97</formula>
    </cfRule>
  </conditionalFormatting>
  <conditionalFormatting sqref="AD60">
    <cfRule type="cellIs" dxfId="5" priority="6" operator="greaterThan">
      <formula>$C$39</formula>
    </cfRule>
  </conditionalFormatting>
  <conditionalFormatting sqref="AD62">
    <cfRule type="cellIs" dxfId="4" priority="5" operator="greaterThan">
      <formula>$C$40</formula>
    </cfRule>
  </conditionalFormatting>
  <conditionalFormatting sqref="AD51">
    <cfRule type="cellIs" dxfId="3" priority="4" operator="equal">
      <formula>0</formula>
    </cfRule>
  </conditionalFormatting>
  <conditionalFormatting sqref="AD58">
    <cfRule type="cellIs" dxfId="2" priority="3" operator="equal">
      <formula>0</formula>
    </cfRule>
  </conditionalFormatting>
  <conditionalFormatting sqref="AD60">
    <cfRule type="cellIs" dxfId="1" priority="2" operator="equal">
      <formula>0</formula>
    </cfRule>
  </conditionalFormatting>
  <conditionalFormatting sqref="AD62">
    <cfRule type="cellIs" dxfId="0" priority="1" operator="equal">
      <formula>0</formula>
    </cfRule>
  </conditionalFormatting>
  <hyperlinks>
    <hyperlink ref="D80" r:id="rId1" xr:uid="{98D6456F-EA03-4FCB-8D3D-1822F6B38CCF}"/>
    <hyperlink ref="E80" r:id="rId2" location="case-fatality-rate-of-covid-19-by-age" xr:uid="{0058192C-B05A-45D2-8597-C1F9B3D9241E}"/>
    <hyperlink ref="E103" r:id="rId3" location="case-fatality-rate-of-covid-19-by-preexisting-health-conditions" xr:uid="{110A2613-24A6-4768-B90C-571B307D13E2}"/>
    <hyperlink ref="B35" r:id="rId4" display="https://www.abs.gov.au/ausstats/abs@.nsf/0/1647509ef7e25faaca2568a900154b63?opendocument" xr:uid="{63727E5E-0850-4414-8DD8-E50A09A5AEE8}"/>
    <hyperlink ref="B80" r:id="rId5" xr:uid="{E432DB14-5D35-4B35-8F24-1C070D7F22B3}"/>
    <hyperlink ref="B37" r:id="rId6" display="https://cmmid.github.io/topics/covid19/severity/global_cfr_estimates.html" xr:uid="{49B36C88-7FC3-4DAA-BBA5-EABFD6685804}"/>
    <hyperlink ref="A3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Projections!B35</f>
        <v>25634000</v>
      </c>
      <c r="J3" s="2"/>
    </row>
    <row r="4" spans="2:10" x14ac:dyDescent="0.25">
      <c r="B4" s="195" t="s">
        <v>238</v>
      </c>
      <c r="C4" s="179">
        <v>32</v>
      </c>
      <c r="J4" s="2"/>
    </row>
    <row r="5" spans="2:10" x14ac:dyDescent="0.25">
      <c r="B5" s="195" t="s">
        <v>239</v>
      </c>
      <c r="C5" s="177">
        <v>43892</v>
      </c>
      <c r="J5" s="2"/>
    </row>
    <row r="6" spans="2:10" x14ac:dyDescent="0.25">
      <c r="B6" s="195" t="s">
        <v>221</v>
      </c>
      <c r="C6" s="179">
        <v>7391</v>
      </c>
    </row>
    <row r="7" spans="2:10" x14ac:dyDescent="0.25">
      <c r="B7" s="195" t="s">
        <v>223</v>
      </c>
      <c r="C7" s="177">
        <f ca="1">NOW()</f>
        <v>44000.943847916664</v>
      </c>
    </row>
    <row r="8" spans="2:10" x14ac:dyDescent="0.25">
      <c r="B8" s="195" t="s">
        <v>240</v>
      </c>
      <c r="C8" s="178">
        <f ca="1">C7-C5</f>
        <v>108.9438479166638</v>
      </c>
    </row>
    <row r="9" spans="2:10" x14ac:dyDescent="0.25">
      <c r="B9" s="195" t="s">
        <v>222</v>
      </c>
      <c r="C9" s="180">
        <f ca="1">C8/(LOG(C6/C4)/LOG(2))</f>
        <v>13.875450628119532</v>
      </c>
      <c r="D9" t="s">
        <v>197</v>
      </c>
      <c r="F9" t="s">
        <v>241</v>
      </c>
    </row>
    <row r="10" spans="2:10" x14ac:dyDescent="0.25">
      <c r="B10" s="195" t="s">
        <v>227</v>
      </c>
      <c r="C10" s="179">
        <f>Projections!C39</f>
        <v>66648.400000000009</v>
      </c>
    </row>
    <row r="11" spans="2:10" x14ac:dyDescent="0.25">
      <c r="B11" s="196" t="s">
        <v>228</v>
      </c>
      <c r="C11" s="184">
        <f>Projections!C40</f>
        <v>1896.9159999999999</v>
      </c>
    </row>
    <row r="12" spans="2:10" s="81" customFormat="1" x14ac:dyDescent="0.25">
      <c r="B12" s="74" t="s">
        <v>275</v>
      </c>
      <c r="C12" s="185">
        <f>C6/Projections!B37</f>
        <v>7391</v>
      </c>
    </row>
    <row r="13" spans="2:10" s="81" customFormat="1" x14ac:dyDescent="0.25">
      <c r="B13" s="60" t="s">
        <v>276</v>
      </c>
      <c r="C13" s="186">
        <f ca="1">(C4/Projections!B37)*(2^(((C7-21)-C5)/C9))</f>
        <v>2588.8389413809541</v>
      </c>
    </row>
    <row r="14" spans="2:10" s="81" customFormat="1" x14ac:dyDescent="0.25">
      <c r="B14" s="61" t="s">
        <v>277</v>
      </c>
      <c r="C14" s="165">
        <f ca="1">C12-C13</f>
        <v>4802.1610586190454</v>
      </c>
      <c r="E14" s="182"/>
      <c r="F14" s="183" t="s">
        <v>245</v>
      </c>
      <c r="G14" s="181"/>
    </row>
    <row r="15" spans="2:10" x14ac:dyDescent="0.25">
      <c r="B15" s="16" t="s">
        <v>242</v>
      </c>
      <c r="C15" s="76">
        <f>C6*Projections!B41</f>
        <v>6799.72</v>
      </c>
      <c r="I15" s="176"/>
    </row>
    <row r="16" spans="2:10" x14ac:dyDescent="0.25">
      <c r="B16" s="53" t="s">
        <v>252</v>
      </c>
      <c r="C16" s="95">
        <f ca="1">(C4*Projections!B41)*(2^(((C7-21)-C5)/C9))</f>
        <v>2381.7318260704778</v>
      </c>
      <c r="I16" s="176"/>
    </row>
    <row r="17" spans="2:9" x14ac:dyDescent="0.25">
      <c r="B17" s="53" t="s">
        <v>243</v>
      </c>
      <c r="C17" s="95">
        <f ca="1">C15-C16</f>
        <v>4417.9881739295224</v>
      </c>
      <c r="F17" t="s">
        <v>246</v>
      </c>
      <c r="I17" s="176"/>
    </row>
    <row r="18" spans="2:9" x14ac:dyDescent="0.25">
      <c r="B18" s="16" t="s">
        <v>248</v>
      </c>
      <c r="C18" s="76">
        <f>C6*Projections!B42</f>
        <v>369.55</v>
      </c>
    </row>
    <row r="19" spans="2:9" x14ac:dyDescent="0.25">
      <c r="B19" s="53" t="s">
        <v>253</v>
      </c>
      <c r="C19" s="95">
        <f ca="1">(C4*Projections!B42)*(2^(((C7-49)-C5)/C9))</f>
        <v>31.960297320178814</v>
      </c>
    </row>
    <row r="20" spans="2:9" x14ac:dyDescent="0.25">
      <c r="B20" s="53" t="s">
        <v>247</v>
      </c>
      <c r="C20" s="95">
        <f ca="1">C18-C19</f>
        <v>337.58970267982119</v>
      </c>
      <c r="F20" t="s">
        <v>251</v>
      </c>
    </row>
    <row r="21" spans="2:9" x14ac:dyDescent="0.25">
      <c r="B21" s="16" t="s">
        <v>249</v>
      </c>
      <c r="C21" s="76">
        <f>C6*Projections!B43</f>
        <v>221.73</v>
      </c>
      <c r="I21" s="176"/>
    </row>
    <row r="22" spans="2:9" x14ac:dyDescent="0.25">
      <c r="B22" s="53" t="s">
        <v>254</v>
      </c>
      <c r="C22" s="95">
        <f ca="1">(C4*Projections!B43)*(2^(((C7-49)-C5)/C9))</f>
        <v>19.176178392107285</v>
      </c>
      <c r="I22" s="176"/>
    </row>
    <row r="23" spans="2:9" x14ac:dyDescent="0.25">
      <c r="B23" s="53" t="s">
        <v>250</v>
      </c>
      <c r="C23" s="95">
        <f ca="1">C21-C22</f>
        <v>202.5538216078927</v>
      </c>
      <c r="I23" s="176"/>
    </row>
    <row r="24" spans="2:9" x14ac:dyDescent="0.25">
      <c r="B24" s="16" t="s">
        <v>255</v>
      </c>
      <c r="C24" s="76">
        <f>C6*Projections!B44</f>
        <v>103.474</v>
      </c>
    </row>
    <row r="25" spans="2:9" x14ac:dyDescent="0.25">
      <c r="B25" s="49" t="s">
        <v>256</v>
      </c>
      <c r="C25" s="73">
        <f ca="1">(C4*Projections!B44)*(2^(((C7-42)-C5)/C9))</f>
        <v>12.695064118758825</v>
      </c>
      <c r="F25" t="s">
        <v>257</v>
      </c>
    </row>
    <row r="26" spans="2:9" x14ac:dyDescent="0.25">
      <c r="B26" s="53" t="s">
        <v>233</v>
      </c>
      <c r="C26" s="189">
        <f ca="1">C9*(LOG(C10/C21)/LOG(2))</f>
        <v>114.21747091833404</v>
      </c>
      <c r="D26" t="s">
        <v>197</v>
      </c>
      <c r="F26" s="81" t="s">
        <v>258</v>
      </c>
    </row>
    <row r="27" spans="2:9" x14ac:dyDescent="0.25">
      <c r="B27" s="49" t="s">
        <v>229</v>
      </c>
      <c r="C27" s="188">
        <f ca="1">C7+C26</f>
        <v>44115.161318834995</v>
      </c>
      <c r="F27" t="s">
        <v>259</v>
      </c>
    </row>
    <row r="28" spans="2:9" x14ac:dyDescent="0.25">
      <c r="B28" s="16" t="s">
        <v>234</v>
      </c>
      <c r="C28" s="187">
        <f ca="1">C9*(LOG(C11/C21)/LOG(2))</f>
        <v>42.96921673966483</v>
      </c>
      <c r="D28" t="s">
        <v>197</v>
      </c>
    </row>
    <row r="29" spans="2:9" x14ac:dyDescent="0.25">
      <c r="B29" s="49" t="s">
        <v>230</v>
      </c>
      <c r="C29" s="188">
        <f ca="1">C7+C28</f>
        <v>44043.913064656328</v>
      </c>
      <c r="F29" t="s">
        <v>259</v>
      </c>
    </row>
    <row r="30" spans="2:9" x14ac:dyDescent="0.25">
      <c r="B30" s="16" t="s">
        <v>235</v>
      </c>
      <c r="C30" s="187">
        <f ca="1">C9*(LOG((C3*0.6)/C12)/LOG(2))</f>
        <v>152.94958943006205</v>
      </c>
      <c r="D30" t="s">
        <v>197</v>
      </c>
    </row>
    <row r="31" spans="2:9" x14ac:dyDescent="0.25">
      <c r="B31" s="49" t="s">
        <v>232</v>
      </c>
      <c r="C31" s="188">
        <f ca="1">C7+C30</f>
        <v>44153.893437346727</v>
      </c>
    </row>
    <row r="34" spans="2:6" x14ac:dyDescent="0.25">
      <c r="B34" s="16" t="s">
        <v>236</v>
      </c>
      <c r="C34" s="177">
        <f ca="1">C7+30</f>
        <v>44030.943847916664</v>
      </c>
      <c r="F34" t="s">
        <v>278</v>
      </c>
    </row>
    <row r="35" spans="2:6" x14ac:dyDescent="0.25">
      <c r="B35" s="53" t="s">
        <v>237</v>
      </c>
      <c r="C35" s="95">
        <f ca="1">C6*(2^((C34-C7)/C9))</f>
        <v>33079.408125427224</v>
      </c>
      <c r="F35" t="s">
        <v>244</v>
      </c>
    </row>
    <row r="36" spans="2:6" x14ac:dyDescent="0.25">
      <c r="B36" s="53" t="s">
        <v>231</v>
      </c>
      <c r="C36" s="95">
        <f ca="1">C35/Projections!B37</f>
        <v>33079.408125427224</v>
      </c>
    </row>
    <row r="37" spans="2:6" x14ac:dyDescent="0.25">
      <c r="B37" s="53" t="s">
        <v>172</v>
      </c>
      <c r="C37" s="95">
        <f ca="1">C35*Projections!B41</f>
        <v>30433.055475393048</v>
      </c>
    </row>
    <row r="38" spans="2:6" x14ac:dyDescent="0.25">
      <c r="B38" s="53" t="s">
        <v>224</v>
      </c>
      <c r="C38" s="95">
        <f ca="1">C35*Projections!B42</f>
        <v>1653.9704062713613</v>
      </c>
    </row>
    <row r="39" spans="2:6" x14ac:dyDescent="0.25">
      <c r="B39" s="53" t="s">
        <v>225</v>
      </c>
      <c r="C39" s="95">
        <f ca="1">C35*Projections!B43</f>
        <v>992.38224376281664</v>
      </c>
    </row>
    <row r="40" spans="2:6" x14ac:dyDescent="0.25">
      <c r="B40" s="49" t="s">
        <v>226</v>
      </c>
      <c r="C40" s="73">
        <f ca="1">C35*Projections!B44</f>
        <v>463.11171375598116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6">
        <v>118</v>
      </c>
      <c r="C11" s="286">
        <v>115</v>
      </c>
      <c r="D11">
        <f t="shared" si="1"/>
        <v>233</v>
      </c>
      <c r="E11" s="3">
        <f t="shared" si="0"/>
        <v>3.2469342251950944E-2</v>
      </c>
    </row>
    <row r="12" spans="1:5" x14ac:dyDescent="0.25">
      <c r="A12" s="54" t="s">
        <v>21</v>
      </c>
      <c r="B12" s="286">
        <v>52</v>
      </c>
      <c r="C12" s="286">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0.53921568627450978</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9">
        <v>0.08</v>
      </c>
      <c r="I19" s="289">
        <v>0.128</v>
      </c>
      <c r="J19" s="289">
        <v>4.8000000000000001E-2</v>
      </c>
    </row>
    <row r="20" spans="1:10" x14ac:dyDescent="0.25">
      <c r="A20" s="53" t="s">
        <v>15</v>
      </c>
      <c r="B20" s="28">
        <v>6</v>
      </c>
      <c r="C20" s="28">
        <v>4</v>
      </c>
      <c r="D20">
        <f t="shared" si="2"/>
        <v>10</v>
      </c>
      <c r="E20" s="3">
        <f t="shared" si="3"/>
        <v>9.8039215686274508E-2</v>
      </c>
      <c r="F20" s="3">
        <f t="shared" si="4"/>
        <v>8.5836909871244635E-3</v>
      </c>
      <c r="H20" s="289">
        <v>3.5999999999999997E-2</v>
      </c>
      <c r="I20" s="289">
        <v>3.5000000000000003E-2</v>
      </c>
      <c r="J20" s="289">
        <v>1.9E-2</v>
      </c>
    </row>
    <row r="21" spans="1:10" x14ac:dyDescent="0.25">
      <c r="A21" s="53" t="s">
        <v>16</v>
      </c>
      <c r="B21" s="59">
        <v>1</v>
      </c>
      <c r="C21" s="59">
        <v>1</v>
      </c>
      <c r="D21">
        <f t="shared" si="2"/>
        <v>2</v>
      </c>
      <c r="E21" s="3">
        <f t="shared" si="3"/>
        <v>1.9607843137254902E-2</v>
      </c>
      <c r="F21" s="3">
        <f>D21/D7</f>
        <v>1.7667844522968198E-3</v>
      </c>
      <c r="H21" s="289">
        <v>1.2999999999999999E-2</v>
      </c>
      <c r="I21" s="289">
        <v>0.01</v>
      </c>
      <c r="J21" s="289">
        <v>4.0000000000000001E-3</v>
      </c>
    </row>
    <row r="22" spans="1:10" x14ac:dyDescent="0.25">
      <c r="A22" s="53" t="s">
        <v>17</v>
      </c>
      <c r="B22" s="59">
        <v>1</v>
      </c>
      <c r="C22" s="59">
        <v>0</v>
      </c>
      <c r="D22">
        <f t="shared" si="2"/>
        <v>1</v>
      </c>
      <c r="E22" s="3">
        <f t="shared" si="3"/>
        <v>9.8039215686274508E-3</v>
      </c>
      <c r="F22" s="3">
        <f t="shared" si="4"/>
        <v>1.0940919037199124E-3</v>
      </c>
      <c r="H22" s="289">
        <v>4.0000000000000001E-3</v>
      </c>
      <c r="I22" s="289">
        <v>4.0000000000000001E-3</v>
      </c>
      <c r="J22" s="289">
        <v>3.0000000000000001E-3</v>
      </c>
    </row>
    <row r="23" spans="1:10" x14ac:dyDescent="0.25">
      <c r="A23" s="53" t="s">
        <v>18</v>
      </c>
      <c r="B23" s="59">
        <v>0</v>
      </c>
      <c r="C23" s="59">
        <v>0</v>
      </c>
      <c r="D23">
        <f t="shared" si="2"/>
        <v>0</v>
      </c>
      <c r="E23" s="3">
        <f t="shared" si="3"/>
        <v>0</v>
      </c>
      <c r="F23" s="3">
        <f t="shared" si="4"/>
        <v>0</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2020-06-18T12:39:08Z</dcterms:modified>
</cp:coreProperties>
</file>