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B6D2B62-A3F7-4111-88E7-850B105EFAD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4" l="1"/>
  <c r="C45" i="4"/>
  <c r="O33" i="1"/>
  <c r="H17" i="1" l="1"/>
  <c r="I17" i="1" l="1"/>
  <c r="G43" i="1"/>
  <c r="G28" i="1" s="1"/>
  <c r="N7" i="1"/>
  <c r="N6" i="1"/>
  <c r="M5" i="1"/>
  <c r="K4" i="1"/>
  <c r="J3" i="1"/>
  <c r="F2" i="1"/>
  <c r="P11" i="1"/>
  <c r="O10" i="1"/>
  <c r="N9" i="1"/>
  <c r="N8" i="1"/>
  <c r="G41" i="1"/>
  <c r="G40" i="1"/>
  <c r="J17" i="1" l="1"/>
  <c r="G29" i="1"/>
  <c r="G30" i="1"/>
  <c r="G31" i="1" s="1"/>
  <c r="P42" i="1"/>
  <c r="Q42" i="1" s="1"/>
  <c r="R42" i="1" s="1"/>
  <c r="S42" i="1" s="1"/>
  <c r="T42" i="1" s="1"/>
  <c r="U42" i="1" s="1"/>
  <c r="V42" i="1" s="1"/>
  <c r="W42" i="1" s="1"/>
  <c r="X42" i="1" s="1"/>
  <c r="Y42" i="1" s="1"/>
  <c r="Z42" i="1" s="1"/>
  <c r="K17" i="1" l="1"/>
  <c r="G26" i="1"/>
  <c r="G27" i="1" s="1"/>
  <c r="G22" i="1"/>
  <c r="G24" i="1" s="1"/>
  <c r="G25" i="1" s="1"/>
  <c r="C12" i="5"/>
  <c r="C7" i="5"/>
  <c r="C8" i="5" s="1"/>
  <c r="C9" i="5" s="1"/>
  <c r="C21" i="5"/>
  <c r="C18" i="5"/>
  <c r="C15" i="5"/>
  <c r="C24" i="5"/>
  <c r="C3" i="5"/>
  <c r="L17" i="1" l="1"/>
  <c r="C30" i="5"/>
  <c r="G20" i="1"/>
  <c r="G21" i="1" s="1"/>
  <c r="C34" i="5"/>
  <c r="M17" i="1" l="1"/>
  <c r="C13" i="5"/>
  <c r="C14" i="5" s="1"/>
  <c r="Z22" i="1"/>
  <c r="G23" i="1"/>
  <c r="AB19" i="1"/>
  <c r="AB22" i="1"/>
  <c r="AB18" i="1"/>
  <c r="AA18" i="1"/>
  <c r="AA19" i="1" s="1"/>
  <c r="G36" i="1"/>
  <c r="G34" i="1"/>
  <c r="G37" i="1"/>
  <c r="G35" i="1"/>
  <c r="N17" i="1" l="1"/>
  <c r="AB23" i="1"/>
  <c r="AB24" i="1"/>
  <c r="AB32" i="1"/>
  <c r="AB26" i="1"/>
  <c r="AB30" i="1"/>
  <c r="AB28" i="1"/>
  <c r="AA42" i="1"/>
  <c r="AB42" i="1" s="1"/>
  <c r="AA26" i="1"/>
  <c r="AA22" i="1"/>
  <c r="AA24" i="1" s="1"/>
  <c r="Z23" i="1"/>
  <c r="Z24" i="1"/>
  <c r="C22" i="5"/>
  <c r="C23" i="5" s="1"/>
  <c r="C35" i="5"/>
  <c r="C40" i="5" s="1"/>
  <c r="C25" i="5"/>
  <c r="C19" i="5"/>
  <c r="C20" i="5" s="1"/>
  <c r="C16" i="5"/>
  <c r="C17" i="5" s="1"/>
  <c r="C31" i="5"/>
  <c r="AP25" i="4"/>
  <c r="E31" i="4"/>
  <c r="B17" i="4" s="1"/>
  <c r="B18" i="4" l="1"/>
  <c r="H21" i="4" s="1"/>
  <c r="V24" i="4" s="1"/>
  <c r="K20" i="4"/>
  <c r="O17"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P17" i="1" l="1"/>
  <c r="E18" i="4"/>
  <c r="E19" i="4" s="1"/>
  <c r="H17" i="4"/>
  <c r="B19" i="4"/>
  <c r="G72" i="1"/>
  <c r="G73" i="1" s="1"/>
  <c r="Q17" i="1" l="1"/>
  <c r="H18" i="4"/>
  <c r="H19" i="4" s="1"/>
  <c r="Q20" i="4"/>
  <c r="K17" i="4"/>
  <c r="T20" i="4" s="1"/>
  <c r="K21" i="4"/>
  <c r="Y24" i="4" s="1"/>
  <c r="B14" i="3"/>
  <c r="R17" i="1" l="1"/>
  <c r="K18" i="4"/>
  <c r="K19" i="4" s="1"/>
  <c r="N22" i="4"/>
  <c r="N17" i="4"/>
  <c r="W20" i="4" s="1"/>
  <c r="N21" i="4"/>
  <c r="AB24" i="4" s="1"/>
  <c r="S17" i="1" l="1"/>
  <c r="Q17" i="4"/>
  <c r="N18" i="4"/>
  <c r="Q21" i="4"/>
  <c r="AE24" i="4" s="1"/>
  <c r="Q22" i="4"/>
  <c r="N19" i="4"/>
  <c r="T17" i="4"/>
  <c r="B65" i="1"/>
  <c r="B63" i="1"/>
  <c r="B61" i="1"/>
  <c r="B59" i="1"/>
  <c r="B57" i="1"/>
  <c r="B55" i="1"/>
  <c r="B53" i="1"/>
  <c r="B51" i="1"/>
  <c r="B49" i="1"/>
  <c r="T17" i="1" l="1"/>
  <c r="T18" i="4"/>
  <c r="T19" i="4" s="1"/>
  <c r="AC20" i="4"/>
  <c r="Q18" i="4"/>
  <c r="Q19" i="4" s="1"/>
  <c r="Z20" i="4"/>
  <c r="T21" i="4"/>
  <c r="AH24" i="4" s="1"/>
  <c r="T22" i="4"/>
  <c r="T23" i="4"/>
  <c r="W21" i="4"/>
  <c r="AK24" i="4" s="1"/>
  <c r="W23" i="4"/>
  <c r="W22" i="4"/>
  <c r="W17" i="4"/>
  <c r="U17" i="1" l="1"/>
  <c r="W18" i="4"/>
  <c r="W19" i="4" s="1"/>
  <c r="AF20" i="4"/>
  <c r="Z21" i="4"/>
  <c r="AN24" i="4" s="1"/>
  <c r="Z23" i="4"/>
  <c r="Z22" i="4"/>
  <c r="Z17" i="4"/>
  <c r="C82" i="1"/>
  <c r="C80" i="1"/>
  <c r="C78" i="1"/>
  <c r="C76" i="1"/>
  <c r="C74" i="1"/>
  <c r="C72" i="1"/>
  <c r="G32" i="1"/>
  <c r="C5" i="3"/>
  <c r="D51" i="1" s="1"/>
  <c r="V17" i="1" l="1"/>
  <c r="Z18" i="4"/>
  <c r="Z19" i="4" s="1"/>
  <c r="AI20" i="4"/>
  <c r="AC21" i="4"/>
  <c r="AC22" i="4"/>
  <c r="AC23" i="4"/>
  <c r="AC17" i="4"/>
  <c r="AA76" i="1"/>
  <c r="AA77" i="1" s="1"/>
  <c r="AA32" i="1"/>
  <c r="AA72" i="1"/>
  <c r="AA78" i="1"/>
  <c r="AA79" i="1" s="1"/>
  <c r="AA74" i="1"/>
  <c r="AA75" i="1" s="1"/>
  <c r="AA73" i="1"/>
  <c r="AA82" i="1"/>
  <c r="AA80" i="1"/>
  <c r="AA81" i="1" s="1"/>
  <c r="AA51" i="1"/>
  <c r="AA52" i="1"/>
  <c r="C7" i="3"/>
  <c r="D55" i="1" s="1"/>
  <c r="C4" i="3"/>
  <c r="D49" i="1" s="1"/>
  <c r="C12" i="3"/>
  <c r="D65" i="1" s="1"/>
  <c r="G66" i="1" s="1"/>
  <c r="C11" i="3"/>
  <c r="D63" i="1" s="1"/>
  <c r="C10" i="3"/>
  <c r="D61" i="1" s="1"/>
  <c r="C9" i="3"/>
  <c r="D59" i="1" s="1"/>
  <c r="C8" i="3"/>
  <c r="D57" i="1" s="1"/>
  <c r="C6" i="3"/>
  <c r="D53" i="1" s="1"/>
  <c r="AA53" i="1" s="1"/>
  <c r="C8" i="1"/>
  <c r="C10" i="5" s="1"/>
  <c r="C26" i="5" s="1"/>
  <c r="C27" i="5" s="1"/>
  <c r="C9" i="1"/>
  <c r="C11" i="5" s="1"/>
  <c r="C28" i="5" s="1"/>
  <c r="C29" i="5" s="1"/>
  <c r="G52" i="1"/>
  <c r="G82" i="1"/>
  <c r="G80" i="1"/>
  <c r="G78" i="1"/>
  <c r="G79" i="1" s="1"/>
  <c r="G76" i="1"/>
  <c r="G77" i="1" s="1"/>
  <c r="G74" i="1"/>
  <c r="G75" i="1" s="1"/>
  <c r="C51" i="1"/>
  <c r="C53" i="1"/>
  <c r="C55" i="1"/>
  <c r="C57" i="1"/>
  <c r="C59" i="1"/>
  <c r="C61" i="1"/>
  <c r="C63" i="1"/>
  <c r="C65" i="1"/>
  <c r="C49" i="1"/>
  <c r="C13" i="2"/>
  <c r="D13" i="2" s="1"/>
  <c r="C25" i="2"/>
  <c r="D25" i="2" s="1"/>
  <c r="C37" i="2"/>
  <c r="D37" i="2" s="1"/>
  <c r="D49" i="2"/>
  <c r="C49" i="2"/>
  <c r="C61" i="2"/>
  <c r="D61" i="2" s="1"/>
  <c r="D73" i="2"/>
  <c r="C73" i="2"/>
  <c r="C85" i="2"/>
  <c r="D85" i="2" s="1"/>
  <c r="C107" i="2"/>
  <c r="D107" i="2" s="1"/>
  <c r="C97" i="2"/>
  <c r="D97" i="2" s="1"/>
  <c r="G19" i="1"/>
  <c r="H18" i="1"/>
  <c r="W17" i="1" l="1"/>
  <c r="AC18" i="4"/>
  <c r="AL20" i="4"/>
  <c r="H28" i="1"/>
  <c r="H30" i="1"/>
  <c r="H31" i="1" s="1"/>
  <c r="H43" i="1"/>
  <c r="H41" i="1"/>
  <c r="H26" i="1"/>
  <c r="H27" i="1" s="1"/>
  <c r="H34" i="1"/>
  <c r="H37" i="1"/>
  <c r="H40" i="1"/>
  <c r="H35" i="1"/>
  <c r="H36" i="1"/>
  <c r="AA84" i="1"/>
  <c r="H22" i="1"/>
  <c r="AF22" i="4"/>
  <c r="AF23" i="4"/>
  <c r="AF21" i="4"/>
  <c r="AF17" i="4"/>
  <c r="AC19" i="4"/>
  <c r="G50" i="1"/>
  <c r="G49" i="1"/>
  <c r="AA85" i="1"/>
  <c r="G58" i="1"/>
  <c r="G57" i="1"/>
  <c r="AA61" i="1"/>
  <c r="AA62" i="1"/>
  <c r="AA63" i="1"/>
  <c r="AA64" i="1"/>
  <c r="AA57" i="1"/>
  <c r="AA58" i="1"/>
  <c r="AA55" i="1"/>
  <c r="AA56" i="1"/>
  <c r="AA60" i="1"/>
  <c r="AA59" i="1"/>
  <c r="G61" i="1"/>
  <c r="G60" i="1"/>
  <c r="G63" i="1"/>
  <c r="AA49" i="1"/>
  <c r="AA50" i="1"/>
  <c r="AA54" i="1"/>
  <c r="AA66" i="1"/>
  <c r="AA65" i="1"/>
  <c r="G53" i="1"/>
  <c r="I18" i="1"/>
  <c r="I26" i="1" s="1"/>
  <c r="I27" i="1" s="1"/>
  <c r="H76" i="1"/>
  <c r="H77" i="1" s="1"/>
  <c r="G54" i="1"/>
  <c r="H65" i="1"/>
  <c r="H74" i="1"/>
  <c r="H75" i="1" s="1"/>
  <c r="G62" i="1"/>
  <c r="H63" i="1"/>
  <c r="H82" i="1"/>
  <c r="G51" i="1"/>
  <c r="G59" i="1"/>
  <c r="H80" i="1"/>
  <c r="H81" i="1" s="1"/>
  <c r="H78" i="1"/>
  <c r="H79" i="1" s="1"/>
  <c r="H61" i="1"/>
  <c r="H54" i="1"/>
  <c r="H58" i="1"/>
  <c r="H62" i="1"/>
  <c r="H66" i="1"/>
  <c r="G84" i="1"/>
  <c r="H72" i="1"/>
  <c r="H73" i="1" s="1"/>
  <c r="G55" i="1"/>
  <c r="H51" i="1"/>
  <c r="G56" i="1"/>
  <c r="G64" i="1"/>
  <c r="H55" i="1"/>
  <c r="H52" i="1"/>
  <c r="H59" i="1"/>
  <c r="G65" i="1"/>
  <c r="H49" i="1"/>
  <c r="H56" i="1"/>
  <c r="H60" i="1"/>
  <c r="H64" i="1"/>
  <c r="H53" i="1"/>
  <c r="H50" i="1"/>
  <c r="H57" i="1"/>
  <c r="G81" i="1"/>
  <c r="G85" i="1" s="1"/>
  <c r="H19" i="1"/>
  <c r="H32" i="1"/>
  <c r="X17" i="1" l="1"/>
  <c r="AF18" i="4"/>
  <c r="AO20" i="4"/>
  <c r="H29" i="1"/>
  <c r="H20" i="1"/>
  <c r="H21" i="1" s="1"/>
  <c r="I74" i="1"/>
  <c r="I75" i="1" s="1"/>
  <c r="I55" i="1"/>
  <c r="I30" i="1"/>
  <c r="I31" i="1" s="1"/>
  <c r="I80" i="1"/>
  <c r="I81" i="1" s="1"/>
  <c r="I51" i="1"/>
  <c r="I50" i="1"/>
  <c r="I72" i="1"/>
  <c r="I73" i="1" s="1"/>
  <c r="I52" i="1"/>
  <c r="I19" i="1"/>
  <c r="H23" i="1"/>
  <c r="H24" i="1"/>
  <c r="H25" i="1" s="1"/>
  <c r="I41" i="1"/>
  <c r="I43" i="1"/>
  <c r="J18" i="1"/>
  <c r="J26" i="1" s="1"/>
  <c r="J27" i="1" s="1"/>
  <c r="I22" i="1"/>
  <c r="I32" i="1"/>
  <c r="I65" i="1"/>
  <c r="I64" i="1"/>
  <c r="I76" i="1"/>
  <c r="I77" i="1" s="1"/>
  <c r="I60" i="1"/>
  <c r="I59" i="1"/>
  <c r="I36" i="1"/>
  <c r="I34" i="1"/>
  <c r="I37" i="1"/>
  <c r="I40" i="1"/>
  <c r="I35" i="1"/>
  <c r="AI23" i="4"/>
  <c r="AI21" i="4"/>
  <c r="AI22" i="4"/>
  <c r="AI17" i="4"/>
  <c r="AI18" i="4" s="1"/>
  <c r="AF19" i="4"/>
  <c r="AA67" i="1"/>
  <c r="AA68" i="1"/>
  <c r="G68" i="1"/>
  <c r="H68" i="1"/>
  <c r="I62" i="1"/>
  <c r="I61" i="1"/>
  <c r="I57" i="1"/>
  <c r="I54" i="1"/>
  <c r="I56" i="1"/>
  <c r="I49" i="1"/>
  <c r="I58" i="1"/>
  <c r="I63" i="1"/>
  <c r="I82" i="1"/>
  <c r="I53" i="1"/>
  <c r="I78" i="1"/>
  <c r="I79" i="1" s="1"/>
  <c r="I66" i="1"/>
  <c r="J82" i="1"/>
  <c r="J59" i="1"/>
  <c r="J64" i="1"/>
  <c r="J53" i="1"/>
  <c r="J74" i="1"/>
  <c r="J75" i="1" s="1"/>
  <c r="J61" i="1"/>
  <c r="J62" i="1"/>
  <c r="J66" i="1"/>
  <c r="J52" i="1"/>
  <c r="J54" i="1"/>
  <c r="J56" i="1"/>
  <c r="J49" i="1"/>
  <c r="H84" i="1"/>
  <c r="G67" i="1"/>
  <c r="H67" i="1"/>
  <c r="H85" i="1"/>
  <c r="Y17" i="1" l="1"/>
  <c r="J30" i="1"/>
  <c r="J31" i="1" s="1"/>
  <c r="J60" i="1"/>
  <c r="J58" i="1"/>
  <c r="J51" i="1"/>
  <c r="J72" i="1"/>
  <c r="J73" i="1" s="1"/>
  <c r="J55" i="1"/>
  <c r="K18" i="1"/>
  <c r="K61" i="1" s="1"/>
  <c r="J65" i="1"/>
  <c r="J63" i="1"/>
  <c r="J32" i="1"/>
  <c r="J76" i="1"/>
  <c r="J77" i="1" s="1"/>
  <c r="I85" i="1"/>
  <c r="J50" i="1"/>
  <c r="J78" i="1"/>
  <c r="J79" i="1" s="1"/>
  <c r="J80" i="1"/>
  <c r="J81" i="1" s="1"/>
  <c r="J19" i="1"/>
  <c r="J57" i="1"/>
  <c r="J41" i="1"/>
  <c r="J43" i="1"/>
  <c r="I23" i="1"/>
  <c r="I24" i="1"/>
  <c r="I25" i="1" s="1"/>
  <c r="J35" i="1"/>
  <c r="J36" i="1"/>
  <c r="J37" i="1"/>
  <c r="J40" i="1"/>
  <c r="J34" i="1"/>
  <c r="I84" i="1"/>
  <c r="J22" i="1"/>
  <c r="AL22" i="4"/>
  <c r="AL21" i="4"/>
  <c r="AL23" i="4"/>
  <c r="AL17" i="4"/>
  <c r="AL18" i="4" s="1"/>
  <c r="AI19" i="4"/>
  <c r="I67" i="1"/>
  <c r="I68" i="1"/>
  <c r="Z17" i="1" l="1"/>
  <c r="K65" i="1"/>
  <c r="K62" i="1"/>
  <c r="K74" i="1"/>
  <c r="K75" i="1" s="1"/>
  <c r="K59" i="1"/>
  <c r="K60" i="1"/>
  <c r="K51" i="1"/>
  <c r="K57" i="1"/>
  <c r="K72" i="1"/>
  <c r="K73" i="1" s="1"/>
  <c r="J68" i="1"/>
  <c r="K58" i="1"/>
  <c r="K50" i="1"/>
  <c r="K80" i="1"/>
  <c r="K81" i="1" s="1"/>
  <c r="K64" i="1"/>
  <c r="K56" i="1"/>
  <c r="K63" i="1"/>
  <c r="K78" i="1"/>
  <c r="K79" i="1" s="1"/>
  <c r="J85" i="1"/>
  <c r="K26" i="1"/>
  <c r="K19" i="1"/>
  <c r="K52" i="1"/>
  <c r="K53" i="1"/>
  <c r="K76" i="1"/>
  <c r="K77" i="1" s="1"/>
  <c r="K22" i="1"/>
  <c r="K24" i="1" s="1"/>
  <c r="K32" i="1"/>
  <c r="K55" i="1"/>
  <c r="L18" i="1"/>
  <c r="L62" i="1" s="1"/>
  <c r="K66" i="1"/>
  <c r="J67" i="1"/>
  <c r="K54" i="1"/>
  <c r="K82" i="1"/>
  <c r="J84" i="1"/>
  <c r="K49" i="1"/>
  <c r="K41" i="1"/>
  <c r="K43" i="1"/>
  <c r="J23" i="1"/>
  <c r="J24" i="1"/>
  <c r="J25" i="1" s="1"/>
  <c r="K35" i="1"/>
  <c r="K40" i="1"/>
  <c r="K36" i="1"/>
  <c r="K37" i="1"/>
  <c r="K34" i="1"/>
  <c r="AO21" i="4"/>
  <c r="AO22" i="4"/>
  <c r="AO23" i="4"/>
  <c r="AO17" i="4"/>
  <c r="AL19" i="4"/>
  <c r="L59" i="1"/>
  <c r="L49" i="1"/>
  <c r="L52" i="1"/>
  <c r="AA17" i="1" l="1"/>
  <c r="AO18" i="4"/>
  <c r="AO19" i="4" s="1"/>
  <c r="K67" i="1"/>
  <c r="K85" i="1"/>
  <c r="L65" i="1"/>
  <c r="L32" i="1"/>
  <c r="M18" i="1"/>
  <c r="M63" i="1" s="1"/>
  <c r="L54" i="1"/>
  <c r="L80" i="1"/>
  <c r="L81" i="1" s="1"/>
  <c r="L60" i="1"/>
  <c r="L61" i="1"/>
  <c r="K84" i="1"/>
  <c r="L57" i="1"/>
  <c r="K68" i="1"/>
  <c r="L19" i="1"/>
  <c r="L55" i="1"/>
  <c r="L78" i="1"/>
  <c r="L79" i="1" s="1"/>
  <c r="L26" i="1"/>
  <c r="L74" i="1"/>
  <c r="L75" i="1" s="1"/>
  <c r="L56" i="1"/>
  <c r="L22" i="1"/>
  <c r="L23" i="1" s="1"/>
  <c r="L64" i="1"/>
  <c r="L63" i="1"/>
  <c r="L58" i="1"/>
  <c r="L76" i="1"/>
  <c r="L77" i="1" s="1"/>
  <c r="L51" i="1"/>
  <c r="L72" i="1"/>
  <c r="L73" i="1" s="1"/>
  <c r="L82" i="1"/>
  <c r="L53" i="1"/>
  <c r="K23" i="1"/>
  <c r="L50" i="1"/>
  <c r="L66" i="1"/>
  <c r="M22" i="1"/>
  <c r="M26" i="1"/>
  <c r="L41" i="1"/>
  <c r="L43" i="1"/>
  <c r="L35" i="1"/>
  <c r="L36" i="1"/>
  <c r="L34" i="1"/>
  <c r="L37" i="1"/>
  <c r="L40" i="1"/>
  <c r="M59" i="1"/>
  <c r="M51" i="1"/>
  <c r="M49" i="1"/>
  <c r="M50" i="1"/>
  <c r="M58" i="1"/>
  <c r="M57" i="1"/>
  <c r="M72" i="1"/>
  <c r="M82" i="1"/>
  <c r="M55" i="1"/>
  <c r="M56" i="1"/>
  <c r="M76" i="1"/>
  <c r="M77" i="1" s="1"/>
  <c r="M52" i="1"/>
  <c r="M78" i="1"/>
  <c r="M79" i="1" s="1"/>
  <c r="M60" i="1"/>
  <c r="M74" i="1"/>
  <c r="M75" i="1" s="1"/>
  <c r="M19" i="1"/>
  <c r="M62" i="1"/>
  <c r="M61" i="1"/>
  <c r="M54" i="1"/>
  <c r="M64" i="1"/>
  <c r="M32" i="1"/>
  <c r="N18" i="1" l="1"/>
  <c r="M66" i="1"/>
  <c r="M65" i="1"/>
  <c r="M80" i="1"/>
  <c r="M81" i="1" s="1"/>
  <c r="M53" i="1"/>
  <c r="M67" i="1" s="1"/>
  <c r="L85" i="1"/>
  <c r="L68" i="1"/>
  <c r="L84" i="1"/>
  <c r="L67" i="1"/>
  <c r="L24" i="1"/>
  <c r="N22" i="1"/>
  <c r="N26" i="1"/>
  <c r="M41" i="1"/>
  <c r="M43" i="1"/>
  <c r="M23" i="1"/>
  <c r="M24" i="1"/>
  <c r="M84" i="1"/>
  <c r="M35" i="1"/>
  <c r="M36" i="1"/>
  <c r="M37" i="1"/>
  <c r="M34" i="1"/>
  <c r="M40" i="1"/>
  <c r="M73" i="1"/>
  <c r="M85" i="1" s="1"/>
  <c r="M68" i="1"/>
  <c r="O18" i="1"/>
  <c r="O26" i="1" s="1"/>
  <c r="N57" i="1"/>
  <c r="N63" i="1"/>
  <c r="N50" i="1"/>
  <c r="N66" i="1"/>
  <c r="N56" i="1"/>
  <c r="N61" i="1"/>
  <c r="N59" i="1"/>
  <c r="N55" i="1"/>
  <c r="N51" i="1"/>
  <c r="N53" i="1"/>
  <c r="N76" i="1"/>
  <c r="N77" i="1" s="1"/>
  <c r="N54" i="1"/>
  <c r="N65" i="1"/>
  <c r="N60" i="1"/>
  <c r="N82" i="1"/>
  <c r="N32" i="1"/>
  <c r="N49" i="1"/>
  <c r="N58" i="1"/>
  <c r="N52" i="1"/>
  <c r="N80" i="1"/>
  <c r="N81" i="1" s="1"/>
  <c r="N64" i="1"/>
  <c r="N19" i="1"/>
  <c r="N78" i="1"/>
  <c r="N79" i="1" s="1"/>
  <c r="N74" i="1"/>
  <c r="N75" i="1" s="1"/>
  <c r="N72" i="1"/>
  <c r="N62" i="1"/>
  <c r="O43" i="1" l="1"/>
  <c r="N33" i="1"/>
  <c r="N43" i="1"/>
  <c r="N41" i="1"/>
  <c r="N40" i="1"/>
  <c r="N23" i="1"/>
  <c r="N24" i="1"/>
  <c r="N35" i="1"/>
  <c r="N37" i="1"/>
  <c r="N36" i="1"/>
  <c r="N34" i="1"/>
  <c r="O22" i="1"/>
  <c r="P18" i="1"/>
  <c r="N67" i="1"/>
  <c r="N68" i="1"/>
  <c r="N73" i="1"/>
  <c r="N85" i="1" s="1"/>
  <c r="N84" i="1"/>
  <c r="O74" i="1"/>
  <c r="O75" i="1" s="1"/>
  <c r="O64" i="1"/>
  <c r="O49" i="1"/>
  <c r="O80" i="1"/>
  <c r="O81" i="1" s="1"/>
  <c r="O78" i="1"/>
  <c r="O79" i="1" s="1"/>
  <c r="O19" i="1"/>
  <c r="O55" i="1"/>
  <c r="O56" i="1"/>
  <c r="O50" i="1"/>
  <c r="O82" i="1"/>
  <c r="O54" i="1"/>
  <c r="O59" i="1"/>
  <c r="O60" i="1"/>
  <c r="O58" i="1"/>
  <c r="O57" i="1"/>
  <c r="O76" i="1"/>
  <c r="O77" i="1" s="1"/>
  <c r="O52" i="1"/>
  <c r="O65" i="1"/>
  <c r="O62" i="1"/>
  <c r="O66" i="1"/>
  <c r="O61" i="1"/>
  <c r="O53" i="1"/>
  <c r="O72" i="1"/>
  <c r="O63" i="1"/>
  <c r="O51" i="1"/>
  <c r="O32" i="1"/>
  <c r="O40" i="1" l="1"/>
  <c r="O41" i="1"/>
  <c r="P32" i="1"/>
  <c r="P26" i="1"/>
  <c r="O23" i="1"/>
  <c r="O24" i="1"/>
  <c r="Q18" i="1"/>
  <c r="Q26" i="1" s="1"/>
  <c r="P19" i="1"/>
  <c r="P22" i="1"/>
  <c r="O35" i="1"/>
  <c r="O37" i="1"/>
  <c r="O34" i="1"/>
  <c r="O36" i="1"/>
  <c r="O67" i="1"/>
  <c r="O73" i="1"/>
  <c r="O85" i="1" s="1"/>
  <c r="O84" i="1"/>
  <c r="P57" i="1"/>
  <c r="P50" i="1"/>
  <c r="P61" i="1"/>
  <c r="P65" i="1"/>
  <c r="P56" i="1"/>
  <c r="P60" i="1"/>
  <c r="P54" i="1"/>
  <c r="P82" i="1"/>
  <c r="P53" i="1"/>
  <c r="P80" i="1"/>
  <c r="P81" i="1" s="1"/>
  <c r="P78" i="1"/>
  <c r="P79" i="1" s="1"/>
  <c r="P58" i="1"/>
  <c r="P59" i="1"/>
  <c r="P55" i="1"/>
  <c r="P51" i="1"/>
  <c r="P74" i="1"/>
  <c r="P75" i="1" s="1"/>
  <c r="P72" i="1"/>
  <c r="P76" i="1"/>
  <c r="P77" i="1" s="1"/>
  <c r="P62" i="1"/>
  <c r="P49" i="1"/>
  <c r="P64" i="1"/>
  <c r="P52" i="1"/>
  <c r="P63" i="1"/>
  <c r="P66" i="1"/>
  <c r="O68" i="1"/>
  <c r="P23" i="1" l="1"/>
  <c r="P24" i="1"/>
  <c r="P43" i="1"/>
  <c r="P41" i="1"/>
  <c r="P40" i="1"/>
  <c r="P36" i="1"/>
  <c r="P37" i="1"/>
  <c r="P34" i="1"/>
  <c r="P35" i="1"/>
  <c r="Q22" i="1"/>
  <c r="R18" i="1"/>
  <c r="Q32" i="1"/>
  <c r="Q19" i="1"/>
  <c r="P67" i="1"/>
  <c r="P73" i="1"/>
  <c r="P85" i="1" s="1"/>
  <c r="P84" i="1"/>
  <c r="P68" i="1"/>
  <c r="Q56" i="1"/>
  <c r="Q52" i="1"/>
  <c r="Q66" i="1"/>
  <c r="Q60" i="1"/>
  <c r="Q76" i="1"/>
  <c r="Q77" i="1" s="1"/>
  <c r="Q61" i="1"/>
  <c r="Q74" i="1"/>
  <c r="Q75" i="1" s="1"/>
  <c r="Q54" i="1"/>
  <c r="Q57" i="1"/>
  <c r="Q82" i="1"/>
  <c r="Q80" i="1"/>
  <c r="Q81" i="1" s="1"/>
  <c r="Q55" i="1"/>
  <c r="Q49" i="1"/>
  <c r="Q64" i="1"/>
  <c r="Q78" i="1"/>
  <c r="Q79" i="1" s="1"/>
  <c r="Q58" i="1"/>
  <c r="Q51" i="1"/>
  <c r="Q63" i="1"/>
  <c r="Q72" i="1"/>
  <c r="Q65" i="1"/>
  <c r="Q59" i="1"/>
  <c r="Q53" i="1"/>
  <c r="Q50" i="1"/>
  <c r="Q62" i="1"/>
  <c r="Q43" i="1" l="1"/>
  <c r="Q41" i="1"/>
  <c r="Q40" i="1"/>
  <c r="Q23" i="1"/>
  <c r="Q24" i="1"/>
  <c r="R26" i="1"/>
  <c r="R32" i="1"/>
  <c r="R22" i="1"/>
  <c r="S18" i="1"/>
  <c r="S26" i="1" s="1"/>
  <c r="R19" i="1"/>
  <c r="Q37" i="1"/>
  <c r="Q34" i="1"/>
  <c r="Q36" i="1"/>
  <c r="Q35" i="1"/>
  <c r="Q67" i="1"/>
  <c r="Q68" i="1"/>
  <c r="Q73" i="1"/>
  <c r="Q85" i="1" s="1"/>
  <c r="Q84" i="1"/>
  <c r="R66" i="1"/>
  <c r="R82" i="1"/>
  <c r="R58" i="1"/>
  <c r="R60" i="1"/>
  <c r="R64" i="1"/>
  <c r="R72" i="1"/>
  <c r="R57" i="1"/>
  <c r="R55" i="1"/>
  <c r="R49" i="1"/>
  <c r="R53" i="1"/>
  <c r="R52" i="1"/>
  <c r="R80" i="1"/>
  <c r="R81" i="1" s="1"/>
  <c r="R54" i="1"/>
  <c r="R61" i="1"/>
  <c r="R76" i="1"/>
  <c r="R77" i="1" s="1"/>
  <c r="R78" i="1"/>
  <c r="R79" i="1" s="1"/>
  <c r="R62" i="1"/>
  <c r="R74" i="1"/>
  <c r="R75" i="1" s="1"/>
  <c r="R59" i="1"/>
  <c r="R50" i="1"/>
  <c r="R51" i="1"/>
  <c r="R65" i="1"/>
  <c r="R56" i="1"/>
  <c r="R63" i="1"/>
  <c r="K25" i="1" l="1"/>
  <c r="L25" i="1"/>
  <c r="M25" i="1"/>
  <c r="N25" i="1"/>
  <c r="O25" i="1"/>
  <c r="O28" i="1"/>
  <c r="P28" i="1"/>
  <c r="P25" i="1"/>
  <c r="Q25" i="1"/>
  <c r="K27" i="1"/>
  <c r="M27" i="1"/>
  <c r="L27" i="1"/>
  <c r="O27" i="1"/>
  <c r="N27" i="1"/>
  <c r="Q27" i="1"/>
  <c r="P27" i="1"/>
  <c r="Q33" i="1"/>
  <c r="Q30" i="1"/>
  <c r="Q31" i="1" s="1"/>
  <c r="O30" i="1"/>
  <c r="O31" i="1" s="1"/>
  <c r="O29" i="1" s="1"/>
  <c r="J28" i="1"/>
  <c r="K30" i="1"/>
  <c r="K31" i="1" s="1"/>
  <c r="L30" i="1"/>
  <c r="L31" i="1" s="1"/>
  <c r="I28" i="1"/>
  <c r="N30" i="1"/>
  <c r="N31" i="1" s="1"/>
  <c r="K28" i="1"/>
  <c r="M30" i="1"/>
  <c r="M31" i="1" s="1"/>
  <c r="L28" i="1"/>
  <c r="M28" i="1"/>
  <c r="N28" i="1"/>
  <c r="P33" i="1"/>
  <c r="P30" i="1"/>
  <c r="P31" i="1" s="1"/>
  <c r="Q28" i="1"/>
  <c r="R41" i="1"/>
  <c r="R43" i="1"/>
  <c r="R23" i="1"/>
  <c r="R24" i="1"/>
  <c r="R34" i="1"/>
  <c r="R36" i="1"/>
  <c r="R40" i="1"/>
  <c r="R35" i="1"/>
  <c r="R37" i="1"/>
  <c r="S19" i="1"/>
  <c r="S22" i="1"/>
  <c r="S24" i="1" s="1"/>
  <c r="S32" i="1"/>
  <c r="R73" i="1"/>
  <c r="R85" i="1" s="1"/>
  <c r="R84" i="1"/>
  <c r="T18" i="1"/>
  <c r="S52" i="1"/>
  <c r="S64" i="1"/>
  <c r="S61" i="1"/>
  <c r="S54" i="1"/>
  <c r="S50" i="1"/>
  <c r="S76" i="1"/>
  <c r="S77" i="1" s="1"/>
  <c r="S82" i="1"/>
  <c r="S59" i="1"/>
  <c r="S53" i="1"/>
  <c r="S66" i="1"/>
  <c r="S80" i="1"/>
  <c r="S81" i="1" s="1"/>
  <c r="S55" i="1"/>
  <c r="S56" i="1"/>
  <c r="S63" i="1"/>
  <c r="S74" i="1"/>
  <c r="S75" i="1" s="1"/>
  <c r="S57" i="1"/>
  <c r="S78" i="1"/>
  <c r="S79" i="1" s="1"/>
  <c r="S51" i="1"/>
  <c r="S58" i="1"/>
  <c r="S49" i="1"/>
  <c r="S60" i="1"/>
  <c r="S62" i="1"/>
  <c r="S72" i="1"/>
  <c r="S65" i="1"/>
  <c r="R68" i="1"/>
  <c r="R67" i="1"/>
  <c r="P29" i="1" l="1"/>
  <c r="P20" i="1" s="1"/>
  <c r="O20" i="1"/>
  <c r="O21" i="1" s="1"/>
  <c r="I29" i="1"/>
  <c r="I20" i="1" s="1"/>
  <c r="I21" i="1" s="1"/>
  <c r="J29" i="1"/>
  <c r="J20" i="1" s="1"/>
  <c r="J21" i="1" s="1"/>
  <c r="N29" i="1"/>
  <c r="N20" i="1" s="1"/>
  <c r="N21" i="1" s="1"/>
  <c r="L29" i="1"/>
  <c r="L20" i="1"/>
  <c r="L21" i="1" s="1"/>
  <c r="Q29" i="1"/>
  <c r="Q20" i="1" s="1"/>
  <c r="Q21" i="1" s="1"/>
  <c r="M29" i="1"/>
  <c r="M20" i="1" s="1"/>
  <c r="M21" i="1" s="1"/>
  <c r="K29" i="1"/>
  <c r="K20" i="1" s="1"/>
  <c r="K21" i="1" s="1"/>
  <c r="P21" i="1"/>
  <c r="T22" i="1"/>
  <c r="T26" i="1"/>
  <c r="S23" i="1"/>
  <c r="S41" i="1"/>
  <c r="S43" i="1"/>
  <c r="S34" i="1"/>
  <c r="S36" i="1"/>
  <c r="S37" i="1"/>
  <c r="S40" i="1"/>
  <c r="S35" i="1"/>
  <c r="T32" i="1"/>
  <c r="S67" i="1"/>
  <c r="S68" i="1"/>
  <c r="S73" i="1"/>
  <c r="S85" i="1" s="1"/>
  <c r="S84" i="1"/>
  <c r="U18" i="1"/>
  <c r="T54" i="1"/>
  <c r="T59" i="1"/>
  <c r="T53" i="1"/>
  <c r="T52" i="1"/>
  <c r="T58" i="1"/>
  <c r="T82" i="1"/>
  <c r="T49" i="1"/>
  <c r="T63" i="1"/>
  <c r="T78" i="1"/>
  <c r="T79" i="1" s="1"/>
  <c r="T57" i="1"/>
  <c r="T64" i="1"/>
  <c r="T65" i="1"/>
  <c r="T61" i="1"/>
  <c r="T76" i="1"/>
  <c r="T77" i="1" s="1"/>
  <c r="T19" i="1"/>
  <c r="T74" i="1"/>
  <c r="T75" i="1" s="1"/>
  <c r="T56" i="1"/>
  <c r="T62" i="1"/>
  <c r="T55" i="1"/>
  <c r="T50" i="1"/>
  <c r="T80" i="1"/>
  <c r="T81" i="1" s="1"/>
  <c r="T72" i="1"/>
  <c r="T60" i="1"/>
  <c r="T66" i="1"/>
  <c r="T51" i="1"/>
  <c r="T41" i="1" l="1"/>
  <c r="T43" i="1"/>
  <c r="U22" i="1"/>
  <c r="U26" i="1"/>
  <c r="T23" i="1"/>
  <c r="T24" i="1"/>
  <c r="T37" i="1"/>
  <c r="T36" i="1"/>
  <c r="T34" i="1"/>
  <c r="T40" i="1"/>
  <c r="T35" i="1"/>
  <c r="U32" i="1"/>
  <c r="T67" i="1"/>
  <c r="T73" i="1"/>
  <c r="T85" i="1" s="1"/>
  <c r="T84" i="1"/>
  <c r="V18" i="1"/>
  <c r="U52" i="1"/>
  <c r="U55" i="1"/>
  <c r="U57" i="1"/>
  <c r="U56" i="1"/>
  <c r="U66" i="1"/>
  <c r="U78" i="1"/>
  <c r="U79" i="1" s="1"/>
  <c r="U53" i="1"/>
  <c r="U59" i="1"/>
  <c r="U63" i="1"/>
  <c r="U74" i="1"/>
  <c r="U75" i="1" s="1"/>
  <c r="U58" i="1"/>
  <c r="U76" i="1"/>
  <c r="U77" i="1" s="1"/>
  <c r="U62" i="1"/>
  <c r="U82" i="1"/>
  <c r="U50" i="1"/>
  <c r="U60" i="1"/>
  <c r="U80" i="1"/>
  <c r="U81" i="1" s="1"/>
  <c r="U72" i="1"/>
  <c r="U51" i="1"/>
  <c r="U54" i="1"/>
  <c r="U49" i="1"/>
  <c r="U65" i="1"/>
  <c r="U64" i="1"/>
  <c r="U19" i="1"/>
  <c r="U61" i="1"/>
  <c r="T68" i="1"/>
  <c r="V22" i="1" l="1"/>
  <c r="V26" i="1"/>
  <c r="U41" i="1"/>
  <c r="U43" i="1"/>
  <c r="U23" i="1"/>
  <c r="U24" i="1"/>
  <c r="U37" i="1"/>
  <c r="U34" i="1"/>
  <c r="U36" i="1"/>
  <c r="U40" i="1"/>
  <c r="U35" i="1"/>
  <c r="V32" i="1"/>
  <c r="U68" i="1"/>
  <c r="U73" i="1"/>
  <c r="U85" i="1" s="1"/>
  <c r="U84" i="1"/>
  <c r="U67" i="1"/>
  <c r="W18" i="1"/>
  <c r="V76" i="1"/>
  <c r="V77" i="1" s="1"/>
  <c r="V54" i="1"/>
  <c r="V50" i="1"/>
  <c r="V59" i="1"/>
  <c r="V80" i="1"/>
  <c r="V81" i="1" s="1"/>
  <c r="V52" i="1"/>
  <c r="V78" i="1"/>
  <c r="V79" i="1" s="1"/>
  <c r="V58" i="1"/>
  <c r="V51" i="1"/>
  <c r="V56" i="1"/>
  <c r="V72" i="1"/>
  <c r="V55" i="1"/>
  <c r="V60" i="1"/>
  <c r="V62" i="1"/>
  <c r="V19" i="1"/>
  <c r="V74" i="1"/>
  <c r="V75" i="1" s="1"/>
  <c r="V65" i="1"/>
  <c r="V53" i="1"/>
  <c r="V66" i="1"/>
  <c r="V49" i="1"/>
  <c r="V64" i="1"/>
  <c r="V63" i="1"/>
  <c r="V57" i="1"/>
  <c r="V82" i="1"/>
  <c r="V61" i="1"/>
  <c r="V43" i="1" l="1"/>
  <c r="V41" i="1"/>
  <c r="W22" i="1"/>
  <c r="W26" i="1"/>
  <c r="V23" i="1"/>
  <c r="V24" i="1"/>
  <c r="V34" i="1"/>
  <c r="V36" i="1"/>
  <c r="V40" i="1"/>
  <c r="V35" i="1"/>
  <c r="V37" i="1"/>
  <c r="W32" i="1"/>
  <c r="X18" i="1"/>
  <c r="D14" i="1" s="1"/>
  <c r="V67" i="1"/>
  <c r="V68" i="1"/>
  <c r="V73" i="1"/>
  <c r="V85" i="1" s="1"/>
  <c r="V84" i="1"/>
  <c r="W55" i="1"/>
  <c r="W61" i="1"/>
  <c r="W58" i="1"/>
  <c r="W50" i="1"/>
  <c r="W52" i="1"/>
  <c r="W49" i="1"/>
  <c r="W82" i="1"/>
  <c r="W59" i="1"/>
  <c r="W80" i="1"/>
  <c r="W81" i="1" s="1"/>
  <c r="W53" i="1"/>
  <c r="W62" i="1"/>
  <c r="W56" i="1"/>
  <c r="W64" i="1"/>
  <c r="W78" i="1"/>
  <c r="W79" i="1" s="1"/>
  <c r="W74" i="1"/>
  <c r="W75" i="1" s="1"/>
  <c r="W72" i="1"/>
  <c r="W51" i="1"/>
  <c r="W65" i="1"/>
  <c r="W66" i="1"/>
  <c r="W63" i="1"/>
  <c r="W76" i="1"/>
  <c r="W77" i="1" s="1"/>
  <c r="W57" i="1"/>
  <c r="W60" i="1"/>
  <c r="W54" i="1"/>
  <c r="W19" i="1"/>
  <c r="X22" i="1" l="1"/>
  <c r="X24" i="1" s="1"/>
  <c r="X26" i="1"/>
  <c r="W43" i="1"/>
  <c r="W41" i="1"/>
  <c r="W23" i="1"/>
  <c r="W24" i="1"/>
  <c r="W40" i="1"/>
  <c r="W35" i="1"/>
  <c r="W34" i="1"/>
  <c r="W36" i="1"/>
  <c r="W37" i="1"/>
  <c r="X32" i="1"/>
  <c r="Y18" i="1"/>
  <c r="X72" i="1"/>
  <c r="X78" i="1"/>
  <c r="X79" i="1" s="1"/>
  <c r="X74" i="1"/>
  <c r="X75" i="1" s="1"/>
  <c r="X19" i="1"/>
  <c r="X80" i="1"/>
  <c r="X81" i="1" s="1"/>
  <c r="X76" i="1"/>
  <c r="X77" i="1" s="1"/>
  <c r="X82" i="1"/>
  <c r="X51" i="1"/>
  <c r="X52" i="1"/>
  <c r="X58" i="1"/>
  <c r="X53" i="1"/>
  <c r="X66" i="1"/>
  <c r="X57" i="1"/>
  <c r="X65" i="1"/>
  <c r="X63" i="1"/>
  <c r="X49" i="1"/>
  <c r="X54" i="1"/>
  <c r="X64" i="1"/>
  <c r="X59" i="1"/>
  <c r="X50" i="1"/>
  <c r="X60" i="1"/>
  <c r="X61" i="1"/>
  <c r="X55" i="1"/>
  <c r="X62" i="1"/>
  <c r="X56" i="1"/>
  <c r="W67" i="1"/>
  <c r="W73" i="1"/>
  <c r="W85" i="1" s="1"/>
  <c r="W84" i="1"/>
  <c r="W68" i="1"/>
  <c r="R27" i="1" l="1"/>
  <c r="S25" i="1"/>
  <c r="T25" i="1"/>
  <c r="U25" i="1"/>
  <c r="S27" i="1"/>
  <c r="W25" i="1"/>
  <c r="R25" i="1"/>
  <c r="V25" i="1"/>
  <c r="T27" i="1"/>
  <c r="U27" i="1"/>
  <c r="V27" i="1"/>
  <c r="W27" i="1"/>
  <c r="R30" i="1"/>
  <c r="R31" i="1" s="1"/>
  <c r="R33" i="1"/>
  <c r="R28" i="1"/>
  <c r="S28" i="1"/>
  <c r="S33" i="1"/>
  <c r="S30" i="1"/>
  <c r="S31" i="1" s="1"/>
  <c r="T30" i="1"/>
  <c r="T31" i="1" s="1"/>
  <c r="T33" i="1"/>
  <c r="T28" i="1"/>
  <c r="U30" i="1"/>
  <c r="U31" i="1" s="1"/>
  <c r="U33" i="1"/>
  <c r="U28" i="1"/>
  <c r="V30" i="1"/>
  <c r="V31" i="1" s="1"/>
  <c r="V28" i="1"/>
  <c r="V33" i="1"/>
  <c r="W28" i="1"/>
  <c r="W30" i="1"/>
  <c r="W31" i="1" s="1"/>
  <c r="W33" i="1"/>
  <c r="Y22" i="1"/>
  <c r="Y26" i="1"/>
  <c r="X41" i="1"/>
  <c r="X43" i="1"/>
  <c r="X23" i="1"/>
  <c r="X35" i="1"/>
  <c r="X36" i="1"/>
  <c r="X34" i="1"/>
  <c r="X37" i="1"/>
  <c r="X40" i="1"/>
  <c r="Y32" i="1"/>
  <c r="X73" i="1"/>
  <c r="X85" i="1" s="1"/>
  <c r="X84" i="1"/>
  <c r="X67" i="1"/>
  <c r="X68" i="1"/>
  <c r="Y72" i="1"/>
  <c r="Y78" i="1"/>
  <c r="Y79" i="1" s="1"/>
  <c r="Y80" i="1"/>
  <c r="Y81" i="1" s="1"/>
  <c r="Y76" i="1"/>
  <c r="Y77" i="1" s="1"/>
  <c r="Y82" i="1"/>
  <c r="Y74" i="1"/>
  <c r="Y75" i="1" s="1"/>
  <c r="Y52" i="1"/>
  <c r="Z18" i="1"/>
  <c r="Z61" i="1" s="1"/>
  <c r="Y19" i="1"/>
  <c r="Y51" i="1"/>
  <c r="Y57" i="1"/>
  <c r="Y53" i="1"/>
  <c r="Y66" i="1"/>
  <c r="Y50" i="1"/>
  <c r="Y58" i="1"/>
  <c r="Y54" i="1"/>
  <c r="Y60" i="1"/>
  <c r="Y65" i="1"/>
  <c r="Y56" i="1"/>
  <c r="Y49" i="1"/>
  <c r="Y59" i="1"/>
  <c r="Y61" i="1"/>
  <c r="Y55" i="1"/>
  <c r="Y64" i="1"/>
  <c r="Y63" i="1"/>
  <c r="Y62" i="1"/>
  <c r="W29" i="1" l="1"/>
  <c r="W20" i="1" s="1"/>
  <c r="W21" i="1" s="1"/>
  <c r="V29" i="1"/>
  <c r="V20" i="1" s="1"/>
  <c r="V21" i="1" s="1"/>
  <c r="S29" i="1"/>
  <c r="S20" i="1" s="1"/>
  <c r="S21" i="1" s="1"/>
  <c r="T29" i="1"/>
  <c r="T20" i="1" s="1"/>
  <c r="T21" i="1" s="1"/>
  <c r="U29" i="1"/>
  <c r="U20" i="1" s="1"/>
  <c r="U21" i="1" s="1"/>
  <c r="R29" i="1"/>
  <c r="R20" i="1" s="1"/>
  <c r="R21" i="1" s="1"/>
  <c r="Y41" i="1"/>
  <c r="Y43" i="1"/>
  <c r="Z32" i="1"/>
  <c r="Z26" i="1"/>
  <c r="Y23" i="1"/>
  <c r="Y24" i="1"/>
  <c r="Y36" i="1"/>
  <c r="Y35" i="1"/>
  <c r="Y34" i="1"/>
  <c r="Y37" i="1"/>
  <c r="Y40" i="1"/>
  <c r="Y68" i="1"/>
  <c r="Y84" i="1"/>
  <c r="Y73" i="1"/>
  <c r="Y85" i="1" s="1"/>
  <c r="Y67" i="1"/>
  <c r="Z76" i="1"/>
  <c r="Z77" i="1" s="1"/>
  <c r="Z72" i="1"/>
  <c r="Z78" i="1"/>
  <c r="Z79" i="1" s="1"/>
  <c r="Z74" i="1"/>
  <c r="Z75" i="1" s="1"/>
  <c r="Z80" i="1"/>
  <c r="Z81" i="1" s="1"/>
  <c r="Z82" i="1"/>
  <c r="Z52" i="1"/>
  <c r="Z51" i="1"/>
  <c r="Z62" i="1"/>
  <c r="Z56" i="1"/>
  <c r="Z59" i="1"/>
  <c r="Z50" i="1"/>
  <c r="Z57" i="1"/>
  <c r="Z55" i="1"/>
  <c r="Z63" i="1"/>
  <c r="Z60" i="1"/>
  <c r="Z65" i="1"/>
  <c r="Z58" i="1"/>
  <c r="Z53" i="1"/>
  <c r="Z19" i="1"/>
  <c r="Z49" i="1"/>
  <c r="Z66" i="1"/>
  <c r="Z54" i="1"/>
  <c r="Z64" i="1"/>
  <c r="Z41" i="1" l="1"/>
  <c r="Z43" i="1"/>
  <c r="Z37" i="1"/>
  <c r="Z34" i="1"/>
  <c r="Z40" i="1"/>
  <c r="Z35" i="1"/>
  <c r="Z36" i="1"/>
  <c r="Z68" i="1"/>
  <c r="Z67" i="1"/>
  <c r="Z73" i="1"/>
  <c r="Z85" i="1" s="1"/>
  <c r="Z84" i="1"/>
  <c r="X27" i="1" l="1"/>
  <c r="X25" i="1"/>
  <c r="Y25" i="1"/>
  <c r="Z25" i="1"/>
  <c r="Y27" i="1"/>
  <c r="Z27" i="1"/>
  <c r="Z30" i="1"/>
  <c r="Z31" i="1" s="1"/>
  <c r="X33" i="1"/>
  <c r="X28" i="1"/>
  <c r="X30" i="1"/>
  <c r="X31" i="1" s="1"/>
  <c r="Y28" i="1"/>
  <c r="Y30" i="1"/>
  <c r="Y31" i="1" s="1"/>
  <c r="Y33" i="1"/>
  <c r="Z33" i="1"/>
  <c r="Z28" i="1"/>
  <c r="AA41" i="1"/>
  <c r="AA33" i="1" s="1"/>
  <c r="AA43" i="1"/>
  <c r="AA28" i="1" s="1"/>
  <c r="AA37" i="1"/>
  <c r="AA34" i="1"/>
  <c r="AA40" i="1"/>
  <c r="AB17" i="1"/>
  <c r="AA36" i="1"/>
  <c r="AA35" i="1"/>
  <c r="AA25" i="1" l="1"/>
  <c r="X29" i="1"/>
  <c r="X20" i="1" s="1"/>
  <c r="X21" i="1" s="1"/>
  <c r="Y29" i="1"/>
  <c r="Y20" i="1" s="1"/>
  <c r="Y21" i="1" s="1"/>
  <c r="Z29" i="1"/>
  <c r="Z20" i="1" s="1"/>
  <c r="Z21" i="1" s="1"/>
  <c r="AA30" i="1"/>
  <c r="AA31" i="1" s="1"/>
  <c r="AA29" i="1" s="1"/>
  <c r="AB41" i="1"/>
  <c r="AB40" i="1"/>
  <c r="AB43" i="1"/>
  <c r="AB33" i="1" l="1"/>
  <c r="AA27" i="1"/>
  <c r="AA20" i="1"/>
  <c r="AA21" i="1" s="1"/>
</calcChain>
</file>

<file path=xl/sharedStrings.xml><?xml version="1.0" encoding="utf-8"?>
<sst xmlns="http://schemas.openxmlformats.org/spreadsheetml/2006/main" count="363" uniqueCount="298">
  <si>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</si>
  <si>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</si>
  <si>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</si>
  <si>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</si>
  <si>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</si>
  <si>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</si>
  <si>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</si>
  <si>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</si>
  <si>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</si>
  <si>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</si>
  <si>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</si>
  <si>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</si>
  <si>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</si>
  <si>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</si>
  <si>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</si>
  <si>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</si>
  <si>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</si>
  <si>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</si>
  <si>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</si>
  <si>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</si>
  <si>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</si>
  <si>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</si>
  <si>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</si>
  <si>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</si>
  <si>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</si>
  <si>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</si>
  <si>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</si>
  <si>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</si>
  <si>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</si>
  <si>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</si>
  <si>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</si>
  <si>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</si>
  <si>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</si>
  <si>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</si>
  <si>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</si>
  <si>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</si>
  <si>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</si>
  <si>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</si>
  <si>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</si>
  <si>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</si>
  <si>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</si>
  <si>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</si>
  <si>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</si>
  <si>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</si>
  <si>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</si>
  <si>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</si>
  <si>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</si>
  <si>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</si>
  <si>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</si>
  <si>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</si>
  <si>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</si>
  <si>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</si>
  <si>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</si>
  <si>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</si>
  <si>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</si>
  <si>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</si>
  <si>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</si>
  <si>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</si>
  <si>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</si>
  <si>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</si>
  <si>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</si>
  <si>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</si>
  <si>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</si>
  <si>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</si>
  <si>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</si>
  <si>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</si>
  <si>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</si>
  <si>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</si>
  <si>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</si>
  <si>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</si>
  <si>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</si>
  <si>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</si>
  <si>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</si>
  <si>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</si>
  <si>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</si>
  <si>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</si>
  <si>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</si>
  <si>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</si>
  <si>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</si>
  <si>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</si>
  <si>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</si>
  <si>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</si>
  <si>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</si>
  <si>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</si>
  <si>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</si>
  <si>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</si>
  <si>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</si>
  <si>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</si>
  <si>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</si>
  <si>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</si>
  <si>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</si>
  <si>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</si>
  <si>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</si>
  <si>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</si>
  <si>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</si>
  <si>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</si>
  <si>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</si>
  <si>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</si>
  <si>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</si>
  <si>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</si>
  <si>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</si>
  <si>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</si>
  <si>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</si>
  <si>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</si>
  <si>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</si>
  <si>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</si>
  <si>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</si>
  <si>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</si>
  <si>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</si>
  <si>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</si>
  <si>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</si>
  <si>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</si>
  <si>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</si>
  <si>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</si>
  <si>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</si>
  <si>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</si>
  <si>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</si>
  <si>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</si>
  <si>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</si>
  <si>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</si>
  <si>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</si>
  <si>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</si>
  <si>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</si>
  <si>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</si>
  <si>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</si>
  <si>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</si>
  <si>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</si>
  <si>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</si>
  <si>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</si>
  <si>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</si>
  <si>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</si>
  <si>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</si>
  <si>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</si>
  <si>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</si>
  <si>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</si>
  <si>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</si>
  <si>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</si>
  <si>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</si>
  <si>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</si>
  <si>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</si>
  <si>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</si>
  <si>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</si>
  <si>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</si>
  <si>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</si>
  <si>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</si>
  <si>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</si>
  <si>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</si>
  <si>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</si>
  <si>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</si>
  <si>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</si>
  <si>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</si>
  <si>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</si>
  <si>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</si>
  <si>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</si>
  <si>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</si>
  <si>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</si>
  <si>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</si>
  <si>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</si>
  <si>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</si>
  <si>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</si>
  <si>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</si>
  <si>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</si>
  <si>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</si>
  <si>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</si>
  <si>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</si>
  <si>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</si>
  <si>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</si>
  <si>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</si>
  <si>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</si>
  <si>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</si>
  <si>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</si>
  <si>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</si>
  <si>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</si>
  <si>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</si>
  <si>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</si>
  <si>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</si>
  <si>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</si>
  <si>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</si>
  <si>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</si>
  <si>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</si>
  <si>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</si>
  <si>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</si>
  <si>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</si>
  <si>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</si>
  <si>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</si>
  <si>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</si>
  <si>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</si>
  <si>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</si>
  <si>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</si>
  <si>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</si>
  <si>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</si>
  <si>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</si>
  <si>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</si>
  <si>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</si>
  <si>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</si>
  <si>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</si>
  <si>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</si>
  <si>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</si>
  <si>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</si>
  <si>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</si>
  <si>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</si>
  <si>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</si>
  <si>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</si>
  <si>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</si>
  <si>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</si>
  <si>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</si>
  <si>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</si>
  <si>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</si>
  <si>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</si>
  <si>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</si>
  <si>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</si>
  <si>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</si>
  <si>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</si>
  <si>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</si>
  <si>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</si>
  <si>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</si>
  <si>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</si>
  <si>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</si>
  <si>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</si>
  <si>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</si>
  <si>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</si>
  <si>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</si>
  <si>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</si>
  <si>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</si>
  <si>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</si>
  <si>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</si>
  <si>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</si>
  <si>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</si>
  <si>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</si>
  <si>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</si>
  <si>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</si>
  <si>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</si>
  <si>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</si>
  <si>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</si>
  <si>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</si>
  <si>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</si>
  <si>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</si>
  <si>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</si>
  <si>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</si>
  <si>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</si>
  <si>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</si>
  <si>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</si>
  <si>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</si>
  <si>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</si>
  <si>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</si>
  <si>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</si>
  <si>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</si>
  <si>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</si>
  <si>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</si>
  <si>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</si>
  <si>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</si>
  <si>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</si>
  <si>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</si>
  <si>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</si>
  <si>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</si>
  <si>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</si>
  <si>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</si>
  <si>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</si>
  <si>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</si>
  <si>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</si>
  <si>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</si>
  <si>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</si>
  <si>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</si>
  <si>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</si>
  <si>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</si>
  <si>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</si>
  <si>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</si>
  <si>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</si>
  <si>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</si>
  <si>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</si>
  <si>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</si>
  <si>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</si>
  <si>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</si>
  <si>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</si>
  <si>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</si>
  <si>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</si>
  <si>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</si>
  <si>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AU borders closed to non-citizens</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</si>
  <si>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</si>
  <si>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</si>
  <si>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</si>
  <si>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</si>
  <si>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</si>
  <si>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</si>
  <si>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</si>
  <si>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</si>
  <si>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</si>
  <si>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</si>
  <si>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</si>
  <si>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Decreasing</t>
  </si>
  <si>
    <t>Projected number of recovered infections</t>
  </si>
  <si>
    <t>Projected number active Mild Cases</t>
  </si>
  <si>
    <t>5% world avg</t>
  </si>
  <si>
    <t>14% world avg</t>
  </si>
  <si>
    <t>81% world avg</t>
  </si>
  <si>
    <t>Worst case numbers</t>
  </si>
  <si>
    <t>Undetected Cases</t>
  </si>
  <si>
    <t>Australian 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</si>
</sst>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0" fontId="0" fillId="0" borderId="4"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0" borderId="4"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171" fontId="0" fillId="9" borderId="1" xfId="0" applyNumberFormat="1" applyFill="1" applyBorder="1"/>
    <xf numFmtId="171" fontId="0" fillId="3" borderId="7" xfId="0" applyNumberFormat="1" applyFill="1" applyBorder="1"/>
    <xf numFmtId="171" fontId="0" fillId="3" borderId="1" xfId="0" applyNumberFormat="1" applyFill="1" applyBorder="1"/>
    <xf numFmtId="171" fontId="0" fillId="3" borderId="9" xfId="0" applyNumberFormat="1" applyFill="1" applyBorder="1"/>
    <xf numFmtId="10" fontId="0" fillId="0" borderId="10" xfId="0" applyNumberFormat="1" applyBorder="1"/>
    <xf numFmtId="171" fontId="0" fillId="0" borderId="11" xfId="0" applyNumberFormat="1" applyBorder="1"/>
    <xf numFmtId="14" fontId="0" fillId="10" borderId="1" xfId="0" applyNumberFormat="1" applyFill="1" applyBorder="1"/>
    <xf numFmtId="14" fontId="0" fillId="10" borderId="7" xfId="0" applyNumberFormat="1" applyFill="1" applyBorder="1"/>
    <xf numFmtId="14" fontId="0" fillId="4" borderId="14" xfId="0" applyNumberFormat="1" applyFill="1" applyBorder="1"/>
    <xf numFmtId="0" fontId="10" fillId="0" borderId="0" xfId="0" applyFont="1"/>
    <xf numFmtId="171" fontId="0" fillId="3" borderId="2" xfId="0" applyNumberFormat="1" applyFill="1" applyBorder="1"/>
    <xf numFmtId="14" fontId="0" fillId="15" borderId="1" xfId="0" applyNumberFormat="1" applyFill="1" applyBorder="1"/>
    <xf numFmtId="14" fontId="0" fillId="15" borderId="2" xfId="0" applyNumberFormat="1" applyFill="1" applyBorder="1"/>
    <xf numFmtId="14" fontId="0" fillId="4" borderId="9" xfId="0" applyNumberFormat="1" applyFill="1" applyBorder="1"/>
    <xf numFmtId="14" fontId="0" fillId="0" borderId="9" xfId="0" applyNumberFormat="1" applyFill="1" applyBorder="1"/>
    <xf numFmtId="14" fontId="0" fillId="0" borderId="1" xfId="0" applyNumberFormat="1" applyFill="1" applyBorder="1"/>
    <xf numFmtId="14" fontId="0" fillId="0" borderId="7" xfId="0" applyNumberFormat="1" applyFill="1" applyBorder="1"/>
    <xf numFmtId="14" fontId="0" fillId="0" borderId="2" xfId="0" applyNumberFormat="1" applyFill="1" applyBorder="1"/>
    <xf numFmtId="14" fontId="0" fillId="4" borderId="1" xfId="0" applyNumberFormat="1" applyFill="1" applyBorder="1"/>
    <xf numFmtId="14" fontId="0" fillId="4" borderId="2" xfId="0" applyNumberFormat="1" applyFill="1" applyBorder="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171" fontId="0" fillId="0" borderId="11" xfId="0" applyNumberFormat="1" applyFill="1" applyBorder="1"/>
    <xf numFmtId="171" fontId="0" fillId="0" borderId="9" xfId="0" applyNumberFormat="1" applyBorder="1"/>
    <xf numFmtId="171" fontId="0" fillId="0" borderId="10" xfId="0" applyNumberFormat="1" applyFill="1" applyBorder="1"/>
    <xf numFmtId="3" fontId="0" fillId="8" borderId="11" xfId="0" applyNumberFormat="1" applyFill="1" applyBorder="1"/>
    <xf numFmtId="3" fontId="0" fillId="3" borderId="13" xfId="0" applyNumberFormat="1" applyFill="1" applyBorder="1"/>
    <xf numFmtId="3" fontId="0" fillId="3" borderId="15" xfId="0" applyNumberFormat="1" applyFill="1" applyBorder="1"/>
    <xf numFmtId="170" fontId="0" fillId="3" borderId="13" xfId="0" applyNumberFormat="1" applyFill="1" applyBorder="1"/>
    <xf numFmtId="170" fontId="0" fillId="3" borderId="15" xfId="0" applyNumberFormat="1" applyFill="1" applyBorder="1"/>
    <xf numFmtId="3" fontId="0" fillId="8" borderId="13" xfId="0" applyNumberFormat="1" applyFill="1" applyBorder="1"/>
    <xf numFmtId="3" fontId="0" fillId="8" borderId="15" xfId="0" applyNumberFormat="1" applyFill="1" applyBorder="1"/>
    <xf numFmtId="3" fontId="0" fillId="2" borderId="13" xfId="0" applyNumberFormat="1" applyFill="1" applyBorder="1"/>
    <xf numFmtId="3" fontId="0" fillId="2"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3" fontId="9" fillId="4" borderId="5" xfId="0" applyNumberFormat="1" applyFont="1" applyFill="1" applyBorder="1"/>
    <xf numFmtId="171" fontId="9" fillId="4" borderId="5" xfId="0" applyNumberFormat="1" applyFont="1" applyFill="1" applyBorder="1"/>
    <xf numFmtId="0" fontId="0" fillId="3" borderId="1"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3" fontId="0" fillId="8" borderId="3" xfId="0" applyNumberFormat="1" applyFill="1" applyBorder="1"/>
    <xf numFmtId="3" fontId="0" fillId="8" borderId="0" xfId="0" applyNumberFormat="1" applyFill="1" applyBorder="1"/>
    <xf numFmtId="3" fontId="0" fillId="8" borderId="4" xfId="0" applyNumberFormat="1" applyFill="1" applyBorder="1"/>
    <xf numFmtId="171" fontId="0" fillId="0" borderId="2" xfId="0" applyNumberFormat="1" applyBorder="1"/>
    <xf numFmtId="9" fontId="0" fillId="0" borderId="4"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9" fillId="8" borderId="14" xfId="0" applyNumberFormat="1" applyFont="1" applyFill="1" applyBorder="1"/>
    <xf numFmtId="3" fontId="9" fillId="2" borderId="14"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3">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246.91358024691357</c:v>
                </c:pt>
                <c:pt idx="1">
                  <c:v>493.82716049382714</c:v>
                </c:pt>
                <c:pt idx="2">
                  <c:v>987.65432098765427</c:v>
                </c:pt>
                <c:pt idx="3">
                  <c:v>1975.3086419753085</c:v>
                </c:pt>
                <c:pt idx="4">
                  <c:v>3950.6172839506171</c:v>
                </c:pt>
                <c:pt idx="5">
                  <c:v>7901.2345679012342</c:v>
                </c:pt>
                <c:pt idx="6">
                  <c:v>15802.469135802468</c:v>
                </c:pt>
                <c:pt idx="7">
                  <c:v>31604.938271604937</c:v>
                </c:pt>
                <c:pt idx="8">
                  <c:v>63209.876543209873</c:v>
                </c:pt>
                <c:pt idx="9">
                  <c:v>126419.75308641975</c:v>
                </c:pt>
                <c:pt idx="10">
                  <c:v>252839.50617283949</c:v>
                </c:pt>
                <c:pt idx="11">
                  <c:v>505679.01234567899</c:v>
                </c:pt>
                <c:pt idx="12">
                  <c:v>1011358.024691358</c:v>
                </c:pt>
                <c:pt idx="13">
                  <c:v>2022716.049382716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46.913580246913568</c:v>
                </c:pt>
                <c:pt idx="1">
                  <c:v>93.827160493827137</c:v>
                </c:pt>
                <c:pt idx="2">
                  <c:v>187.65432098765427</c:v>
                </c:pt>
                <c:pt idx="3">
                  <c:v>375.30864197530855</c:v>
                </c:pt>
                <c:pt idx="4">
                  <c:v>750.61728395061709</c:v>
                </c:pt>
                <c:pt idx="5">
                  <c:v>1501.2345679012342</c:v>
                </c:pt>
                <c:pt idx="6">
                  <c:v>3002.4691358024684</c:v>
                </c:pt>
                <c:pt idx="7">
                  <c:v>6004.9382716049367</c:v>
                </c:pt>
                <c:pt idx="8">
                  <c:v>12009.876543209873</c:v>
                </c:pt>
                <c:pt idx="9">
                  <c:v>24019.753086419747</c:v>
                </c:pt>
                <c:pt idx="10">
                  <c:v>48039.506172839494</c:v>
                </c:pt>
                <c:pt idx="11">
                  <c:v>96079.012345678988</c:v>
                </c:pt>
                <c:pt idx="12">
                  <c:v>192158.02469135798</c:v>
                </c:pt>
                <c:pt idx="13">
                  <c:v>384316.04938271595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0.15625</c:v>
                </c:pt>
                <c:pt idx="1">
                  <c:v>0.3125</c:v>
                </c:pt>
                <c:pt idx="2">
                  <c:v>0.625</c:v>
                </c:pt>
                <c:pt idx="3">
                  <c:v>1.25</c:v>
                </c:pt>
                <c:pt idx="4">
                  <c:v>2.5</c:v>
                </c:pt>
                <c:pt idx="5">
                  <c:v>5</c:v>
                </c:pt>
                <c:pt idx="6">
                  <c:v>10</c:v>
                </c:pt>
                <c:pt idx="7">
                  <c:v>20</c:v>
                </c:pt>
                <c:pt idx="8">
                  <c:v>40</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Projections!$G$45:$AA$45</c15:sqref>
                  </c15:fullRef>
                </c:ext>
              </c:extLst>
              <c:f>Projections!$G$45:$O$45</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56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Projections!$G$28:$AA$28</c15:sqref>
                  </c15:fullRef>
                </c:ext>
              </c:extLst>
              <c:f>Projections!$G$28:$X$28</c:f>
              <c:numCache>
                <c:formatCode>#,##0_ ;[Red]\-#,##0\ </c:formatCode>
                <c:ptCount val="18"/>
                <c:pt idx="0">
                  <c:v>1.328868054613489</c:v>
                </c:pt>
                <c:pt idx="1">
                  <c:v>1.9328616882149008</c:v>
                </c:pt>
                <c:pt idx="2">
                  <c:v>2.7454891883819537</c:v>
                </c:pt>
                <c:pt idx="3">
                  <c:v>5.8301297830833585</c:v>
                </c:pt>
                <c:pt idx="4">
                  <c:v>10.233320086357423</c:v>
                </c:pt>
                <c:pt idx="5">
                  <c:v>19.453125000000004</c:v>
                </c:pt>
                <c:pt idx="6">
                  <c:v>32.490150243021745</c:v>
                </c:pt>
                <c:pt idx="7">
                  <c:v>100.7512242075386</c:v>
                </c:pt>
                <c:pt idx="8">
                  <c:v>113206.64003131719</c:v>
                </c:pt>
                <c:pt idx="9">
                  <c:v>9483.2008099705436</c:v>
                </c:pt>
                <c:pt idx="10">
                  <c:v>8497.7241909609984</c:v>
                </c:pt>
                <c:pt idx="11">
                  <c:v>11787.16590864349</c:v>
                </c:pt>
                <c:pt idx="12">
                  <c:v>19120.740588639615</c:v>
                </c:pt>
                <c:pt idx="13">
                  <c:v>33392.38874795592</c:v>
                </c:pt>
                <c:pt idx="14">
                  <c:v>60734.348349727799</c:v>
                </c:pt>
                <c:pt idx="15">
                  <c:v>113231.8633006358</c:v>
                </c:pt>
                <c:pt idx="16">
                  <c:v>214552.53236146405</c:v>
                </c:pt>
                <c:pt idx="17">
                  <c:v>411101.70953367918</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Projections!$G$29:$AA$29</c15:sqref>
                  </c15:fullRef>
                </c:ext>
              </c:extLst>
              <c:f>Projections!$G$29:$X$29</c:f>
              <c:numCache>
                <c:formatCode>#,##0_ ;[Red]\-#,##0\ </c:formatCode>
                <c:ptCount val="18"/>
                <c:pt idx="0">
                  <c:v>1.328868054613489</c:v>
                </c:pt>
                <c:pt idx="1">
                  <c:v>1.9328616882149008</c:v>
                </c:pt>
                <c:pt idx="2">
                  <c:v>2.7454891883819537</c:v>
                </c:pt>
                <c:pt idx="3">
                  <c:v>5.8301297830833585</c:v>
                </c:pt>
                <c:pt idx="4">
                  <c:v>9.1026634538290931</c:v>
                </c:pt>
                <c:pt idx="5">
                  <c:v>17.266826331343744</c:v>
                </c:pt>
                <c:pt idx="6">
                  <c:v>29.208900243021745</c:v>
                </c:pt>
                <c:pt idx="7">
                  <c:v>92.096071012354059</c:v>
                </c:pt>
                <c:pt idx="8">
                  <c:v>101161.54370873647</c:v>
                </c:pt>
                <c:pt idx="9">
                  <c:v>0</c:v>
                </c:pt>
                <c:pt idx="10">
                  <c:v>0</c:v>
                </c:pt>
                <c:pt idx="11">
                  <c:v>2691.0964663013683</c:v>
                </c:pt>
                <c:pt idx="12">
                  <c:v>6705.41574827767</c:v>
                </c:pt>
                <c:pt idx="13">
                  <c:v>13554.239408745099</c:v>
                </c:pt>
                <c:pt idx="14">
                  <c:v>26561.149593208196</c:v>
                </c:pt>
                <c:pt idx="15">
                  <c:v>51825.049888403759</c:v>
                </c:pt>
                <c:pt idx="16">
                  <c:v>101268.65746391899</c:v>
                </c:pt>
                <c:pt idx="17">
                  <c:v>198413.06090149638</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Projections!$G$30:$AA$30</c15:sqref>
                  </c15:fullRef>
                </c:ext>
              </c:extLst>
              <c:f>Projections!$G$30:$X$30</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12153.772825616299</c:v>
                </c:pt>
                <c:pt idx="9">
                  <c:v>1997.3545766523375</c:v>
                </c:pt>
                <c:pt idx="10">
                  <c:v>2122.0996208543829</c:v>
                </c:pt>
                <c:pt idx="11">
                  <c:v>3181.1454111518738</c:v>
                </c:pt>
                <c:pt idx="12">
                  <c:v>5394.7088308011434</c:v>
                </c:pt>
                <c:pt idx="13">
                  <c:v>9696.2100621182835</c:v>
                </c:pt>
                <c:pt idx="14">
                  <c:v>17994.40296904583</c:v>
                </c:pt>
                <c:pt idx="15">
                  <c:v>34051.834064836621</c:v>
                </c:pt>
                <c:pt idx="16">
                  <c:v>65265.388052051705</c:v>
                </c:pt>
                <c:pt idx="17">
                  <c:v>126196.42807185459</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Projections!$G$31:$AA$31</c15:sqref>
                  </c15:fullRef>
                </c:ext>
              </c:extLst>
              <c:f>Projections!$G$31:$X$31</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11868.582392884307</c:v>
                </c:pt>
                <c:pt idx="9">
                  <c:v>1643.4696766763175</c:v>
                </c:pt>
                <c:pt idx="10">
                  <c:v>1495.3971969973186</c:v>
                </c:pt>
                <c:pt idx="11">
                  <c:v>1995.3436453500333</c:v>
                </c:pt>
                <c:pt idx="12">
                  <c:v>3097.1634081828156</c:v>
                </c:pt>
                <c:pt idx="13">
                  <c:v>5194.5593337103164</c:v>
                </c:pt>
                <c:pt idx="14">
                  <c:v>9119.7202347666371</c:v>
                </c:pt>
                <c:pt idx="15">
                  <c:v>16490.30735581302</c:v>
                </c:pt>
                <c:pt idx="16">
                  <c:v>30428.691911435708</c:v>
                </c:pt>
                <c:pt idx="17">
                  <c:v>56974.036630599192</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Projections!$G$32:$AA$32</c15:sqref>
                  </c15:fullRef>
                </c:ext>
              </c:extLst>
              <c:f>Projections!$G$32:$X$32</c:f>
              <c:numCache>
                <c:formatCode>#,##0_ ;[Red]\-#,##0\ </c:formatCode>
                <c:ptCount val="18"/>
                <c:pt idx="0">
                  <c:v>0.15625</c:v>
                </c:pt>
                <c:pt idx="1">
                  <c:v>0.3125</c:v>
                </c:pt>
                <c:pt idx="2">
                  <c:v>0.625</c:v>
                </c:pt>
                <c:pt idx="3">
                  <c:v>1.25</c:v>
                </c:pt>
                <c:pt idx="4">
                  <c:v>2.5</c:v>
                </c:pt>
                <c:pt idx="5">
                  <c:v>5</c:v>
                </c:pt>
                <c:pt idx="6">
                  <c:v>10</c:v>
                </c:pt>
                <c:pt idx="7">
                  <c:v>20</c:v>
                </c:pt>
                <c:pt idx="8">
                  <c:v>40</c:v>
                </c:pt>
                <c:pt idx="9">
                  <c:v>80</c:v>
                </c:pt>
                <c:pt idx="10">
                  <c:v>160</c:v>
                </c:pt>
                <c:pt idx="11">
                  <c:v>320</c:v>
                </c:pt>
                <c:pt idx="12">
                  <c:v>640</c:v>
                </c:pt>
                <c:pt idx="13">
                  <c:v>1280</c:v>
                </c:pt>
                <c:pt idx="14">
                  <c:v>2560</c:v>
                </c:pt>
                <c:pt idx="15">
                  <c:v>5120</c:v>
                </c:pt>
                <c:pt idx="16">
                  <c:v>10240</c:v>
                </c:pt>
                <c:pt idx="17">
                  <c:v>20480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Projections!$G$49:$AA$49</c15:sqref>
                  </c15:fullRef>
                </c:ext>
              </c:extLst>
              <c:f>Projections!$G$49:$X$49</c:f>
              <c:numCache>
                <c:formatCode>#,##0</c:formatCode>
                <c:ptCount val="18"/>
                <c:pt idx="0">
                  <c:v>0.90175197526623152</c:v>
                </c:pt>
                <c:pt idx="1">
                  <c:v>1.803503950532463</c:v>
                </c:pt>
                <c:pt idx="2">
                  <c:v>3.6070079010649261</c:v>
                </c:pt>
                <c:pt idx="3">
                  <c:v>7.2140158021298522</c:v>
                </c:pt>
                <c:pt idx="4">
                  <c:v>14.428031604259704</c:v>
                </c:pt>
                <c:pt idx="5">
                  <c:v>28.856063208519409</c:v>
                </c:pt>
                <c:pt idx="6">
                  <c:v>57.712126417038817</c:v>
                </c:pt>
                <c:pt idx="7">
                  <c:v>115.42425283407763</c:v>
                </c:pt>
                <c:pt idx="8">
                  <c:v>230.84850566815527</c:v>
                </c:pt>
                <c:pt idx="9">
                  <c:v>461.69701133631054</c:v>
                </c:pt>
                <c:pt idx="10">
                  <c:v>923.39402267262108</c:v>
                </c:pt>
                <c:pt idx="11">
                  <c:v>1846.7880453452422</c:v>
                </c:pt>
                <c:pt idx="12">
                  <c:v>3693.5760906904843</c:v>
                </c:pt>
                <c:pt idx="13">
                  <c:v>7387.1521813809686</c:v>
                </c:pt>
                <c:pt idx="14">
                  <c:v>14774.304362761937</c:v>
                </c:pt>
                <c:pt idx="15">
                  <c:v>29548.608725523874</c:v>
                </c:pt>
                <c:pt idx="16">
                  <c:v>59097.217451047749</c:v>
                </c:pt>
                <c:pt idx="17">
                  <c:v>118194.4349020955</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Projections!$G$51:$AA$51</c15:sqref>
                  </c15:fullRef>
                </c:ext>
              </c:extLst>
              <c:f>Projections!$G$51:$X$51</c:f>
              <c:numCache>
                <c:formatCode>#,##0</c:formatCode>
                <c:ptCount val="18"/>
                <c:pt idx="0">
                  <c:v>3.3439969082789416</c:v>
                </c:pt>
                <c:pt idx="1">
                  <c:v>6.6879938165578832</c:v>
                </c:pt>
                <c:pt idx="2">
                  <c:v>13.375987633115766</c:v>
                </c:pt>
                <c:pt idx="3">
                  <c:v>26.751975266231533</c:v>
                </c:pt>
                <c:pt idx="4">
                  <c:v>53.503950532463065</c:v>
                </c:pt>
                <c:pt idx="5">
                  <c:v>107.00790106492613</c:v>
                </c:pt>
                <c:pt idx="6">
                  <c:v>214.01580212985226</c:v>
                </c:pt>
                <c:pt idx="7">
                  <c:v>428.03160425970452</c:v>
                </c:pt>
                <c:pt idx="8">
                  <c:v>856.06320851940905</c:v>
                </c:pt>
                <c:pt idx="9">
                  <c:v>1712.1264170388181</c:v>
                </c:pt>
                <c:pt idx="10">
                  <c:v>3424.2528340776362</c:v>
                </c:pt>
                <c:pt idx="11">
                  <c:v>6848.5056681552724</c:v>
                </c:pt>
                <c:pt idx="12">
                  <c:v>13697.011336310545</c:v>
                </c:pt>
                <c:pt idx="13">
                  <c:v>27394.022672621089</c:v>
                </c:pt>
                <c:pt idx="14">
                  <c:v>54788.045345242179</c:v>
                </c:pt>
                <c:pt idx="15">
                  <c:v>109576.09069048436</c:v>
                </c:pt>
                <c:pt idx="16">
                  <c:v>219152.18138096872</c:v>
                </c:pt>
                <c:pt idx="17">
                  <c:v>438304.36276193743</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Projections!$G$53:$AA$53</c15:sqref>
                  </c15:fullRef>
                </c:ext>
              </c:extLst>
              <c:f>Projections!$G$53:$X$53</c:f>
              <c:numCache>
                <c:formatCode>#,##0</c:formatCode>
                <c:ptCount val="18"/>
                <c:pt idx="0">
                  <c:v>5.2602198557196846</c:v>
                </c:pt>
                <c:pt idx="1">
                  <c:v>10.520439711439369</c:v>
                </c:pt>
                <c:pt idx="2">
                  <c:v>21.040879422878739</c:v>
                </c:pt>
                <c:pt idx="3">
                  <c:v>42.081758845757477</c:v>
                </c:pt>
                <c:pt idx="4">
                  <c:v>84.163517691514954</c:v>
                </c:pt>
                <c:pt idx="5">
                  <c:v>168.32703538302991</c:v>
                </c:pt>
                <c:pt idx="6">
                  <c:v>336.65407076605982</c:v>
                </c:pt>
                <c:pt idx="7">
                  <c:v>673.30814153211963</c:v>
                </c:pt>
                <c:pt idx="8">
                  <c:v>1346.6162830642393</c:v>
                </c:pt>
                <c:pt idx="9">
                  <c:v>2693.2325661284785</c:v>
                </c:pt>
                <c:pt idx="10">
                  <c:v>5386.4651322569571</c:v>
                </c:pt>
                <c:pt idx="11">
                  <c:v>10772.930264513914</c:v>
                </c:pt>
                <c:pt idx="12">
                  <c:v>21545.860529027828</c:v>
                </c:pt>
                <c:pt idx="13">
                  <c:v>43091.721058055657</c:v>
                </c:pt>
                <c:pt idx="14">
                  <c:v>86183.442116111313</c:v>
                </c:pt>
                <c:pt idx="15">
                  <c:v>172366.88423222263</c:v>
                </c:pt>
                <c:pt idx="16">
                  <c:v>344733.76846444525</c:v>
                </c:pt>
                <c:pt idx="17">
                  <c:v>689467.53692889051</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Projections!$G$55:$AA$55</c15:sqref>
                  </c15:fullRef>
                </c:ext>
              </c:extLst>
              <c:f>Projections!$G$55:$X$55</c:f>
              <c:numCache>
                <c:formatCode>#,##0</c:formatCode>
                <c:ptCount val="18"/>
                <c:pt idx="0">
                  <c:v>4.8522844383373416</c:v>
                </c:pt>
                <c:pt idx="1">
                  <c:v>9.7045688766746832</c:v>
                </c:pt>
                <c:pt idx="2">
                  <c:v>19.409137753349366</c:v>
                </c:pt>
                <c:pt idx="3">
                  <c:v>38.818275506698733</c:v>
                </c:pt>
                <c:pt idx="4">
                  <c:v>77.636551013397465</c:v>
                </c:pt>
                <c:pt idx="5">
                  <c:v>155.27310202679493</c:v>
                </c:pt>
                <c:pt idx="6">
                  <c:v>310.54620405358986</c:v>
                </c:pt>
                <c:pt idx="7">
                  <c:v>621.09240810717972</c:v>
                </c:pt>
                <c:pt idx="8">
                  <c:v>1242.1848162143594</c:v>
                </c:pt>
                <c:pt idx="9">
                  <c:v>2484.3696324287189</c:v>
                </c:pt>
                <c:pt idx="10">
                  <c:v>4968.7392648574378</c:v>
                </c:pt>
                <c:pt idx="11">
                  <c:v>9937.4785297148755</c:v>
                </c:pt>
                <c:pt idx="12">
                  <c:v>19874.957059429751</c:v>
                </c:pt>
                <c:pt idx="13">
                  <c:v>39749.914118859502</c:v>
                </c:pt>
                <c:pt idx="14">
                  <c:v>79499.828237719004</c:v>
                </c:pt>
                <c:pt idx="15">
                  <c:v>158999.65647543801</c:v>
                </c:pt>
                <c:pt idx="16">
                  <c:v>317999.31295087602</c:v>
                </c:pt>
                <c:pt idx="17">
                  <c:v>635998.62590175204</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Projections!$G$57:$AA$57</c15:sqref>
                  </c15:fullRef>
                </c:ext>
              </c:extLst>
              <c:f>Projections!$G$57:$X$57</c:f>
              <c:numCache>
                <c:formatCode>#,##0</c:formatCode>
                <c:ptCount val="18"/>
                <c:pt idx="0">
                  <c:v>4.0256784610099627</c:v>
                </c:pt>
                <c:pt idx="1">
                  <c:v>8.0513569220199255</c:v>
                </c:pt>
                <c:pt idx="2">
                  <c:v>16.102713844039851</c:v>
                </c:pt>
                <c:pt idx="3">
                  <c:v>32.205427688079702</c:v>
                </c:pt>
                <c:pt idx="4">
                  <c:v>64.410855376159404</c:v>
                </c:pt>
                <c:pt idx="5">
                  <c:v>128.82171075231881</c:v>
                </c:pt>
                <c:pt idx="6">
                  <c:v>257.64342150463762</c:v>
                </c:pt>
                <c:pt idx="7">
                  <c:v>515.28684300927523</c:v>
                </c:pt>
                <c:pt idx="8">
                  <c:v>1030.5736860185505</c:v>
                </c:pt>
                <c:pt idx="9">
                  <c:v>2061.1473720371009</c:v>
                </c:pt>
                <c:pt idx="10">
                  <c:v>4122.2947440742018</c:v>
                </c:pt>
                <c:pt idx="11">
                  <c:v>8244.5894881484037</c:v>
                </c:pt>
                <c:pt idx="12">
                  <c:v>16489.178976296807</c:v>
                </c:pt>
                <c:pt idx="13">
                  <c:v>32978.357952593615</c:v>
                </c:pt>
                <c:pt idx="14">
                  <c:v>65956.71590518723</c:v>
                </c:pt>
                <c:pt idx="15">
                  <c:v>131913.43181037446</c:v>
                </c:pt>
                <c:pt idx="16">
                  <c:v>263826.86362074892</c:v>
                </c:pt>
                <c:pt idx="17">
                  <c:v>527653.72724149784</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Projections!$G$59:$AA$59</c15:sqref>
                  </c15:fullRef>
                </c:ext>
              </c:extLst>
              <c:f>Projections!$G$59:$X$59</c:f>
              <c:numCache>
                <c:formatCode>#,##0</c:formatCode>
                <c:ptCount val="18"/>
                <c:pt idx="0">
                  <c:v>4.9381655788388867</c:v>
                </c:pt>
                <c:pt idx="1">
                  <c:v>9.8763311576777735</c:v>
                </c:pt>
                <c:pt idx="2">
                  <c:v>19.752662315355547</c:v>
                </c:pt>
                <c:pt idx="3">
                  <c:v>39.505324630711094</c:v>
                </c:pt>
                <c:pt idx="4">
                  <c:v>79.010649261422188</c:v>
                </c:pt>
                <c:pt idx="5">
                  <c:v>158.02129852284438</c:v>
                </c:pt>
                <c:pt idx="6">
                  <c:v>316.04259704568875</c:v>
                </c:pt>
                <c:pt idx="7">
                  <c:v>632.0851940913775</c:v>
                </c:pt>
                <c:pt idx="8">
                  <c:v>1264.170388182755</c:v>
                </c:pt>
                <c:pt idx="9">
                  <c:v>2528.34077636551</c:v>
                </c:pt>
                <c:pt idx="10">
                  <c:v>5056.68155273102</c:v>
                </c:pt>
                <c:pt idx="11">
                  <c:v>10113.36310546204</c:v>
                </c:pt>
                <c:pt idx="12">
                  <c:v>20226.72621092408</c:v>
                </c:pt>
                <c:pt idx="13">
                  <c:v>40453.45242184816</c:v>
                </c:pt>
                <c:pt idx="14">
                  <c:v>80906.90484369632</c:v>
                </c:pt>
                <c:pt idx="15">
                  <c:v>161813.80968739264</c:v>
                </c:pt>
                <c:pt idx="16">
                  <c:v>323627.61937478528</c:v>
                </c:pt>
                <c:pt idx="17">
                  <c:v>647255.23874957056</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Projections!$G$61:$AA$61</c15:sqref>
                  </c15:fullRef>
                </c:ext>
              </c:extLst>
              <c:f>Projections!$G$61:$X$61</c:f>
              <c:numCache>
                <c:formatCode>#,##0</c:formatCode>
                <c:ptCount val="18"/>
                <c:pt idx="0">
                  <c:v>6.7255668155273103</c:v>
                </c:pt>
                <c:pt idx="1">
                  <c:v>13.451133631054621</c:v>
                </c:pt>
                <c:pt idx="2">
                  <c:v>26.902267262109241</c:v>
                </c:pt>
                <c:pt idx="3">
                  <c:v>53.804534524218482</c:v>
                </c:pt>
                <c:pt idx="4">
                  <c:v>107.60906904843696</c:v>
                </c:pt>
                <c:pt idx="5">
                  <c:v>215.21813809687393</c:v>
                </c:pt>
                <c:pt idx="6">
                  <c:v>430.43627619374786</c:v>
                </c:pt>
                <c:pt idx="7">
                  <c:v>860.87255238749572</c:v>
                </c:pt>
                <c:pt idx="8">
                  <c:v>1721.7451047749914</c:v>
                </c:pt>
                <c:pt idx="9">
                  <c:v>3443.4902095499829</c:v>
                </c:pt>
                <c:pt idx="10">
                  <c:v>6886.9804190999657</c:v>
                </c:pt>
                <c:pt idx="11">
                  <c:v>13773.960838199931</c:v>
                </c:pt>
                <c:pt idx="12">
                  <c:v>27547.921676399863</c:v>
                </c:pt>
                <c:pt idx="13">
                  <c:v>55095.843352799726</c:v>
                </c:pt>
                <c:pt idx="14">
                  <c:v>110191.68670559945</c:v>
                </c:pt>
                <c:pt idx="15">
                  <c:v>220383.3734111989</c:v>
                </c:pt>
                <c:pt idx="16">
                  <c:v>440766.74682239781</c:v>
                </c:pt>
                <c:pt idx="17">
                  <c:v>881533.49364479561</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Projections!$G$63:$AA$63</c15:sqref>
                  </c15:fullRef>
                </c:ext>
              </c:extLst>
              <c:f>Projections!$G$63:$X$63</c:f>
              <c:numCache>
                <c:formatCode>#,##0</c:formatCode>
                <c:ptCount val="18"/>
                <c:pt idx="0">
                  <c:v>0.89638440398488495</c:v>
                </c:pt>
                <c:pt idx="1">
                  <c:v>1.7927688079697699</c:v>
                </c:pt>
                <c:pt idx="2">
                  <c:v>3.5855376159395398</c:v>
                </c:pt>
                <c:pt idx="3">
                  <c:v>7.1710752318790796</c:v>
                </c:pt>
                <c:pt idx="4">
                  <c:v>14.342150463758159</c:v>
                </c:pt>
                <c:pt idx="5">
                  <c:v>28.684300927516318</c:v>
                </c:pt>
                <c:pt idx="6">
                  <c:v>57.368601855032637</c:v>
                </c:pt>
                <c:pt idx="7">
                  <c:v>114.73720371006527</c:v>
                </c:pt>
                <c:pt idx="8">
                  <c:v>229.47440742013055</c:v>
                </c:pt>
                <c:pt idx="9">
                  <c:v>458.94881484026109</c:v>
                </c:pt>
                <c:pt idx="10">
                  <c:v>917.89762968052219</c:v>
                </c:pt>
                <c:pt idx="11">
                  <c:v>1835.7952593610444</c:v>
                </c:pt>
                <c:pt idx="12">
                  <c:v>3671.5905187220887</c:v>
                </c:pt>
                <c:pt idx="13">
                  <c:v>7343.1810374441775</c:v>
                </c:pt>
                <c:pt idx="14">
                  <c:v>14686.362074888355</c:v>
                </c:pt>
                <c:pt idx="15">
                  <c:v>29372.72414977671</c:v>
                </c:pt>
                <c:pt idx="16">
                  <c:v>58745.44829955342</c:v>
                </c:pt>
                <c:pt idx="17">
                  <c:v>117490.89659910684</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Projections!$G$65:$AA$65</c15:sqref>
                  </c15:fullRef>
                </c:ext>
              </c:extLst>
              <c:f>Projections!$G$65:$X$65</c:f>
              <c:numCache>
                <c:formatCode>#,##0</c:formatCode>
                <c:ptCount val="18"/>
                <c:pt idx="0">
                  <c:v>0.30595156303675713</c:v>
                </c:pt>
                <c:pt idx="1">
                  <c:v>0.61190312607351427</c:v>
                </c:pt>
                <c:pt idx="2">
                  <c:v>1.2238062521470285</c:v>
                </c:pt>
                <c:pt idx="3">
                  <c:v>2.4476125042940571</c:v>
                </c:pt>
                <c:pt idx="4">
                  <c:v>4.8952250085881142</c:v>
                </c:pt>
                <c:pt idx="5">
                  <c:v>9.7904500171762283</c:v>
                </c:pt>
                <c:pt idx="6">
                  <c:v>19.580900034352457</c:v>
                </c:pt>
                <c:pt idx="7">
                  <c:v>39.161800068704913</c:v>
                </c:pt>
                <c:pt idx="8">
                  <c:v>78.323600137409827</c:v>
                </c:pt>
                <c:pt idx="9">
                  <c:v>156.64720027481965</c:v>
                </c:pt>
                <c:pt idx="10">
                  <c:v>313.29440054963931</c:v>
                </c:pt>
                <c:pt idx="11">
                  <c:v>626.58880109927861</c:v>
                </c:pt>
                <c:pt idx="12">
                  <c:v>1253.1776021985572</c:v>
                </c:pt>
                <c:pt idx="13">
                  <c:v>2506.3552043971144</c:v>
                </c:pt>
                <c:pt idx="14">
                  <c:v>5012.7104087942289</c:v>
                </c:pt>
                <c:pt idx="15">
                  <c:v>10025.420817588458</c:v>
                </c:pt>
                <c:pt idx="16">
                  <c:v>20050.841635176916</c:v>
                </c:pt>
                <c:pt idx="17">
                  <c:v>40101.683270353831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Projections!$G$50:$AA$50</c15:sqref>
                  </c15:fullRef>
                </c:ext>
              </c:extLst>
              <c:f>Projections!$G$50:$X$50</c:f>
              <c:numCache>
                <c:formatCode>#,##0</c:formatCode>
                <c:ptCount val="18"/>
                <c:pt idx="0">
                  <c:v>0.13345929233940226</c:v>
                </c:pt>
                <c:pt idx="1">
                  <c:v>0.26691858467880453</c:v>
                </c:pt>
                <c:pt idx="2">
                  <c:v>0.53383716935760905</c:v>
                </c:pt>
                <c:pt idx="3">
                  <c:v>1.0676743387152181</c:v>
                </c:pt>
                <c:pt idx="4">
                  <c:v>2.1353486774304362</c:v>
                </c:pt>
                <c:pt idx="5">
                  <c:v>4.2706973548608724</c:v>
                </c:pt>
                <c:pt idx="6">
                  <c:v>8.5413947097217449</c:v>
                </c:pt>
                <c:pt idx="7">
                  <c:v>17.08278941944349</c:v>
                </c:pt>
                <c:pt idx="8">
                  <c:v>34.165578838886979</c:v>
                </c:pt>
                <c:pt idx="9">
                  <c:v>68.331157677773959</c:v>
                </c:pt>
                <c:pt idx="10">
                  <c:v>136.66231535554792</c:v>
                </c:pt>
                <c:pt idx="11">
                  <c:v>273.32463071109584</c:v>
                </c:pt>
                <c:pt idx="12">
                  <c:v>546.64926142219167</c:v>
                </c:pt>
                <c:pt idx="13">
                  <c:v>1093.2985228443833</c:v>
                </c:pt>
                <c:pt idx="14">
                  <c:v>2186.5970456887667</c:v>
                </c:pt>
                <c:pt idx="15">
                  <c:v>4373.1940913775334</c:v>
                </c:pt>
                <c:pt idx="16">
                  <c:v>8746.3881827550667</c:v>
                </c:pt>
                <c:pt idx="17">
                  <c:v>17492.776365510133</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Projections!$G$52:$AA$52</c15:sqref>
                  </c15:fullRef>
                </c:ext>
              </c:extLst>
              <c:f>Projections!$G$52:$X$52</c:f>
              <c:numCache>
                <c:formatCode>#,##0</c:formatCode>
                <c:ptCount val="18"/>
                <c:pt idx="0">
                  <c:v>0.26751975266231531</c:v>
                </c:pt>
                <c:pt idx="1">
                  <c:v>0.53503950532463063</c:v>
                </c:pt>
                <c:pt idx="2">
                  <c:v>1.0700790106492613</c:v>
                </c:pt>
                <c:pt idx="3">
                  <c:v>2.1401580212985225</c:v>
                </c:pt>
                <c:pt idx="4">
                  <c:v>4.280316042597045</c:v>
                </c:pt>
                <c:pt idx="5">
                  <c:v>8.56063208519409</c:v>
                </c:pt>
                <c:pt idx="6">
                  <c:v>17.12126417038818</c:v>
                </c:pt>
                <c:pt idx="7">
                  <c:v>34.24252834077636</c:v>
                </c:pt>
                <c:pt idx="8">
                  <c:v>68.48505668155272</c:v>
                </c:pt>
                <c:pt idx="9">
                  <c:v>136.97011336310544</c:v>
                </c:pt>
                <c:pt idx="10">
                  <c:v>273.94022672621088</c:v>
                </c:pt>
                <c:pt idx="11">
                  <c:v>547.88045345242176</c:v>
                </c:pt>
                <c:pt idx="12">
                  <c:v>1095.7609069048435</c:v>
                </c:pt>
                <c:pt idx="13">
                  <c:v>2191.521813809687</c:v>
                </c:pt>
                <c:pt idx="14">
                  <c:v>4383.0436276193741</c:v>
                </c:pt>
                <c:pt idx="15">
                  <c:v>8766.0872552387482</c:v>
                </c:pt>
                <c:pt idx="16">
                  <c:v>17532.174510477496</c:v>
                </c:pt>
                <c:pt idx="17">
                  <c:v>35064.349020954993</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Projections!$G$54:$AA$54</c15:sqref>
                  </c15:fullRef>
                </c:ext>
              </c:extLst>
              <c:f>Projections!$G$54:$X$54</c:f>
              <c:numCache>
                <c:formatCode>#,##0</c:formatCode>
                <c:ptCount val="18"/>
                <c:pt idx="0">
                  <c:v>0.18936791480590864</c:v>
                </c:pt>
                <c:pt idx="1">
                  <c:v>0.37873582961181729</c:v>
                </c:pt>
                <c:pt idx="2">
                  <c:v>0.75747165922363457</c:v>
                </c:pt>
                <c:pt idx="3">
                  <c:v>1.5149433184472691</c:v>
                </c:pt>
                <c:pt idx="4">
                  <c:v>3.0298866368945383</c:v>
                </c:pt>
                <c:pt idx="5">
                  <c:v>6.0597732737890766</c:v>
                </c:pt>
                <c:pt idx="6">
                  <c:v>12.119546547578153</c:v>
                </c:pt>
                <c:pt idx="7">
                  <c:v>24.239093095156306</c:v>
                </c:pt>
                <c:pt idx="8">
                  <c:v>48.478186190312613</c:v>
                </c:pt>
                <c:pt idx="9">
                  <c:v>96.956372380625226</c:v>
                </c:pt>
                <c:pt idx="10">
                  <c:v>193.91274476125045</c:v>
                </c:pt>
                <c:pt idx="11">
                  <c:v>387.8254895225009</c:v>
                </c:pt>
                <c:pt idx="12">
                  <c:v>775.6509790450018</c:v>
                </c:pt>
                <c:pt idx="13">
                  <c:v>1551.3019580900036</c:v>
                </c:pt>
                <c:pt idx="14">
                  <c:v>3102.6039161800072</c:v>
                </c:pt>
                <c:pt idx="15">
                  <c:v>6205.2078323600144</c:v>
                </c:pt>
                <c:pt idx="16">
                  <c:v>12410.415664720029</c:v>
                </c:pt>
                <c:pt idx="17">
                  <c:v>24820.831329440058</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Projections!$G$56:$AA$56</c15:sqref>
                  </c15:fullRef>
                </c:ext>
              </c:extLst>
              <c:f>Projections!$G$56:$X$56</c:f>
              <c:numCache>
                <c:formatCode>#,##0</c:formatCode>
                <c:ptCount val="18"/>
                <c:pt idx="0">
                  <c:v>6.3079697698385437E-2</c:v>
                </c:pt>
                <c:pt idx="1">
                  <c:v>0.12615939539677087</c:v>
                </c:pt>
                <c:pt idx="2">
                  <c:v>0.25231879079354175</c:v>
                </c:pt>
                <c:pt idx="3">
                  <c:v>0.50463758158708349</c:v>
                </c:pt>
                <c:pt idx="4">
                  <c:v>1.009275163174167</c:v>
                </c:pt>
                <c:pt idx="5">
                  <c:v>2.018550326348334</c:v>
                </c:pt>
                <c:pt idx="6">
                  <c:v>4.037100652696668</c:v>
                </c:pt>
                <c:pt idx="7">
                  <c:v>8.0742013053933359</c:v>
                </c:pt>
                <c:pt idx="8">
                  <c:v>16.148402610786672</c:v>
                </c:pt>
                <c:pt idx="9">
                  <c:v>32.296805221573344</c:v>
                </c:pt>
                <c:pt idx="10">
                  <c:v>64.593610443146687</c:v>
                </c:pt>
                <c:pt idx="11">
                  <c:v>129.18722088629337</c:v>
                </c:pt>
                <c:pt idx="12">
                  <c:v>258.37444177258675</c:v>
                </c:pt>
                <c:pt idx="13">
                  <c:v>516.7488835451735</c:v>
                </c:pt>
                <c:pt idx="14">
                  <c:v>1033.497767090347</c:v>
                </c:pt>
                <c:pt idx="15">
                  <c:v>2066.995534180694</c:v>
                </c:pt>
                <c:pt idx="16">
                  <c:v>4133.991068361388</c:v>
                </c:pt>
                <c:pt idx="17">
                  <c:v>8267.982136722776</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Projections!$G$58:$AA$58</c15:sqref>
                  </c15:fullRef>
                </c:ext>
              </c:extLst>
              <c:f>Projections!$G$58:$X$58</c:f>
              <c:numCache>
                <c:formatCode>#,##0</c:formatCode>
                <c:ptCount val="18"/>
                <c:pt idx="0">
                  <c:v>1.610271384403985E-2</c:v>
                </c:pt>
                <c:pt idx="1">
                  <c:v>3.2205427688079699E-2</c:v>
                </c:pt>
                <c:pt idx="2">
                  <c:v>6.4410855376159398E-2</c:v>
                </c:pt>
                <c:pt idx="3">
                  <c:v>0.1288217107523188</c:v>
                </c:pt>
                <c:pt idx="4">
                  <c:v>0.25764342150463759</c:v>
                </c:pt>
                <c:pt idx="5">
                  <c:v>0.51528684300927519</c:v>
                </c:pt>
                <c:pt idx="6">
                  <c:v>1.0305736860185504</c:v>
                </c:pt>
                <c:pt idx="7">
                  <c:v>2.0611473720371007</c:v>
                </c:pt>
                <c:pt idx="8">
                  <c:v>4.1222947440742015</c:v>
                </c:pt>
                <c:pt idx="9">
                  <c:v>8.244589488148403</c:v>
                </c:pt>
                <c:pt idx="10">
                  <c:v>16.489178976296806</c:v>
                </c:pt>
                <c:pt idx="11">
                  <c:v>32.978357952593612</c:v>
                </c:pt>
                <c:pt idx="12">
                  <c:v>65.956715905187224</c:v>
                </c:pt>
                <c:pt idx="13">
                  <c:v>131.91343181037445</c:v>
                </c:pt>
                <c:pt idx="14">
                  <c:v>263.8268636207489</c:v>
                </c:pt>
                <c:pt idx="15">
                  <c:v>527.65372724149779</c:v>
                </c:pt>
                <c:pt idx="16">
                  <c:v>1055.3074544829956</c:v>
                </c:pt>
                <c:pt idx="17">
                  <c:v>2110.6149089659912</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Projections!$G$60:$AA$60</c15:sqref>
                  </c15:fullRef>
                </c:ext>
              </c:extLst>
              <c:f>Projections!$G$60:$X$60</c:f>
              <c:numCache>
                <c:formatCode>#,##0</c:formatCode>
                <c:ptCount val="18"/>
                <c:pt idx="0">
                  <c:v>9.876331157677774E-3</c:v>
                </c:pt>
                <c:pt idx="1">
                  <c:v>1.9752662315355548E-2</c:v>
                </c:pt>
                <c:pt idx="2">
                  <c:v>3.9505324630711096E-2</c:v>
                </c:pt>
                <c:pt idx="3">
                  <c:v>7.9010649261422192E-2</c:v>
                </c:pt>
                <c:pt idx="4">
                  <c:v>0.15802129852284438</c:v>
                </c:pt>
                <c:pt idx="5">
                  <c:v>0.31604259704568877</c:v>
                </c:pt>
                <c:pt idx="6">
                  <c:v>0.63208519409137753</c:v>
                </c:pt>
                <c:pt idx="7">
                  <c:v>1.2641703881827551</c:v>
                </c:pt>
                <c:pt idx="8">
                  <c:v>2.5283407763655101</c:v>
                </c:pt>
                <c:pt idx="9">
                  <c:v>5.0566815527310203</c:v>
                </c:pt>
                <c:pt idx="10">
                  <c:v>10.113363105462041</c:v>
                </c:pt>
                <c:pt idx="11">
                  <c:v>20.226726210924081</c:v>
                </c:pt>
                <c:pt idx="12">
                  <c:v>40.453452421848162</c:v>
                </c:pt>
                <c:pt idx="13">
                  <c:v>80.906904843696324</c:v>
                </c:pt>
                <c:pt idx="14">
                  <c:v>161.81380968739265</c:v>
                </c:pt>
                <c:pt idx="15">
                  <c:v>323.6276193747853</c:v>
                </c:pt>
                <c:pt idx="16">
                  <c:v>647.25523874957059</c:v>
                </c:pt>
                <c:pt idx="17">
                  <c:v>1294.5104774991412</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Projections!$G$62:$AA$62</c15:sqref>
                  </c15:fullRef>
                </c:ext>
              </c:extLst>
              <c:f>Projections!$G$62:$X$62</c:f>
              <c:numCache>
                <c:formatCode>#,##0</c:formatCode>
                <c:ptCount val="18"/>
                <c:pt idx="0">
                  <c:v>1.3451133631054621E-2</c:v>
                </c:pt>
                <c:pt idx="1">
                  <c:v>2.6902267262109241E-2</c:v>
                </c:pt>
                <c:pt idx="2">
                  <c:v>5.3804534524218482E-2</c:v>
                </c:pt>
                <c:pt idx="3">
                  <c:v>0.10760906904843696</c:v>
                </c:pt>
                <c:pt idx="4">
                  <c:v>0.21521813809687393</c:v>
                </c:pt>
                <c:pt idx="5">
                  <c:v>0.43043627619374786</c:v>
                </c:pt>
                <c:pt idx="6">
                  <c:v>0.86087255238749572</c:v>
                </c:pt>
                <c:pt idx="7">
                  <c:v>1.7217451047749914</c:v>
                </c:pt>
                <c:pt idx="8">
                  <c:v>3.4434902095499829</c:v>
                </c:pt>
                <c:pt idx="9">
                  <c:v>6.8869804190999657</c:v>
                </c:pt>
                <c:pt idx="10">
                  <c:v>13.773960838199931</c:v>
                </c:pt>
                <c:pt idx="11">
                  <c:v>27.547921676399863</c:v>
                </c:pt>
                <c:pt idx="12">
                  <c:v>55.095843352799726</c:v>
                </c:pt>
                <c:pt idx="13">
                  <c:v>110.19168670559945</c:v>
                </c:pt>
                <c:pt idx="14">
                  <c:v>220.3833734111989</c:v>
                </c:pt>
                <c:pt idx="15">
                  <c:v>440.76674682239781</c:v>
                </c:pt>
                <c:pt idx="16">
                  <c:v>881.53349364479561</c:v>
                </c:pt>
                <c:pt idx="17">
                  <c:v>1763.0669872895912</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Projections!$G$64:$AA$64</c15:sqref>
                  </c15:fullRef>
                </c:ext>
              </c:extLst>
              <c:f>Projections!$G$64:$X$64</c:f>
              <c:numCache>
                <c:formatCode>#,##0</c:formatCode>
                <c:ptCount val="18"/>
                <c:pt idx="0">
                  <c:v>1.79276880796977E-3</c:v>
                </c:pt>
                <c:pt idx="1">
                  <c:v>3.58553761593954E-3</c:v>
                </c:pt>
                <c:pt idx="2">
                  <c:v>7.17107523187908E-3</c:v>
                </c:pt>
                <c:pt idx="3">
                  <c:v>1.434215046375816E-2</c:v>
                </c:pt>
                <c:pt idx="4">
                  <c:v>2.868430092751632E-2</c:v>
                </c:pt>
                <c:pt idx="5">
                  <c:v>5.736860185503264E-2</c:v>
                </c:pt>
                <c:pt idx="6">
                  <c:v>0.11473720371006528</c:v>
                </c:pt>
                <c:pt idx="7">
                  <c:v>0.22947440742013056</c:v>
                </c:pt>
                <c:pt idx="8">
                  <c:v>0.45894881484026112</c:v>
                </c:pt>
                <c:pt idx="9">
                  <c:v>0.91789762968052224</c:v>
                </c:pt>
                <c:pt idx="10">
                  <c:v>1.8357952593610445</c:v>
                </c:pt>
                <c:pt idx="11">
                  <c:v>3.671590518722089</c:v>
                </c:pt>
                <c:pt idx="12">
                  <c:v>7.3431810374441779</c:v>
                </c:pt>
                <c:pt idx="13">
                  <c:v>14.686362074888356</c:v>
                </c:pt>
                <c:pt idx="14">
                  <c:v>29.372724149776712</c:v>
                </c:pt>
                <c:pt idx="15">
                  <c:v>58.745448299553424</c:v>
                </c:pt>
                <c:pt idx="16">
                  <c:v>117.49089659910685</c:v>
                </c:pt>
                <c:pt idx="17">
                  <c:v>234.98179319821369</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Projections!$G$66:$AA$66</c15:sqref>
                  </c15:fullRef>
                </c:ext>
              </c:extLst>
              <c:f>Projections!$G$66:$X$66</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Projections!$G$78:$AA$78</c15:sqref>
                  </c15:fullRef>
                </c:ext>
              </c:extLst>
              <c:f>Projections!$G$78:$X$78</c:f>
              <c:numCache>
                <c:formatCode>#,##0</c:formatCode>
                <c:ptCount val="18"/>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Projections!$G$76:$AA$76</c15:sqref>
                  </c15:fullRef>
                </c:ext>
              </c:extLst>
              <c:f>Projections!$G$76:$X$76</c:f>
              <c:numCache>
                <c:formatCode>#,##0</c:formatCode>
                <c:ptCount val="18"/>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Projections!$G$82:$AA$82</c15:sqref>
                  </c15:fullRef>
                </c:ext>
              </c:extLst>
              <c:f>Projections!$G$82:$X$82</c:f>
              <c:numCache>
                <c:formatCode>#,##0</c:formatCode>
                <c:ptCount val="18"/>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Projections!$G$72:$AA$72</c15:sqref>
                  </c15:fullRef>
                </c:ext>
              </c:extLst>
              <c:f>Projections!$G$72:$X$72</c:f>
              <c:numCache>
                <c:formatCode>#,##0</c:formatCode>
                <c:ptCount val="1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Projections!$G$74:$AA$74</c15:sqref>
                  </c15:fullRef>
                </c:ext>
              </c:extLst>
              <c:f>Projections!$G$74:$X$74</c:f>
              <c:numCache>
                <c:formatCode>#,##0</c:formatCode>
                <c:ptCount val="18"/>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Projections!$G$80:$AA$80</c15:sqref>
                  </c15:fullRef>
                </c:ext>
              </c:extLst>
              <c:f>Projections!$G$80:$X$80</c:f>
              <c:numCache>
                <c:formatCode>#,##0</c:formatCode>
                <c:ptCount val="18"/>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Projections!$G$79:$AA$79</c15:sqref>
                  </c15:fullRef>
                </c:ext>
              </c:extLst>
              <c:f>Projections!$G$79:$X$79</c:f>
              <c:numCache>
                <c:formatCode>#,##0</c:formatCode>
                <c:ptCount val="18"/>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Projections!$G$77:$AA$77</c15:sqref>
                  </c15:fullRef>
                </c:ext>
              </c:extLst>
              <c:f>Projections!$G$77:$X$77</c:f>
              <c:numCache>
                <c:formatCode>#,##0</c:formatCode>
                <c:ptCount val="18"/>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Projections!$G$73:$AA$73</c15:sqref>
                  </c15:fullRef>
                </c:ext>
              </c:extLst>
              <c:f>Projections!$G$73:$X$73</c:f>
              <c:numCache>
                <c:formatCode>#,##0</c:formatCode>
                <c:ptCount val="18"/>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Projections!$G$75:$AA$75</c15:sqref>
                  </c15:fullRef>
                </c:ext>
              </c:extLst>
              <c:f>Projections!$G$75:$X$75</c:f>
              <c:numCache>
                <c:formatCode>#,##0</c:formatCode>
                <c:ptCount val="18"/>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Projections!$G$81:$AA$81</c15:sqref>
                  </c15:fullRef>
                </c:ext>
              </c:extLst>
              <c:f>Projections!$G$81:$X$81</c:f>
              <c:numCache>
                <c:formatCode>#,##0</c:formatCode>
                <c:ptCount val="18"/>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0.15625</c:v>
                </c:pt>
                <c:pt idx="1">
                  <c:v>0.3125</c:v>
                </c:pt>
                <c:pt idx="2">
                  <c:v>0.625</c:v>
                </c:pt>
                <c:pt idx="3">
                  <c:v>1.25</c:v>
                </c:pt>
                <c:pt idx="4">
                  <c:v>2.5</c:v>
                </c:pt>
                <c:pt idx="5">
                  <c:v>5</c:v>
                </c:pt>
                <c:pt idx="6">
                  <c:v>10</c:v>
                </c:pt>
                <c:pt idx="7">
                  <c:v>20</c:v>
                </c:pt>
                <c:pt idx="8">
                  <c:v>40</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43959</c:v>
                </c:pt>
              </c:numCache>
            </c:numRef>
          </c:cat>
          <c:val>
            <c:numRef>
              <c:extLst>
                <c:ext xmlns:c15="http://schemas.microsoft.com/office/drawing/2012/chart" uri="{02D57815-91ED-43cb-92C2-25804820EDAC}">
                  <c15:fullRef>
                    <c15:sqref>Projections!$G$45:$AA$45</c15:sqref>
                  </c15:fullRef>
                </c:ext>
              </c:extLst>
              <c:f>Projections!$G$45:$O$45</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56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200</c:v>
                </c:pt>
                <c:pt idx="3">
                  <c:v>400</c:v>
                </c:pt>
                <c:pt idx="4">
                  <c:v>736</c:v>
                </c:pt>
                <c:pt idx="5">
                  <c:v>1472</c:v>
                </c:pt>
                <c:pt idx="6">
                  <c:v>2944</c:v>
                </c:pt>
                <c:pt idx="7">
                  <c:v>5704</c:v>
                </c:pt>
                <c:pt idx="8">
                  <c:v>11408</c:v>
                </c:pt>
                <c:pt idx="9">
                  <c:v>22816</c:v>
                </c:pt>
                <c:pt idx="10">
                  <c:v>45632</c:v>
                </c:pt>
                <c:pt idx="11">
                  <c:v>91264</c:v>
                </c:pt>
                <c:pt idx="12">
                  <c:v>182712</c:v>
                </c:pt>
                <c:pt idx="13">
                  <c:v>365424</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64</c:v>
                </c:pt>
                <c:pt idx="5">
                  <c:v>128</c:v>
                </c:pt>
                <c:pt idx="6">
                  <c:v>160</c:v>
                </c:pt>
                <c:pt idx="7">
                  <c:v>320</c:v>
                </c:pt>
                <c:pt idx="8">
                  <c:v>640</c:v>
                </c:pt>
                <c:pt idx="9">
                  <c:v>1280</c:v>
                </c:pt>
                <c:pt idx="10">
                  <c:v>2560</c:v>
                </c:pt>
                <c:pt idx="11">
                  <c:v>5120</c:v>
                </c:pt>
                <c:pt idx="12">
                  <c:v>10240</c:v>
                </c:pt>
                <c:pt idx="13">
                  <c:v>20480</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96</c:v>
                </c:pt>
                <c:pt idx="7">
                  <c:v>192</c:v>
                </c:pt>
                <c:pt idx="8">
                  <c:v>384</c:v>
                </c:pt>
                <c:pt idx="9">
                  <c:v>768</c:v>
                </c:pt>
                <c:pt idx="10">
                  <c:v>1536</c:v>
                </c:pt>
                <c:pt idx="11">
                  <c:v>3072</c:v>
                </c:pt>
                <c:pt idx="12">
                  <c:v>6144</c:v>
                </c:pt>
                <c:pt idx="13">
                  <c:v>12288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246.91358024691357</c:v>
                </c:pt>
                <c:pt idx="1">
                  <c:v>493.82716049382714</c:v>
                </c:pt>
                <c:pt idx="2">
                  <c:v>987.65432098765427</c:v>
                </c:pt>
                <c:pt idx="3">
                  <c:v>1975.3086419753085</c:v>
                </c:pt>
                <c:pt idx="4">
                  <c:v>3950.6172839506171</c:v>
                </c:pt>
                <c:pt idx="5">
                  <c:v>7901.2345679012342</c:v>
                </c:pt>
                <c:pt idx="6">
                  <c:v>15802.469135802468</c:v>
                </c:pt>
                <c:pt idx="7">
                  <c:v>31604.938271604937</c:v>
                </c:pt>
                <c:pt idx="8">
                  <c:v>63209.876543209873</c:v>
                </c:pt>
                <c:pt idx="9">
                  <c:v>126419.75308641975</c:v>
                </c:pt>
                <c:pt idx="10">
                  <c:v>252839.50617283949</c:v>
                </c:pt>
                <c:pt idx="11">
                  <c:v>505679.01234567899</c:v>
                </c:pt>
                <c:pt idx="12">
                  <c:v>1011358.024691358</c:v>
                </c:pt>
                <c:pt idx="13">
                  <c:v>2022716.049382716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46.913580246913568</c:v>
                </c:pt>
                <c:pt idx="1">
                  <c:v>93.827160493827137</c:v>
                </c:pt>
                <c:pt idx="2">
                  <c:v>187.65432098765427</c:v>
                </c:pt>
                <c:pt idx="3">
                  <c:v>375.30864197530855</c:v>
                </c:pt>
                <c:pt idx="4">
                  <c:v>750.61728395061709</c:v>
                </c:pt>
                <c:pt idx="5">
                  <c:v>1501.2345679012342</c:v>
                </c:pt>
                <c:pt idx="6">
                  <c:v>3002.4691358024684</c:v>
                </c:pt>
                <c:pt idx="7">
                  <c:v>6004.9382716049367</c:v>
                </c:pt>
                <c:pt idx="8">
                  <c:v>12009.876543209873</c:v>
                </c:pt>
                <c:pt idx="9">
                  <c:v>24019.753086419747</c:v>
                </c:pt>
                <c:pt idx="10">
                  <c:v>48039.506172839494</c:v>
                </c:pt>
                <c:pt idx="11">
                  <c:v>96079.012345678988</c:v>
                </c:pt>
                <c:pt idx="12">
                  <c:v>192158.02469135798</c:v>
                </c:pt>
                <c:pt idx="13">
                  <c:v>384316.04938271595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200</c:v>
                </c:pt>
                <c:pt idx="4">
                  <c:v>400</c:v>
                </c:pt>
                <c:pt idx="5">
                  <c:v>800</c:v>
                </c:pt>
                <c:pt idx="6">
                  <c:v>1600</c:v>
                </c:pt>
                <c:pt idx="7">
                  <c:v>3200</c:v>
                </c:pt>
                <c:pt idx="8">
                  <c:v>6400</c:v>
                </c:pt>
                <c:pt idx="9">
                  <c:v>12800</c:v>
                </c:pt>
                <c:pt idx="10">
                  <c:v>25600</c:v>
                </c:pt>
                <c:pt idx="11">
                  <c:v>51200</c:v>
                </c:pt>
                <c:pt idx="12">
                  <c:v>102400</c:v>
                </c:pt>
                <c:pt idx="13">
                  <c:v>204800</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200</c:v>
                </c:pt>
                <c:pt idx="3">
                  <c:v>400</c:v>
                </c:pt>
                <c:pt idx="4">
                  <c:v>736</c:v>
                </c:pt>
                <c:pt idx="5">
                  <c:v>1472</c:v>
                </c:pt>
                <c:pt idx="6">
                  <c:v>2944</c:v>
                </c:pt>
                <c:pt idx="7">
                  <c:v>5704</c:v>
                </c:pt>
                <c:pt idx="8">
                  <c:v>11408</c:v>
                </c:pt>
                <c:pt idx="9">
                  <c:v>22816</c:v>
                </c:pt>
                <c:pt idx="10">
                  <c:v>45632</c:v>
                </c:pt>
                <c:pt idx="11">
                  <c:v>91264</c:v>
                </c:pt>
                <c:pt idx="12">
                  <c:v>182712</c:v>
                </c:pt>
                <c:pt idx="13">
                  <c:v>365424</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64</c:v>
                </c:pt>
                <c:pt idx="5">
                  <c:v>128</c:v>
                </c:pt>
                <c:pt idx="6">
                  <c:v>160</c:v>
                </c:pt>
                <c:pt idx="7">
                  <c:v>320</c:v>
                </c:pt>
                <c:pt idx="8">
                  <c:v>640</c:v>
                </c:pt>
                <c:pt idx="9">
                  <c:v>1280</c:v>
                </c:pt>
                <c:pt idx="10">
                  <c:v>2560</c:v>
                </c:pt>
                <c:pt idx="11">
                  <c:v>5120</c:v>
                </c:pt>
                <c:pt idx="12">
                  <c:v>10240</c:v>
                </c:pt>
                <c:pt idx="13">
                  <c:v>20480</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43892.894616319441</c:v>
                </c:pt>
                <c:pt idx="1">
                  <c:v>43895.894616319441</c:v>
                </c:pt>
                <c:pt idx="2">
                  <c:v>43898.894616319441</c:v>
                </c:pt>
                <c:pt idx="3">
                  <c:v>43901.894616319441</c:v>
                </c:pt>
                <c:pt idx="4">
                  <c:v>43904.894616319441</c:v>
                </c:pt>
                <c:pt idx="5">
                  <c:v>43907.894616319441</c:v>
                </c:pt>
                <c:pt idx="6">
                  <c:v>43910.894616319441</c:v>
                </c:pt>
                <c:pt idx="7">
                  <c:v>43913.894616319441</c:v>
                </c:pt>
                <c:pt idx="8">
                  <c:v>43916.894616319441</c:v>
                </c:pt>
                <c:pt idx="9">
                  <c:v>43919.894616319441</c:v>
                </c:pt>
                <c:pt idx="10">
                  <c:v>43922.894616319441</c:v>
                </c:pt>
                <c:pt idx="11">
                  <c:v>43925.894616319441</c:v>
                </c:pt>
                <c:pt idx="12">
                  <c:v>43928.894616319441</c:v>
                </c:pt>
                <c:pt idx="13">
                  <c:v>43931.894616319441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96</c:v>
                </c:pt>
                <c:pt idx="7">
                  <c:v>192</c:v>
                </c:pt>
                <c:pt idx="8">
                  <c:v>384</c:v>
                </c:pt>
                <c:pt idx="9">
                  <c:v>768</c:v>
                </c:pt>
                <c:pt idx="10">
                  <c:v>1536</c:v>
                </c:pt>
                <c:pt idx="11">
                  <c:v>3072</c:v>
                </c:pt>
                <c:pt idx="12">
                  <c:v>6144</c:v>
                </c:pt>
                <c:pt idx="13">
                  <c:v>12288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Projections!$G$28:$AA$28</c15:sqref>
                  </c15:fullRef>
                </c:ext>
              </c:extLst>
              <c:f>Projections!$G$28:$X$28</c:f>
              <c:numCache>
                <c:formatCode>#,##0_ ;[Red]\-#,##0\ </c:formatCode>
                <c:ptCount val="18"/>
                <c:pt idx="0">
                  <c:v>1.328868054613489</c:v>
                </c:pt>
                <c:pt idx="1">
                  <c:v>1.9328616882149008</c:v>
                </c:pt>
                <c:pt idx="2">
                  <c:v>2.7454891883819537</c:v>
                </c:pt>
                <c:pt idx="3">
                  <c:v>5.8301297830833585</c:v>
                </c:pt>
                <c:pt idx="4">
                  <c:v>10.233320086357423</c:v>
                </c:pt>
                <c:pt idx="5">
                  <c:v>19.453125000000004</c:v>
                </c:pt>
                <c:pt idx="6">
                  <c:v>32.490150243021745</c:v>
                </c:pt>
                <c:pt idx="7">
                  <c:v>100.7512242075386</c:v>
                </c:pt>
                <c:pt idx="8">
                  <c:v>113206.64003131719</c:v>
                </c:pt>
                <c:pt idx="9">
                  <c:v>9483.2008099705436</c:v>
                </c:pt>
                <c:pt idx="10">
                  <c:v>8497.7241909609984</c:v>
                </c:pt>
                <c:pt idx="11">
                  <c:v>11787.16590864349</c:v>
                </c:pt>
                <c:pt idx="12">
                  <c:v>19120.740588639615</c:v>
                </c:pt>
                <c:pt idx="13">
                  <c:v>33392.38874795592</c:v>
                </c:pt>
                <c:pt idx="14">
                  <c:v>60734.348349727799</c:v>
                </c:pt>
                <c:pt idx="15">
                  <c:v>113231.8633006358</c:v>
                </c:pt>
                <c:pt idx="16">
                  <c:v>214552.53236146405</c:v>
                </c:pt>
                <c:pt idx="17">
                  <c:v>411101.70953367918</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Projections!$G$29:$AA$29</c15:sqref>
                  </c15:fullRef>
                </c:ext>
              </c:extLst>
              <c:f>Projections!$G$29:$X$29</c:f>
              <c:numCache>
                <c:formatCode>#,##0_ ;[Red]\-#,##0\ </c:formatCode>
                <c:ptCount val="18"/>
                <c:pt idx="0">
                  <c:v>1.328868054613489</c:v>
                </c:pt>
                <c:pt idx="1">
                  <c:v>1.9328616882149008</c:v>
                </c:pt>
                <c:pt idx="2">
                  <c:v>2.7454891883819537</c:v>
                </c:pt>
                <c:pt idx="3">
                  <c:v>5.8301297830833585</c:v>
                </c:pt>
                <c:pt idx="4">
                  <c:v>9.1026634538290931</c:v>
                </c:pt>
                <c:pt idx="5">
                  <c:v>17.266826331343744</c:v>
                </c:pt>
                <c:pt idx="6">
                  <c:v>29.208900243021745</c:v>
                </c:pt>
                <c:pt idx="7">
                  <c:v>92.096071012354059</c:v>
                </c:pt>
                <c:pt idx="8">
                  <c:v>101161.54370873647</c:v>
                </c:pt>
                <c:pt idx="9">
                  <c:v>0</c:v>
                </c:pt>
                <c:pt idx="10">
                  <c:v>0</c:v>
                </c:pt>
                <c:pt idx="11">
                  <c:v>2691.0964663013683</c:v>
                </c:pt>
                <c:pt idx="12">
                  <c:v>6705.41574827767</c:v>
                </c:pt>
                <c:pt idx="13">
                  <c:v>13554.239408745099</c:v>
                </c:pt>
                <c:pt idx="14">
                  <c:v>26561.149593208196</c:v>
                </c:pt>
                <c:pt idx="15">
                  <c:v>51825.049888403759</c:v>
                </c:pt>
                <c:pt idx="16">
                  <c:v>101268.65746391899</c:v>
                </c:pt>
                <c:pt idx="17">
                  <c:v>198413.06090149638</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Projections!$G$30:$AA$30</c15:sqref>
                  </c15:fullRef>
                </c:ext>
              </c:extLst>
              <c:f>Projections!$G$30:$X$30</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12153.772825616299</c:v>
                </c:pt>
                <c:pt idx="9">
                  <c:v>1997.3545766523375</c:v>
                </c:pt>
                <c:pt idx="10">
                  <c:v>2122.0996208543829</c:v>
                </c:pt>
                <c:pt idx="11">
                  <c:v>3181.1454111518738</c:v>
                </c:pt>
                <c:pt idx="12">
                  <c:v>5394.7088308011434</c:v>
                </c:pt>
                <c:pt idx="13">
                  <c:v>9696.2100621182835</c:v>
                </c:pt>
                <c:pt idx="14">
                  <c:v>17994.40296904583</c:v>
                </c:pt>
                <c:pt idx="15">
                  <c:v>34051.834064836621</c:v>
                </c:pt>
                <c:pt idx="16">
                  <c:v>65265.388052051705</c:v>
                </c:pt>
                <c:pt idx="17">
                  <c:v>126196.42807185459</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Projections!$G$31:$AA$31</c15:sqref>
                  </c15:fullRef>
                </c:ext>
              </c:extLst>
              <c:f>Projections!$G$31:$X$31</c:f>
              <c:numCache>
                <c:formatCode>#,##0_ ;[Red]\-#,##0\ </c:formatCode>
                <c:ptCount val="18"/>
                <c:pt idx="0">
                  <c:v>0.25867533787679298</c:v>
                </c:pt>
                <c:pt idx="1">
                  <c:v>0.37624777609205279</c:v>
                </c:pt>
                <c:pt idx="2">
                  <c:v>0.54725893150912419</c:v>
                </c:pt>
                <c:pt idx="3">
                  <c:v>0.79599763014475533</c:v>
                </c:pt>
                <c:pt idx="4">
                  <c:v>1.13065663252833</c:v>
                </c:pt>
                <c:pt idx="5">
                  <c:v>2.1862986686562595</c:v>
                </c:pt>
                <c:pt idx="6">
                  <c:v>3.28125</c:v>
                </c:pt>
                <c:pt idx="7">
                  <c:v>8.6551531951845444</c:v>
                </c:pt>
                <c:pt idx="8">
                  <c:v>11868.582392884307</c:v>
                </c:pt>
                <c:pt idx="9">
                  <c:v>1643.4696766763175</c:v>
                </c:pt>
                <c:pt idx="10">
                  <c:v>1495.3971969973186</c:v>
                </c:pt>
                <c:pt idx="11">
                  <c:v>1995.3436453500333</c:v>
                </c:pt>
                <c:pt idx="12">
                  <c:v>3097.1634081828156</c:v>
                </c:pt>
                <c:pt idx="13">
                  <c:v>5194.5593337103164</c:v>
                </c:pt>
                <c:pt idx="14">
                  <c:v>9119.7202347666371</c:v>
                </c:pt>
                <c:pt idx="15">
                  <c:v>16490.30735581302</c:v>
                </c:pt>
                <c:pt idx="16">
                  <c:v>30428.691911435708</c:v>
                </c:pt>
                <c:pt idx="17">
                  <c:v>56974.036630599192</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Projections!$G$32:$AA$32</c15:sqref>
                  </c15:fullRef>
                </c:ext>
              </c:extLst>
              <c:f>Projections!$G$32:$X$32</c:f>
              <c:numCache>
                <c:formatCode>#,##0_ ;[Red]\-#,##0\ </c:formatCode>
                <c:ptCount val="18"/>
                <c:pt idx="0">
                  <c:v>0.15625</c:v>
                </c:pt>
                <c:pt idx="1">
                  <c:v>0.3125</c:v>
                </c:pt>
                <c:pt idx="2">
                  <c:v>0.625</c:v>
                </c:pt>
                <c:pt idx="3">
                  <c:v>1.25</c:v>
                </c:pt>
                <c:pt idx="4">
                  <c:v>2.5</c:v>
                </c:pt>
                <c:pt idx="5">
                  <c:v>5</c:v>
                </c:pt>
                <c:pt idx="6">
                  <c:v>10</c:v>
                </c:pt>
                <c:pt idx="7">
                  <c:v>20</c:v>
                </c:pt>
                <c:pt idx="8">
                  <c:v>40</c:v>
                </c:pt>
                <c:pt idx="9">
                  <c:v>80</c:v>
                </c:pt>
                <c:pt idx="10">
                  <c:v>160</c:v>
                </c:pt>
                <c:pt idx="11">
                  <c:v>320</c:v>
                </c:pt>
                <c:pt idx="12">
                  <c:v>640</c:v>
                </c:pt>
                <c:pt idx="13">
                  <c:v>1280</c:v>
                </c:pt>
                <c:pt idx="14">
                  <c:v>2560</c:v>
                </c:pt>
                <c:pt idx="15">
                  <c:v>5120</c:v>
                </c:pt>
                <c:pt idx="16">
                  <c:v>10240</c:v>
                </c:pt>
                <c:pt idx="17">
                  <c:v>20480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Projections!$G$49:$AA$49</c15:sqref>
                  </c15:fullRef>
                </c:ext>
              </c:extLst>
              <c:f>Projections!$G$49:$X$49</c:f>
              <c:numCache>
                <c:formatCode>#,##0</c:formatCode>
                <c:ptCount val="18"/>
                <c:pt idx="0">
                  <c:v>0.90175197526623152</c:v>
                </c:pt>
                <c:pt idx="1">
                  <c:v>1.803503950532463</c:v>
                </c:pt>
                <c:pt idx="2">
                  <c:v>3.6070079010649261</c:v>
                </c:pt>
                <c:pt idx="3">
                  <c:v>7.2140158021298522</c:v>
                </c:pt>
                <c:pt idx="4">
                  <c:v>14.428031604259704</c:v>
                </c:pt>
                <c:pt idx="5">
                  <c:v>28.856063208519409</c:v>
                </c:pt>
                <c:pt idx="6">
                  <c:v>57.712126417038817</c:v>
                </c:pt>
                <c:pt idx="7">
                  <c:v>115.42425283407763</c:v>
                </c:pt>
                <c:pt idx="8">
                  <c:v>230.84850566815527</c:v>
                </c:pt>
                <c:pt idx="9">
                  <c:v>461.69701133631054</c:v>
                </c:pt>
                <c:pt idx="10">
                  <c:v>923.39402267262108</c:v>
                </c:pt>
                <c:pt idx="11">
                  <c:v>1846.7880453452422</c:v>
                </c:pt>
                <c:pt idx="12">
                  <c:v>3693.5760906904843</c:v>
                </c:pt>
                <c:pt idx="13">
                  <c:v>7387.1521813809686</c:v>
                </c:pt>
                <c:pt idx="14">
                  <c:v>14774.304362761937</c:v>
                </c:pt>
                <c:pt idx="15">
                  <c:v>29548.608725523874</c:v>
                </c:pt>
                <c:pt idx="16">
                  <c:v>59097.217451047749</c:v>
                </c:pt>
                <c:pt idx="17">
                  <c:v>118194.4349020955</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Projections!$G$51:$AA$51</c15:sqref>
                  </c15:fullRef>
                </c:ext>
              </c:extLst>
              <c:f>Projections!$G$51:$X$51</c:f>
              <c:numCache>
                <c:formatCode>#,##0</c:formatCode>
                <c:ptCount val="18"/>
                <c:pt idx="0">
                  <c:v>3.3439969082789416</c:v>
                </c:pt>
                <c:pt idx="1">
                  <c:v>6.6879938165578832</c:v>
                </c:pt>
                <c:pt idx="2">
                  <c:v>13.375987633115766</c:v>
                </c:pt>
                <c:pt idx="3">
                  <c:v>26.751975266231533</c:v>
                </c:pt>
                <c:pt idx="4">
                  <c:v>53.503950532463065</c:v>
                </c:pt>
                <c:pt idx="5">
                  <c:v>107.00790106492613</c:v>
                </c:pt>
                <c:pt idx="6">
                  <c:v>214.01580212985226</c:v>
                </c:pt>
                <c:pt idx="7">
                  <c:v>428.03160425970452</c:v>
                </c:pt>
                <c:pt idx="8">
                  <c:v>856.06320851940905</c:v>
                </c:pt>
                <c:pt idx="9">
                  <c:v>1712.1264170388181</c:v>
                </c:pt>
                <c:pt idx="10">
                  <c:v>3424.2528340776362</c:v>
                </c:pt>
                <c:pt idx="11">
                  <c:v>6848.5056681552724</c:v>
                </c:pt>
                <c:pt idx="12">
                  <c:v>13697.011336310545</c:v>
                </c:pt>
                <c:pt idx="13">
                  <c:v>27394.022672621089</c:v>
                </c:pt>
                <c:pt idx="14">
                  <c:v>54788.045345242179</c:v>
                </c:pt>
                <c:pt idx="15">
                  <c:v>109576.09069048436</c:v>
                </c:pt>
                <c:pt idx="16">
                  <c:v>219152.18138096872</c:v>
                </c:pt>
                <c:pt idx="17">
                  <c:v>438304.36276193743</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Projections!$G$53:$AA$53</c15:sqref>
                  </c15:fullRef>
                </c:ext>
              </c:extLst>
              <c:f>Projections!$G$53:$X$53</c:f>
              <c:numCache>
                <c:formatCode>#,##0</c:formatCode>
                <c:ptCount val="18"/>
                <c:pt idx="0">
                  <c:v>5.2602198557196846</c:v>
                </c:pt>
                <c:pt idx="1">
                  <c:v>10.520439711439369</c:v>
                </c:pt>
                <c:pt idx="2">
                  <c:v>21.040879422878739</c:v>
                </c:pt>
                <c:pt idx="3">
                  <c:v>42.081758845757477</c:v>
                </c:pt>
                <c:pt idx="4">
                  <c:v>84.163517691514954</c:v>
                </c:pt>
                <c:pt idx="5">
                  <c:v>168.32703538302991</c:v>
                </c:pt>
                <c:pt idx="6">
                  <c:v>336.65407076605982</c:v>
                </c:pt>
                <c:pt idx="7">
                  <c:v>673.30814153211963</c:v>
                </c:pt>
                <c:pt idx="8">
                  <c:v>1346.6162830642393</c:v>
                </c:pt>
                <c:pt idx="9">
                  <c:v>2693.2325661284785</c:v>
                </c:pt>
                <c:pt idx="10">
                  <c:v>5386.4651322569571</c:v>
                </c:pt>
                <c:pt idx="11">
                  <c:v>10772.930264513914</c:v>
                </c:pt>
                <c:pt idx="12">
                  <c:v>21545.860529027828</c:v>
                </c:pt>
                <c:pt idx="13">
                  <c:v>43091.721058055657</c:v>
                </c:pt>
                <c:pt idx="14">
                  <c:v>86183.442116111313</c:v>
                </c:pt>
                <c:pt idx="15">
                  <c:v>172366.88423222263</c:v>
                </c:pt>
                <c:pt idx="16">
                  <c:v>344733.76846444525</c:v>
                </c:pt>
                <c:pt idx="17">
                  <c:v>689467.53692889051</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Projections!$G$55:$AA$55</c15:sqref>
                  </c15:fullRef>
                </c:ext>
              </c:extLst>
              <c:f>Projections!$G$55:$X$55</c:f>
              <c:numCache>
                <c:formatCode>#,##0</c:formatCode>
                <c:ptCount val="18"/>
                <c:pt idx="0">
                  <c:v>4.8522844383373416</c:v>
                </c:pt>
                <c:pt idx="1">
                  <c:v>9.7045688766746832</c:v>
                </c:pt>
                <c:pt idx="2">
                  <c:v>19.409137753349366</c:v>
                </c:pt>
                <c:pt idx="3">
                  <c:v>38.818275506698733</c:v>
                </c:pt>
                <c:pt idx="4">
                  <c:v>77.636551013397465</c:v>
                </c:pt>
                <c:pt idx="5">
                  <c:v>155.27310202679493</c:v>
                </c:pt>
                <c:pt idx="6">
                  <c:v>310.54620405358986</c:v>
                </c:pt>
                <c:pt idx="7">
                  <c:v>621.09240810717972</c:v>
                </c:pt>
                <c:pt idx="8">
                  <c:v>1242.1848162143594</c:v>
                </c:pt>
                <c:pt idx="9">
                  <c:v>2484.3696324287189</c:v>
                </c:pt>
                <c:pt idx="10">
                  <c:v>4968.7392648574378</c:v>
                </c:pt>
                <c:pt idx="11">
                  <c:v>9937.4785297148755</c:v>
                </c:pt>
                <c:pt idx="12">
                  <c:v>19874.957059429751</c:v>
                </c:pt>
                <c:pt idx="13">
                  <c:v>39749.914118859502</c:v>
                </c:pt>
                <c:pt idx="14">
                  <c:v>79499.828237719004</c:v>
                </c:pt>
                <c:pt idx="15">
                  <c:v>158999.65647543801</c:v>
                </c:pt>
                <c:pt idx="16">
                  <c:v>317999.31295087602</c:v>
                </c:pt>
                <c:pt idx="17">
                  <c:v>635998.62590175204</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Projections!$G$57:$AA$57</c15:sqref>
                  </c15:fullRef>
                </c:ext>
              </c:extLst>
              <c:f>Projections!$G$57:$X$57</c:f>
              <c:numCache>
                <c:formatCode>#,##0</c:formatCode>
                <c:ptCount val="18"/>
                <c:pt idx="0">
                  <c:v>4.0256784610099627</c:v>
                </c:pt>
                <c:pt idx="1">
                  <c:v>8.0513569220199255</c:v>
                </c:pt>
                <c:pt idx="2">
                  <c:v>16.102713844039851</c:v>
                </c:pt>
                <c:pt idx="3">
                  <c:v>32.205427688079702</c:v>
                </c:pt>
                <c:pt idx="4">
                  <c:v>64.410855376159404</c:v>
                </c:pt>
                <c:pt idx="5">
                  <c:v>128.82171075231881</c:v>
                </c:pt>
                <c:pt idx="6">
                  <c:v>257.64342150463762</c:v>
                </c:pt>
                <c:pt idx="7">
                  <c:v>515.28684300927523</c:v>
                </c:pt>
                <c:pt idx="8">
                  <c:v>1030.5736860185505</c:v>
                </c:pt>
                <c:pt idx="9">
                  <c:v>2061.1473720371009</c:v>
                </c:pt>
                <c:pt idx="10">
                  <c:v>4122.2947440742018</c:v>
                </c:pt>
                <c:pt idx="11">
                  <c:v>8244.5894881484037</c:v>
                </c:pt>
                <c:pt idx="12">
                  <c:v>16489.178976296807</c:v>
                </c:pt>
                <c:pt idx="13">
                  <c:v>32978.357952593615</c:v>
                </c:pt>
                <c:pt idx="14">
                  <c:v>65956.71590518723</c:v>
                </c:pt>
                <c:pt idx="15">
                  <c:v>131913.43181037446</c:v>
                </c:pt>
                <c:pt idx="16">
                  <c:v>263826.86362074892</c:v>
                </c:pt>
                <c:pt idx="17">
                  <c:v>527653.72724149784</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Projections!$G$59:$AA$59</c15:sqref>
                  </c15:fullRef>
                </c:ext>
              </c:extLst>
              <c:f>Projections!$G$59:$X$59</c:f>
              <c:numCache>
                <c:formatCode>#,##0</c:formatCode>
                <c:ptCount val="18"/>
                <c:pt idx="0">
                  <c:v>4.9381655788388867</c:v>
                </c:pt>
                <c:pt idx="1">
                  <c:v>9.8763311576777735</c:v>
                </c:pt>
                <c:pt idx="2">
                  <c:v>19.752662315355547</c:v>
                </c:pt>
                <c:pt idx="3">
                  <c:v>39.505324630711094</c:v>
                </c:pt>
                <c:pt idx="4">
                  <c:v>79.010649261422188</c:v>
                </c:pt>
                <c:pt idx="5">
                  <c:v>158.02129852284438</c:v>
                </c:pt>
                <c:pt idx="6">
                  <c:v>316.04259704568875</c:v>
                </c:pt>
                <c:pt idx="7">
                  <c:v>632.0851940913775</c:v>
                </c:pt>
                <c:pt idx="8">
                  <c:v>1264.170388182755</c:v>
                </c:pt>
                <c:pt idx="9">
                  <c:v>2528.34077636551</c:v>
                </c:pt>
                <c:pt idx="10">
                  <c:v>5056.68155273102</c:v>
                </c:pt>
                <c:pt idx="11">
                  <c:v>10113.36310546204</c:v>
                </c:pt>
                <c:pt idx="12">
                  <c:v>20226.72621092408</c:v>
                </c:pt>
                <c:pt idx="13">
                  <c:v>40453.45242184816</c:v>
                </c:pt>
                <c:pt idx="14">
                  <c:v>80906.90484369632</c:v>
                </c:pt>
                <c:pt idx="15">
                  <c:v>161813.80968739264</c:v>
                </c:pt>
                <c:pt idx="16">
                  <c:v>323627.61937478528</c:v>
                </c:pt>
                <c:pt idx="17">
                  <c:v>647255.23874957056</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Projections!$G$61:$AA$61</c15:sqref>
                  </c15:fullRef>
                </c:ext>
              </c:extLst>
              <c:f>Projections!$G$61:$X$61</c:f>
              <c:numCache>
                <c:formatCode>#,##0</c:formatCode>
                <c:ptCount val="18"/>
                <c:pt idx="0">
                  <c:v>6.7255668155273103</c:v>
                </c:pt>
                <c:pt idx="1">
                  <c:v>13.451133631054621</c:v>
                </c:pt>
                <c:pt idx="2">
                  <c:v>26.902267262109241</c:v>
                </c:pt>
                <c:pt idx="3">
                  <c:v>53.804534524218482</c:v>
                </c:pt>
                <c:pt idx="4">
                  <c:v>107.60906904843696</c:v>
                </c:pt>
                <c:pt idx="5">
                  <c:v>215.21813809687393</c:v>
                </c:pt>
                <c:pt idx="6">
                  <c:v>430.43627619374786</c:v>
                </c:pt>
                <c:pt idx="7">
                  <c:v>860.87255238749572</c:v>
                </c:pt>
                <c:pt idx="8">
                  <c:v>1721.7451047749914</c:v>
                </c:pt>
                <c:pt idx="9">
                  <c:v>3443.4902095499829</c:v>
                </c:pt>
                <c:pt idx="10">
                  <c:v>6886.9804190999657</c:v>
                </c:pt>
                <c:pt idx="11">
                  <c:v>13773.960838199931</c:v>
                </c:pt>
                <c:pt idx="12">
                  <c:v>27547.921676399863</c:v>
                </c:pt>
                <c:pt idx="13">
                  <c:v>55095.843352799726</c:v>
                </c:pt>
                <c:pt idx="14">
                  <c:v>110191.68670559945</c:v>
                </c:pt>
                <c:pt idx="15">
                  <c:v>220383.3734111989</c:v>
                </c:pt>
                <c:pt idx="16">
                  <c:v>440766.74682239781</c:v>
                </c:pt>
                <c:pt idx="17">
                  <c:v>881533.49364479561</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Projections!$G$63:$AA$63</c15:sqref>
                  </c15:fullRef>
                </c:ext>
              </c:extLst>
              <c:f>Projections!$G$63:$X$63</c:f>
              <c:numCache>
                <c:formatCode>#,##0</c:formatCode>
                <c:ptCount val="18"/>
                <c:pt idx="0">
                  <c:v>0.89638440398488495</c:v>
                </c:pt>
                <c:pt idx="1">
                  <c:v>1.7927688079697699</c:v>
                </c:pt>
                <c:pt idx="2">
                  <c:v>3.5855376159395398</c:v>
                </c:pt>
                <c:pt idx="3">
                  <c:v>7.1710752318790796</c:v>
                </c:pt>
                <c:pt idx="4">
                  <c:v>14.342150463758159</c:v>
                </c:pt>
                <c:pt idx="5">
                  <c:v>28.684300927516318</c:v>
                </c:pt>
                <c:pt idx="6">
                  <c:v>57.368601855032637</c:v>
                </c:pt>
                <c:pt idx="7">
                  <c:v>114.73720371006527</c:v>
                </c:pt>
                <c:pt idx="8">
                  <c:v>229.47440742013055</c:v>
                </c:pt>
                <c:pt idx="9">
                  <c:v>458.94881484026109</c:v>
                </c:pt>
                <c:pt idx="10">
                  <c:v>917.89762968052219</c:v>
                </c:pt>
                <c:pt idx="11">
                  <c:v>1835.7952593610444</c:v>
                </c:pt>
                <c:pt idx="12">
                  <c:v>3671.5905187220887</c:v>
                </c:pt>
                <c:pt idx="13">
                  <c:v>7343.1810374441775</c:v>
                </c:pt>
                <c:pt idx="14">
                  <c:v>14686.362074888355</c:v>
                </c:pt>
                <c:pt idx="15">
                  <c:v>29372.72414977671</c:v>
                </c:pt>
                <c:pt idx="16">
                  <c:v>58745.44829955342</c:v>
                </c:pt>
                <c:pt idx="17">
                  <c:v>117490.89659910684</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Projections!$G$65:$AA$65</c15:sqref>
                  </c15:fullRef>
                </c:ext>
              </c:extLst>
              <c:f>Projections!$G$65:$X$65</c:f>
              <c:numCache>
                <c:formatCode>#,##0</c:formatCode>
                <c:ptCount val="18"/>
                <c:pt idx="0">
                  <c:v>0.30595156303675713</c:v>
                </c:pt>
                <c:pt idx="1">
                  <c:v>0.61190312607351427</c:v>
                </c:pt>
                <c:pt idx="2">
                  <c:v>1.2238062521470285</c:v>
                </c:pt>
                <c:pt idx="3">
                  <c:v>2.4476125042940571</c:v>
                </c:pt>
                <c:pt idx="4">
                  <c:v>4.8952250085881142</c:v>
                </c:pt>
                <c:pt idx="5">
                  <c:v>9.7904500171762283</c:v>
                </c:pt>
                <c:pt idx="6">
                  <c:v>19.580900034352457</c:v>
                </c:pt>
                <c:pt idx="7">
                  <c:v>39.161800068704913</c:v>
                </c:pt>
                <c:pt idx="8">
                  <c:v>78.323600137409827</c:v>
                </c:pt>
                <c:pt idx="9">
                  <c:v>156.64720027481965</c:v>
                </c:pt>
                <c:pt idx="10">
                  <c:v>313.29440054963931</c:v>
                </c:pt>
                <c:pt idx="11">
                  <c:v>626.58880109927861</c:v>
                </c:pt>
                <c:pt idx="12">
                  <c:v>1253.1776021985572</c:v>
                </c:pt>
                <c:pt idx="13">
                  <c:v>2506.3552043971144</c:v>
                </c:pt>
                <c:pt idx="14">
                  <c:v>5012.7104087942289</c:v>
                </c:pt>
                <c:pt idx="15">
                  <c:v>10025.420817588458</c:v>
                </c:pt>
                <c:pt idx="16">
                  <c:v>20050.841635176916</c:v>
                </c:pt>
                <c:pt idx="17">
                  <c:v>40101.683270353831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Projections!$G$50:$AA$50</c15:sqref>
                  </c15:fullRef>
                </c:ext>
              </c:extLst>
              <c:f>Projections!$G$50:$X$50</c:f>
              <c:numCache>
                <c:formatCode>#,##0</c:formatCode>
                <c:ptCount val="18"/>
                <c:pt idx="0">
                  <c:v>0.13345929233940226</c:v>
                </c:pt>
                <c:pt idx="1">
                  <c:v>0.26691858467880453</c:v>
                </c:pt>
                <c:pt idx="2">
                  <c:v>0.53383716935760905</c:v>
                </c:pt>
                <c:pt idx="3">
                  <c:v>1.0676743387152181</c:v>
                </c:pt>
                <c:pt idx="4">
                  <c:v>2.1353486774304362</c:v>
                </c:pt>
                <c:pt idx="5">
                  <c:v>4.2706973548608724</c:v>
                </c:pt>
                <c:pt idx="6">
                  <c:v>8.5413947097217449</c:v>
                </c:pt>
                <c:pt idx="7">
                  <c:v>17.08278941944349</c:v>
                </c:pt>
                <c:pt idx="8">
                  <c:v>34.165578838886979</c:v>
                </c:pt>
                <c:pt idx="9">
                  <c:v>68.331157677773959</c:v>
                </c:pt>
                <c:pt idx="10">
                  <c:v>136.66231535554792</c:v>
                </c:pt>
                <c:pt idx="11">
                  <c:v>273.32463071109584</c:v>
                </c:pt>
                <c:pt idx="12">
                  <c:v>546.64926142219167</c:v>
                </c:pt>
                <c:pt idx="13">
                  <c:v>1093.2985228443833</c:v>
                </c:pt>
                <c:pt idx="14">
                  <c:v>2186.5970456887667</c:v>
                </c:pt>
                <c:pt idx="15">
                  <c:v>4373.1940913775334</c:v>
                </c:pt>
                <c:pt idx="16">
                  <c:v>8746.3881827550667</c:v>
                </c:pt>
                <c:pt idx="17">
                  <c:v>17492.776365510133</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Projections!$G$52:$AA$52</c15:sqref>
                  </c15:fullRef>
                </c:ext>
              </c:extLst>
              <c:f>Projections!$G$52:$X$52</c:f>
              <c:numCache>
                <c:formatCode>#,##0</c:formatCode>
                <c:ptCount val="18"/>
                <c:pt idx="0">
                  <c:v>0.26751975266231531</c:v>
                </c:pt>
                <c:pt idx="1">
                  <c:v>0.53503950532463063</c:v>
                </c:pt>
                <c:pt idx="2">
                  <c:v>1.0700790106492613</c:v>
                </c:pt>
                <c:pt idx="3">
                  <c:v>2.1401580212985225</c:v>
                </c:pt>
                <c:pt idx="4">
                  <c:v>4.280316042597045</c:v>
                </c:pt>
                <c:pt idx="5">
                  <c:v>8.56063208519409</c:v>
                </c:pt>
                <c:pt idx="6">
                  <c:v>17.12126417038818</c:v>
                </c:pt>
                <c:pt idx="7">
                  <c:v>34.24252834077636</c:v>
                </c:pt>
                <c:pt idx="8">
                  <c:v>68.48505668155272</c:v>
                </c:pt>
                <c:pt idx="9">
                  <c:v>136.97011336310544</c:v>
                </c:pt>
                <c:pt idx="10">
                  <c:v>273.94022672621088</c:v>
                </c:pt>
                <c:pt idx="11">
                  <c:v>547.88045345242176</c:v>
                </c:pt>
                <c:pt idx="12">
                  <c:v>1095.7609069048435</c:v>
                </c:pt>
                <c:pt idx="13">
                  <c:v>2191.521813809687</c:v>
                </c:pt>
                <c:pt idx="14">
                  <c:v>4383.0436276193741</c:v>
                </c:pt>
                <c:pt idx="15">
                  <c:v>8766.0872552387482</c:v>
                </c:pt>
                <c:pt idx="16">
                  <c:v>17532.174510477496</c:v>
                </c:pt>
                <c:pt idx="17">
                  <c:v>35064.349020954993</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Projections!$G$54:$AA$54</c15:sqref>
                  </c15:fullRef>
                </c:ext>
              </c:extLst>
              <c:f>Projections!$G$54:$X$54</c:f>
              <c:numCache>
                <c:formatCode>#,##0</c:formatCode>
                <c:ptCount val="18"/>
                <c:pt idx="0">
                  <c:v>0.18936791480590864</c:v>
                </c:pt>
                <c:pt idx="1">
                  <c:v>0.37873582961181729</c:v>
                </c:pt>
                <c:pt idx="2">
                  <c:v>0.75747165922363457</c:v>
                </c:pt>
                <c:pt idx="3">
                  <c:v>1.5149433184472691</c:v>
                </c:pt>
                <c:pt idx="4">
                  <c:v>3.0298866368945383</c:v>
                </c:pt>
                <c:pt idx="5">
                  <c:v>6.0597732737890766</c:v>
                </c:pt>
                <c:pt idx="6">
                  <c:v>12.119546547578153</c:v>
                </c:pt>
                <c:pt idx="7">
                  <c:v>24.239093095156306</c:v>
                </c:pt>
                <c:pt idx="8">
                  <c:v>48.478186190312613</c:v>
                </c:pt>
                <c:pt idx="9">
                  <c:v>96.956372380625226</c:v>
                </c:pt>
                <c:pt idx="10">
                  <c:v>193.91274476125045</c:v>
                </c:pt>
                <c:pt idx="11">
                  <c:v>387.8254895225009</c:v>
                </c:pt>
                <c:pt idx="12">
                  <c:v>775.6509790450018</c:v>
                </c:pt>
                <c:pt idx="13">
                  <c:v>1551.3019580900036</c:v>
                </c:pt>
                <c:pt idx="14">
                  <c:v>3102.6039161800072</c:v>
                </c:pt>
                <c:pt idx="15">
                  <c:v>6205.2078323600144</c:v>
                </c:pt>
                <c:pt idx="16">
                  <c:v>12410.415664720029</c:v>
                </c:pt>
                <c:pt idx="17">
                  <c:v>24820.831329440058</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Projections!$G$56:$AA$56</c15:sqref>
                  </c15:fullRef>
                </c:ext>
              </c:extLst>
              <c:f>Projections!$G$56:$X$56</c:f>
              <c:numCache>
                <c:formatCode>#,##0</c:formatCode>
                <c:ptCount val="18"/>
                <c:pt idx="0">
                  <c:v>6.3079697698385437E-2</c:v>
                </c:pt>
                <c:pt idx="1">
                  <c:v>0.12615939539677087</c:v>
                </c:pt>
                <c:pt idx="2">
                  <c:v>0.25231879079354175</c:v>
                </c:pt>
                <c:pt idx="3">
                  <c:v>0.50463758158708349</c:v>
                </c:pt>
                <c:pt idx="4">
                  <c:v>1.009275163174167</c:v>
                </c:pt>
                <c:pt idx="5">
                  <c:v>2.018550326348334</c:v>
                </c:pt>
                <c:pt idx="6">
                  <c:v>4.037100652696668</c:v>
                </c:pt>
                <c:pt idx="7">
                  <c:v>8.0742013053933359</c:v>
                </c:pt>
                <c:pt idx="8">
                  <c:v>16.148402610786672</c:v>
                </c:pt>
                <c:pt idx="9">
                  <c:v>32.296805221573344</c:v>
                </c:pt>
                <c:pt idx="10">
                  <c:v>64.593610443146687</c:v>
                </c:pt>
                <c:pt idx="11">
                  <c:v>129.18722088629337</c:v>
                </c:pt>
                <c:pt idx="12">
                  <c:v>258.37444177258675</c:v>
                </c:pt>
                <c:pt idx="13">
                  <c:v>516.7488835451735</c:v>
                </c:pt>
                <c:pt idx="14">
                  <c:v>1033.497767090347</c:v>
                </c:pt>
                <c:pt idx="15">
                  <c:v>2066.995534180694</c:v>
                </c:pt>
                <c:pt idx="16">
                  <c:v>4133.991068361388</c:v>
                </c:pt>
                <c:pt idx="17">
                  <c:v>8267.982136722776</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Projections!$G$58:$AA$58</c15:sqref>
                  </c15:fullRef>
                </c:ext>
              </c:extLst>
              <c:f>Projections!$G$58:$X$58</c:f>
              <c:numCache>
                <c:formatCode>#,##0</c:formatCode>
                <c:ptCount val="18"/>
                <c:pt idx="0">
                  <c:v>1.610271384403985E-2</c:v>
                </c:pt>
                <c:pt idx="1">
                  <c:v>3.2205427688079699E-2</c:v>
                </c:pt>
                <c:pt idx="2">
                  <c:v>6.4410855376159398E-2</c:v>
                </c:pt>
                <c:pt idx="3">
                  <c:v>0.1288217107523188</c:v>
                </c:pt>
                <c:pt idx="4">
                  <c:v>0.25764342150463759</c:v>
                </c:pt>
                <c:pt idx="5">
                  <c:v>0.51528684300927519</c:v>
                </c:pt>
                <c:pt idx="6">
                  <c:v>1.0305736860185504</c:v>
                </c:pt>
                <c:pt idx="7">
                  <c:v>2.0611473720371007</c:v>
                </c:pt>
                <c:pt idx="8">
                  <c:v>4.1222947440742015</c:v>
                </c:pt>
                <c:pt idx="9">
                  <c:v>8.244589488148403</c:v>
                </c:pt>
                <c:pt idx="10">
                  <c:v>16.489178976296806</c:v>
                </c:pt>
                <c:pt idx="11">
                  <c:v>32.978357952593612</c:v>
                </c:pt>
                <c:pt idx="12">
                  <c:v>65.956715905187224</c:v>
                </c:pt>
                <c:pt idx="13">
                  <c:v>131.91343181037445</c:v>
                </c:pt>
                <c:pt idx="14">
                  <c:v>263.8268636207489</c:v>
                </c:pt>
                <c:pt idx="15">
                  <c:v>527.65372724149779</c:v>
                </c:pt>
                <c:pt idx="16">
                  <c:v>1055.3074544829956</c:v>
                </c:pt>
                <c:pt idx="17">
                  <c:v>2110.6149089659912</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Projections!$G$60:$AA$60</c15:sqref>
                  </c15:fullRef>
                </c:ext>
              </c:extLst>
              <c:f>Projections!$G$60:$X$60</c:f>
              <c:numCache>
                <c:formatCode>#,##0</c:formatCode>
                <c:ptCount val="18"/>
                <c:pt idx="0">
                  <c:v>9.876331157677774E-3</c:v>
                </c:pt>
                <c:pt idx="1">
                  <c:v>1.9752662315355548E-2</c:v>
                </c:pt>
                <c:pt idx="2">
                  <c:v>3.9505324630711096E-2</c:v>
                </c:pt>
                <c:pt idx="3">
                  <c:v>7.9010649261422192E-2</c:v>
                </c:pt>
                <c:pt idx="4">
                  <c:v>0.15802129852284438</c:v>
                </c:pt>
                <c:pt idx="5">
                  <c:v>0.31604259704568877</c:v>
                </c:pt>
                <c:pt idx="6">
                  <c:v>0.63208519409137753</c:v>
                </c:pt>
                <c:pt idx="7">
                  <c:v>1.2641703881827551</c:v>
                </c:pt>
                <c:pt idx="8">
                  <c:v>2.5283407763655101</c:v>
                </c:pt>
                <c:pt idx="9">
                  <c:v>5.0566815527310203</c:v>
                </c:pt>
                <c:pt idx="10">
                  <c:v>10.113363105462041</c:v>
                </c:pt>
                <c:pt idx="11">
                  <c:v>20.226726210924081</c:v>
                </c:pt>
                <c:pt idx="12">
                  <c:v>40.453452421848162</c:v>
                </c:pt>
                <c:pt idx="13">
                  <c:v>80.906904843696324</c:v>
                </c:pt>
                <c:pt idx="14">
                  <c:v>161.81380968739265</c:v>
                </c:pt>
                <c:pt idx="15">
                  <c:v>323.6276193747853</c:v>
                </c:pt>
                <c:pt idx="16">
                  <c:v>647.25523874957059</c:v>
                </c:pt>
                <c:pt idx="17">
                  <c:v>1294.5104774991412</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Projections!$G$62:$AA$62</c15:sqref>
                  </c15:fullRef>
                </c:ext>
              </c:extLst>
              <c:f>Projections!$G$62:$X$62</c:f>
              <c:numCache>
                <c:formatCode>#,##0</c:formatCode>
                <c:ptCount val="18"/>
                <c:pt idx="0">
                  <c:v>1.3451133631054621E-2</c:v>
                </c:pt>
                <c:pt idx="1">
                  <c:v>2.6902267262109241E-2</c:v>
                </c:pt>
                <c:pt idx="2">
                  <c:v>5.3804534524218482E-2</c:v>
                </c:pt>
                <c:pt idx="3">
                  <c:v>0.10760906904843696</c:v>
                </c:pt>
                <c:pt idx="4">
                  <c:v>0.21521813809687393</c:v>
                </c:pt>
                <c:pt idx="5">
                  <c:v>0.43043627619374786</c:v>
                </c:pt>
                <c:pt idx="6">
                  <c:v>0.86087255238749572</c:v>
                </c:pt>
                <c:pt idx="7">
                  <c:v>1.7217451047749914</c:v>
                </c:pt>
                <c:pt idx="8">
                  <c:v>3.4434902095499829</c:v>
                </c:pt>
                <c:pt idx="9">
                  <c:v>6.8869804190999657</c:v>
                </c:pt>
                <c:pt idx="10">
                  <c:v>13.773960838199931</c:v>
                </c:pt>
                <c:pt idx="11">
                  <c:v>27.547921676399863</c:v>
                </c:pt>
                <c:pt idx="12">
                  <c:v>55.095843352799726</c:v>
                </c:pt>
                <c:pt idx="13">
                  <c:v>110.19168670559945</c:v>
                </c:pt>
                <c:pt idx="14">
                  <c:v>220.3833734111989</c:v>
                </c:pt>
                <c:pt idx="15">
                  <c:v>440.76674682239781</c:v>
                </c:pt>
                <c:pt idx="16">
                  <c:v>881.53349364479561</c:v>
                </c:pt>
                <c:pt idx="17">
                  <c:v>1763.0669872895912</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Projections!$G$64:$AA$64</c15:sqref>
                  </c15:fullRef>
                </c:ext>
              </c:extLst>
              <c:f>Projections!$G$64:$X$64</c:f>
              <c:numCache>
                <c:formatCode>#,##0</c:formatCode>
                <c:ptCount val="18"/>
                <c:pt idx="0">
                  <c:v>1.79276880796977E-3</c:v>
                </c:pt>
                <c:pt idx="1">
                  <c:v>3.58553761593954E-3</c:v>
                </c:pt>
                <c:pt idx="2">
                  <c:v>7.17107523187908E-3</c:v>
                </c:pt>
                <c:pt idx="3">
                  <c:v>1.434215046375816E-2</c:v>
                </c:pt>
                <c:pt idx="4">
                  <c:v>2.868430092751632E-2</c:v>
                </c:pt>
                <c:pt idx="5">
                  <c:v>5.736860185503264E-2</c:v>
                </c:pt>
                <c:pt idx="6">
                  <c:v>0.11473720371006528</c:v>
                </c:pt>
                <c:pt idx="7">
                  <c:v>0.22947440742013056</c:v>
                </c:pt>
                <c:pt idx="8">
                  <c:v>0.45894881484026112</c:v>
                </c:pt>
                <c:pt idx="9">
                  <c:v>0.91789762968052224</c:v>
                </c:pt>
                <c:pt idx="10">
                  <c:v>1.8357952593610445</c:v>
                </c:pt>
                <c:pt idx="11">
                  <c:v>3.671590518722089</c:v>
                </c:pt>
                <c:pt idx="12">
                  <c:v>7.3431810374441779</c:v>
                </c:pt>
                <c:pt idx="13">
                  <c:v>14.686362074888356</c:v>
                </c:pt>
                <c:pt idx="14">
                  <c:v>29.372724149776712</c:v>
                </c:pt>
                <c:pt idx="15">
                  <c:v>58.745448299553424</c:v>
                </c:pt>
                <c:pt idx="16">
                  <c:v>117.49089659910685</c:v>
                </c:pt>
                <c:pt idx="17">
                  <c:v>234.98179319821369</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Projections!$G$66:$AA$66</c15:sqref>
                  </c15:fullRef>
                </c:ext>
              </c:extLst>
              <c:f>Projections!$G$66:$X$66</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Projections!$G$78:$AA$78</c15:sqref>
                  </c15:fullRef>
                </c:ext>
              </c:extLst>
              <c:f>Projections!$G$78:$X$78</c:f>
              <c:numCache>
                <c:formatCode>#,##0</c:formatCode>
                <c:ptCount val="18"/>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Projections!$G$76:$AA$76</c15:sqref>
                  </c15:fullRef>
                </c:ext>
              </c:extLst>
              <c:f>Projections!$G$76:$X$76</c:f>
              <c:numCache>
                <c:formatCode>#,##0</c:formatCode>
                <c:ptCount val="18"/>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Projections!$G$82:$AA$82</c15:sqref>
                  </c15:fullRef>
                </c:ext>
              </c:extLst>
              <c:f>Projections!$G$82:$X$82</c:f>
              <c:numCache>
                <c:formatCode>#,##0</c:formatCode>
                <c:ptCount val="18"/>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Projections!$G$72:$AA$72</c15:sqref>
                  </c15:fullRef>
                </c:ext>
              </c:extLst>
              <c:f>Projections!$G$72:$X$72</c:f>
              <c:numCache>
                <c:formatCode>#,##0</c:formatCode>
                <c:ptCount val="1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Projections!$G$74:$AA$74</c15:sqref>
                  </c15:fullRef>
                </c:ext>
              </c:extLst>
              <c:f>Projections!$G$74:$X$74</c:f>
              <c:numCache>
                <c:formatCode>#,##0</c:formatCode>
                <c:ptCount val="18"/>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Projections!$G$80:$AA$80</c15:sqref>
                  </c15:fullRef>
                </c:ext>
              </c:extLst>
              <c:f>Projections!$G$80:$X$80</c:f>
              <c:numCache>
                <c:formatCode>#,##0</c:formatCode>
                <c:ptCount val="18"/>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Projections!$G$79:$AA$79</c15:sqref>
                  </c15:fullRef>
                </c:ext>
              </c:extLst>
              <c:f>Projections!$G$79:$X$79</c:f>
              <c:numCache>
                <c:formatCode>#,##0</c:formatCode>
                <c:ptCount val="18"/>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Projections!$G$77:$AA$77</c15:sqref>
                  </c15:fullRef>
                </c:ext>
              </c:extLst>
              <c:f>Projections!$G$77:$X$77</c:f>
              <c:numCache>
                <c:formatCode>#,##0</c:formatCode>
                <c:ptCount val="18"/>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Projections!$G$73:$AA$73</c15:sqref>
                  </c15:fullRef>
                </c:ext>
              </c:extLst>
              <c:f>Projections!$G$73:$X$73</c:f>
              <c:numCache>
                <c:formatCode>#,##0</c:formatCode>
                <c:ptCount val="18"/>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Projections!$G$75:$AA$75</c15:sqref>
                  </c15:fullRef>
                </c:ext>
              </c:extLst>
              <c:f>Projections!$G$75:$X$75</c:f>
              <c:numCache>
                <c:formatCode>#,##0</c:formatCode>
                <c:ptCount val="18"/>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Projections!$G$17:$X$17</c:f>
              <c:numCache>
                <c:formatCode>m/d/yyyy</c:formatCode>
                <c:ptCount val="18"/>
                <c:pt idx="0">
                  <c:v>43892</c:v>
                </c:pt>
                <c:pt idx="1">
                  <c:v>43896</c:v>
                </c:pt>
                <c:pt idx="2">
                  <c:v>43900</c:v>
                </c:pt>
                <c:pt idx="3">
                  <c:v>43904</c:v>
                </c:pt>
                <c:pt idx="4">
                  <c:v>43908</c:v>
                </c:pt>
                <c:pt idx="5">
                  <c:v>43911</c:v>
                </c:pt>
                <c:pt idx="6">
                  <c:v>43914</c:v>
                </c:pt>
                <c:pt idx="7">
                  <c:v>43919</c:v>
                </c:pt>
                <c:pt idx="8">
                  <c:v>43959</c:v>
                </c:pt>
                <c:pt idx="9">
                  <c:v>43999</c:v>
                </c:pt>
                <c:pt idx="10">
                  <c:v>44039</c:v>
                </c:pt>
                <c:pt idx="11">
                  <c:v>44079</c:v>
                </c:pt>
                <c:pt idx="12">
                  <c:v>44119</c:v>
                </c:pt>
                <c:pt idx="13">
                  <c:v>44159</c:v>
                </c:pt>
                <c:pt idx="14">
                  <c:v>44199</c:v>
                </c:pt>
                <c:pt idx="15">
                  <c:v>44239</c:v>
                </c:pt>
                <c:pt idx="16">
                  <c:v>44279</c:v>
                </c:pt>
                <c:pt idx="17">
                  <c:v>44319</c:v>
                </c:pt>
              </c:numCache>
            </c:numRef>
          </c:cat>
          <c:val>
            <c:numRef>
              <c:extLst>
                <c:ext xmlns:c15="http://schemas.microsoft.com/office/drawing/2012/chart" uri="{02D57815-91ED-43cb-92C2-25804820EDAC}">
                  <c15:fullRef>
                    <c15:sqref>Projections!$G$81:$AA$81</c15:sqref>
                  </c15:fullRef>
                </c:ext>
              </c:extLst>
              <c:f>Projections!$G$81:$X$81</c:f>
              <c:numCache>
                <c:formatCode>#,##0</c:formatCode>
                <c:ptCount val="18"/>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4</xdr:row>
      <xdr:rowOff>180975</xdr:rowOff>
    </xdr:from>
    <xdr:to>
      <xdr:col>40</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75</xdr:row>
      <xdr:rowOff>5814</xdr:rowOff>
    </xdr:from>
    <xdr:to>
      <xdr:col>41</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99</xdr:row>
      <xdr:rowOff>10576</xdr:rowOff>
    </xdr:from>
    <xdr:to>
      <xdr:col>41</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116</xdr:row>
      <xdr:rowOff>182025</xdr:rowOff>
    </xdr:from>
    <xdr:to>
      <xdr:col>41</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134</xdr:row>
      <xdr:rowOff>10575</xdr:rowOff>
    </xdr:from>
    <xdr:to>
      <xdr:col>41</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38</xdr:row>
      <xdr:rowOff>4762</xdr:rowOff>
    </xdr:from>
    <xdr:to>
      <xdr:col>41</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58</xdr:row>
      <xdr:rowOff>2721</xdr:rowOff>
    </xdr:from>
    <xdr:to>
      <xdr:col>40</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4</xdr:row>
      <xdr:rowOff>180975</xdr:rowOff>
    </xdr:from>
    <xdr:to>
      <xdr:col>54</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74</xdr:row>
      <xdr:rowOff>177264</xdr:rowOff>
    </xdr:from>
    <xdr:to>
      <xdr:col>54</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99</xdr:row>
      <xdr:rowOff>1051</xdr:rowOff>
    </xdr:from>
    <xdr:to>
      <xdr:col>54</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116</xdr:row>
      <xdr:rowOff>182025</xdr:rowOff>
    </xdr:from>
    <xdr:to>
      <xdr:col>54</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134</xdr:row>
      <xdr:rowOff>10575</xdr:rowOff>
    </xdr:from>
    <xdr:to>
      <xdr:col>54</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38</xdr:row>
      <xdr:rowOff>14287</xdr:rowOff>
    </xdr:from>
    <xdr:to>
      <xdr:col>54</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58</xdr:row>
      <xdr:rowOff>2721</xdr:rowOff>
    </xdr:from>
    <xdr:to>
      <xdr:col>54</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166</v>
      </c>
    </row>
    <row r="3" spans="2:2" x14ac:dyDescent="0.25">
      <c r="B3" t="s">
        <v>146</v>
      </c>
    </row>
    <row r="4" spans="2:2" x14ac:dyDescent="0.25">
      <c r="B4" t="s">
        <v>162</v>
      </c>
    </row>
    <row r="5" spans="2:2" x14ac:dyDescent="0.25">
      <c r="B5" t="s">
        <v>167</v>
      </c>
    </row>
    <row r="6" spans="2:2" x14ac:dyDescent="0.25">
      <c r="B6" t="s">
        <v>168</v>
      </c>
    </row>
    <row r="7" spans="2:2" x14ac:dyDescent="0.25">
      <c r="B7" t="s">
        <v>149</v>
      </c>
    </row>
    <row r="11" spans="2:2" x14ac:dyDescent="0.25">
      <c r="B11" t="s">
        <v>175</v>
      </c>
    </row>
    <row r="12" spans="2:2" x14ac:dyDescent="0.25">
      <c r="B12" t="s">
        <v>188</v>
      </c>
    </row>
    <row r="13" spans="2:2" x14ac:dyDescent="0.25">
      <c r="B13" t="s">
        <v>190</v>
      </c>
    </row>
    <row r="14" spans="2:2" x14ac:dyDescent="0.25">
      <c r="B14" t="s">
        <v>189</v>
      </c>
    </row>
    <row r="15" spans="2:2" x14ac:dyDescent="0.25">
      <c r="B15" t="s">
        <v>196</v>
      </c>
    </row>
    <row r="17" spans="1:43" x14ac:dyDescent="0.25">
      <c r="A17" t="s">
        <v>194</v>
      </c>
      <c r="B17" s="116">
        <f>(AP25/E31) /Projections!B6</f>
        <v>246.91358024691357</v>
      </c>
      <c r="C17" s="117"/>
      <c r="D17" s="118"/>
      <c r="E17" s="112">
        <f>B17*2</f>
        <v>493.82716049382714</v>
      </c>
      <c r="F17" s="117"/>
      <c r="G17" s="112"/>
      <c r="H17" s="112">
        <f>E17*2</f>
        <v>987.65432098765427</v>
      </c>
      <c r="I17" s="117"/>
      <c r="J17" s="118"/>
      <c r="K17" s="109">
        <f>H17*2</f>
        <v>1975.3086419753085</v>
      </c>
      <c r="L17" s="107"/>
      <c r="M17" s="108"/>
      <c r="N17" s="109">
        <f>K17*2</f>
        <v>3950.6172839506171</v>
      </c>
      <c r="O17" s="107"/>
      <c r="P17" s="108"/>
      <c r="Q17" s="109">
        <f>N17*2</f>
        <v>7901.2345679012342</v>
      </c>
      <c r="R17" s="107"/>
      <c r="S17" s="108"/>
      <c r="T17" s="109">
        <f>Q17*2</f>
        <v>15802.469135802468</v>
      </c>
      <c r="U17" s="107"/>
      <c r="V17" s="108"/>
      <c r="W17" s="109">
        <f>T17*2</f>
        <v>31604.938271604937</v>
      </c>
      <c r="X17" s="107"/>
      <c r="Y17" s="108"/>
      <c r="Z17" s="109">
        <f>W17*2</f>
        <v>63209.876543209873</v>
      </c>
      <c r="AA17" s="107"/>
      <c r="AB17" s="108"/>
      <c r="AC17" s="109">
        <f>Z17*2</f>
        <v>126419.75308641975</v>
      </c>
      <c r="AD17" s="107"/>
      <c r="AE17" s="108"/>
      <c r="AF17" s="109">
        <f>AC17*2</f>
        <v>252839.50617283949</v>
      </c>
      <c r="AG17" s="107"/>
      <c r="AH17" s="108"/>
      <c r="AI17" s="109">
        <f>AF17*2</f>
        <v>505679.01234567899</v>
      </c>
      <c r="AJ17" s="107"/>
      <c r="AK17" s="108"/>
      <c r="AL17" s="109">
        <f>AI17*2</f>
        <v>1011358.024691358</v>
      </c>
      <c r="AM17" s="107"/>
      <c r="AN17" s="108"/>
      <c r="AO17" s="109">
        <f>AL17*2</f>
        <v>2022716.049382716</v>
      </c>
      <c r="AP17" s="112"/>
      <c r="AQ17" t="s">
        <v>194</v>
      </c>
    </row>
    <row r="18" spans="1:43" s="81" customFormat="1" x14ac:dyDescent="0.25">
      <c r="A18" s="81" t="s">
        <v>282</v>
      </c>
      <c r="B18" s="100">
        <f>B17*$E$34</f>
        <v>46.913580246913568</v>
      </c>
      <c r="C18" s="119"/>
      <c r="D18" s="119"/>
      <c r="E18" s="119">
        <f>E17*$E$34</f>
        <v>93.827160493827137</v>
      </c>
      <c r="F18" s="119"/>
      <c r="G18" s="45"/>
      <c r="H18" s="119">
        <f>H17*$E$34</f>
        <v>187.65432098765427</v>
      </c>
      <c r="I18" s="119"/>
      <c r="J18" s="119"/>
      <c r="K18" s="119">
        <f>K17*$E$34</f>
        <v>375.30864197530855</v>
      </c>
      <c r="L18" s="119"/>
      <c r="M18" s="119"/>
      <c r="N18" s="119">
        <f>N17*$E$34</f>
        <v>750.61728395061709</v>
      </c>
      <c r="O18" s="119"/>
      <c r="P18" s="119"/>
      <c r="Q18" s="119">
        <f>Q17*$E$34</f>
        <v>1501.2345679012342</v>
      </c>
      <c r="R18" s="119"/>
      <c r="S18" s="119"/>
      <c r="T18" s="119">
        <f>T17*$E$34</f>
        <v>3002.4691358024684</v>
      </c>
      <c r="U18" s="119"/>
      <c r="V18" s="119"/>
      <c r="W18" s="119">
        <f>W17*$E$34</f>
        <v>6004.9382716049367</v>
      </c>
      <c r="X18" s="119"/>
      <c r="Y18" s="119"/>
      <c r="Z18" s="119">
        <f>Z17*$E$34</f>
        <v>12009.876543209873</v>
      </c>
      <c r="AA18" s="119"/>
      <c r="AB18" s="119"/>
      <c r="AC18" s="119">
        <f>AC17*$E$34</f>
        <v>24019.753086419747</v>
      </c>
      <c r="AD18" s="119"/>
      <c r="AE18" s="119"/>
      <c r="AF18" s="119">
        <f>AF17*$E$34</f>
        <v>48039.506172839494</v>
      </c>
      <c r="AG18" s="119"/>
      <c r="AH18" s="119"/>
      <c r="AI18" s="119">
        <f>AI17*$E$34</f>
        <v>96079.012345678988</v>
      </c>
      <c r="AJ18" s="119"/>
      <c r="AK18" s="119"/>
      <c r="AL18" s="119">
        <f>AL17*$E$34</f>
        <v>192158.02469135798</v>
      </c>
      <c r="AM18" s="119"/>
      <c r="AN18" s="119"/>
      <c r="AO18" s="119">
        <f>AO17*$E$34</f>
        <v>384316.04938271595</v>
      </c>
      <c r="AP18" s="45"/>
      <c r="AQ18" s="81" t="s">
        <v>282</v>
      </c>
    </row>
    <row r="19" spans="1:43" s="81" customFormat="1" x14ac:dyDescent="0.25">
      <c r="A19" s="59" t="s">
        <v>284</v>
      </c>
      <c r="B19" s="98">
        <f>B18</f>
        <v>46.913580246913568</v>
      </c>
      <c r="C19" s="99"/>
      <c r="D19" s="99"/>
      <c r="E19" s="99">
        <f>E18</f>
        <v>93.827160493827137</v>
      </c>
      <c r="F19" s="99"/>
      <c r="G19" s="46"/>
      <c r="H19" s="99">
        <f>H18</f>
        <v>187.65432098765427</v>
      </c>
      <c r="I19" s="99"/>
      <c r="J19" s="99"/>
      <c r="K19" s="99">
        <f>K18</f>
        <v>375.30864197530855</v>
      </c>
      <c r="L19" s="99"/>
      <c r="M19" s="99"/>
      <c r="N19" s="99">
        <f>N18</f>
        <v>750.61728395061709</v>
      </c>
      <c r="O19" s="99"/>
      <c r="P19" s="99"/>
      <c r="Q19" s="99">
        <f>Q18</f>
        <v>1501.2345679012342</v>
      </c>
      <c r="R19" s="99"/>
      <c r="S19" s="99"/>
      <c r="T19" s="99">
        <f>T18</f>
        <v>3002.4691358024684</v>
      </c>
      <c r="U19" s="99"/>
      <c r="V19" s="99"/>
      <c r="W19" s="136">
        <f>W18-B18</f>
        <v>5958.0246913580231</v>
      </c>
      <c r="X19" s="136"/>
      <c r="Y19" s="136"/>
      <c r="Z19" s="136">
        <f>Z18-E18</f>
        <v>11916.049382716046</v>
      </c>
      <c r="AA19" s="136"/>
      <c r="AB19" s="136"/>
      <c r="AC19" s="136">
        <f>AC18-H18</f>
        <v>23832.098765432092</v>
      </c>
      <c r="AD19" s="136"/>
      <c r="AE19" s="136"/>
      <c r="AF19" s="136">
        <f>AF18-K18</f>
        <v>47664.197530864185</v>
      </c>
      <c r="AG19" s="136"/>
      <c r="AH19" s="136"/>
      <c r="AI19" s="136">
        <f>AI18-N18</f>
        <v>95328.39506172837</v>
      </c>
      <c r="AJ19" s="136"/>
      <c r="AK19" s="136"/>
      <c r="AL19" s="136">
        <f>AL18-Q18</f>
        <v>190656.79012345674</v>
      </c>
      <c r="AM19" s="136"/>
      <c r="AN19" s="136"/>
      <c r="AO19" s="136">
        <f>AO18-T18</f>
        <v>381313.58024691348</v>
      </c>
      <c r="AP19" s="137"/>
      <c r="AQ19" s="59" t="s">
        <v>284</v>
      </c>
    </row>
    <row r="20" spans="1:43" s="81" customFormat="1" x14ac:dyDescent="0.25">
      <c r="A20" t="s">
        <v>195</v>
      </c>
      <c r="B20" s="100"/>
      <c r="C20" s="119"/>
      <c r="D20" s="119"/>
      <c r="E20" s="119"/>
      <c r="F20" s="119"/>
      <c r="G20" s="45"/>
      <c r="H20" s="120"/>
      <c r="I20" s="121"/>
      <c r="J20" s="122"/>
      <c r="K20" s="146">
        <f>B17*(1-E34)</f>
        <v>200</v>
      </c>
      <c r="L20" s="143"/>
      <c r="M20" s="144"/>
      <c r="N20" s="145">
        <f>E17*(1-E34)</f>
        <v>400</v>
      </c>
      <c r="O20" s="143"/>
      <c r="P20" s="144"/>
      <c r="Q20" s="145">
        <f>H17*(1-E34)</f>
        <v>800</v>
      </c>
      <c r="R20" s="143"/>
      <c r="S20" s="144"/>
      <c r="T20" s="145">
        <f>K17*(1-E34)</f>
        <v>1600</v>
      </c>
      <c r="U20" s="143"/>
      <c r="V20" s="144"/>
      <c r="W20" s="145">
        <f>N17*(1-E34)</f>
        <v>3200</v>
      </c>
      <c r="X20" s="143"/>
      <c r="Y20" s="144"/>
      <c r="Z20" s="145">
        <f>Q17*(1-E34)</f>
        <v>6400</v>
      </c>
      <c r="AA20" s="143"/>
      <c r="AB20" s="144"/>
      <c r="AC20" s="145">
        <f>T17*(1-E34)</f>
        <v>12800</v>
      </c>
      <c r="AD20" s="143"/>
      <c r="AE20" s="144"/>
      <c r="AF20" s="145">
        <f>W17*(1-E34)</f>
        <v>25600</v>
      </c>
      <c r="AG20" s="143"/>
      <c r="AH20" s="144"/>
      <c r="AI20" s="145">
        <f>Z17*(1-E34)</f>
        <v>51200</v>
      </c>
      <c r="AJ20" s="143"/>
      <c r="AK20" s="144"/>
      <c r="AL20" s="145">
        <f>AC17*(1-E34)</f>
        <v>102400</v>
      </c>
      <c r="AM20" s="143"/>
      <c r="AN20" s="144"/>
      <c r="AO20" s="145">
        <f>AF17*(1-E34)</f>
        <v>204800</v>
      </c>
      <c r="AP20" s="91"/>
      <c r="AQ20" t="s">
        <v>195</v>
      </c>
    </row>
    <row r="21" spans="1:43" s="81" customFormat="1" x14ac:dyDescent="0.25">
      <c r="A21" s="81" t="s">
        <v>176</v>
      </c>
      <c r="B21" s="92"/>
      <c r="C21" s="93"/>
      <c r="D21" s="93"/>
      <c r="E21" s="93"/>
      <c r="F21" s="93"/>
      <c r="G21" s="94"/>
      <c r="H21" s="138">
        <f>B17-B18</f>
        <v>200</v>
      </c>
      <c r="I21" s="138"/>
      <c r="J21" s="138"/>
      <c r="K21" s="138">
        <f>E17-E18</f>
        <v>400</v>
      </c>
      <c r="L21" s="138"/>
      <c r="M21" s="138"/>
      <c r="N21" s="138">
        <f>(H17-H18)*$E$35</f>
        <v>736</v>
      </c>
      <c r="O21" s="138"/>
      <c r="P21" s="138"/>
      <c r="Q21" s="138">
        <f>(K17-K18)*$E$35</f>
        <v>1472</v>
      </c>
      <c r="R21" s="138"/>
      <c r="S21" s="138"/>
      <c r="T21" s="138">
        <f>(N17-N18)*$E$35</f>
        <v>2944</v>
      </c>
      <c r="U21" s="138"/>
      <c r="V21" s="138"/>
      <c r="W21" s="138">
        <f>((Q17-Q18)*$E$35)-(H21*$E$35)</f>
        <v>5704</v>
      </c>
      <c r="X21" s="138"/>
      <c r="Y21" s="138"/>
      <c r="Z21" s="138">
        <f>((T17-T18)*$E$35)-(K21*$E$35)</f>
        <v>11408</v>
      </c>
      <c r="AA21" s="138"/>
      <c r="AB21" s="138"/>
      <c r="AC21" s="138">
        <f>((W17-W18)*$E$35)-N21</f>
        <v>22816</v>
      </c>
      <c r="AD21" s="138"/>
      <c r="AE21" s="138"/>
      <c r="AF21" s="138">
        <f>((Z17-Z18)*$E$35)-Q21</f>
        <v>45632</v>
      </c>
      <c r="AG21" s="138"/>
      <c r="AH21" s="138"/>
      <c r="AI21" s="138">
        <f>((AC17-AC18)*$E$35)-T21</f>
        <v>91264</v>
      </c>
      <c r="AJ21" s="138"/>
      <c r="AK21" s="138"/>
      <c r="AL21" s="138">
        <f>((AF17-AF18)*$E$35)-W21</f>
        <v>182712</v>
      </c>
      <c r="AM21" s="138"/>
      <c r="AN21" s="138"/>
      <c r="AO21" s="138">
        <f>((AI17-AI18)*$E$35)-Z21</f>
        <v>365424</v>
      </c>
      <c r="AP21" s="139"/>
      <c r="AQ21" s="81" t="s">
        <v>176</v>
      </c>
    </row>
    <row r="22" spans="1:43" s="81" customFormat="1" x14ac:dyDescent="0.25">
      <c r="A22" s="81" t="s">
        <v>177</v>
      </c>
      <c r="B22" s="92"/>
      <c r="C22" s="93"/>
      <c r="D22" s="93"/>
      <c r="E22" s="93"/>
      <c r="F22" s="93"/>
      <c r="G22" s="94"/>
      <c r="H22" s="121"/>
      <c r="I22" s="121"/>
      <c r="J22" s="121"/>
      <c r="K22" s="121"/>
      <c r="L22" s="121"/>
      <c r="M22" s="122"/>
      <c r="N22" s="140">
        <f>(H17-H18)*($E$36+$E$37)</f>
        <v>64</v>
      </c>
      <c r="O22" s="140"/>
      <c r="P22" s="140"/>
      <c r="Q22" s="140">
        <f>(K17-K18)*($E$36+$E$37)</f>
        <v>128</v>
      </c>
      <c r="R22" s="140"/>
      <c r="S22" s="140"/>
      <c r="T22" s="140">
        <f>(N17-N18)*$E$36</f>
        <v>160</v>
      </c>
      <c r="U22" s="140"/>
      <c r="V22" s="140"/>
      <c r="W22" s="140">
        <f>(Q17-Q18)*$E$36</f>
        <v>320</v>
      </c>
      <c r="X22" s="140"/>
      <c r="Y22" s="140"/>
      <c r="Z22" s="140">
        <f>(T17-T18)*$E$36</f>
        <v>640</v>
      </c>
      <c r="AA22" s="140"/>
      <c r="AB22" s="140"/>
      <c r="AC22" s="140">
        <f>(W17-W18)*$E$36</f>
        <v>1280</v>
      </c>
      <c r="AD22" s="140"/>
      <c r="AE22" s="140"/>
      <c r="AF22" s="140">
        <f>(Z17-Z18)*$E$36</f>
        <v>2560</v>
      </c>
      <c r="AG22" s="140"/>
      <c r="AH22" s="140"/>
      <c r="AI22" s="140">
        <f>(AC17-AC18)*$E$36</f>
        <v>5120</v>
      </c>
      <c r="AJ22" s="140"/>
      <c r="AK22" s="140"/>
      <c r="AL22" s="140">
        <f>(AF17-AF18)*$E$36</f>
        <v>10240</v>
      </c>
      <c r="AM22" s="140"/>
      <c r="AN22" s="140"/>
      <c r="AO22" s="140">
        <f>(AI17-AI18)*$E$36</f>
        <v>20480</v>
      </c>
      <c r="AP22" s="141"/>
      <c r="AQ22" s="81" t="s">
        <v>177</v>
      </c>
    </row>
    <row r="23" spans="1:43" s="81" customFormat="1" x14ac:dyDescent="0.25">
      <c r="A23" s="59" t="s">
        <v>178</v>
      </c>
      <c r="B23" s="92"/>
      <c r="C23" s="93"/>
      <c r="D23" s="93"/>
      <c r="E23" s="93"/>
      <c r="F23" s="93"/>
      <c r="G23" s="94"/>
      <c r="H23" s="99"/>
      <c r="I23" s="99"/>
      <c r="J23" s="99"/>
      <c r="K23" s="99"/>
      <c r="L23" s="99"/>
      <c r="M23" s="99"/>
      <c r="N23" s="121"/>
      <c r="O23" s="121"/>
      <c r="P23" s="121"/>
      <c r="Q23" s="121"/>
      <c r="R23" s="121"/>
      <c r="S23" s="122"/>
      <c r="T23" s="52">
        <f>(N17-N18)*$E$37</f>
        <v>96</v>
      </c>
      <c r="U23" s="52"/>
      <c r="V23" s="52"/>
      <c r="W23" s="52">
        <f>(Q17-Q18)*$E$37</f>
        <v>192</v>
      </c>
      <c r="X23" s="52"/>
      <c r="Y23" s="52"/>
      <c r="Z23" s="52">
        <f>(T17-T18)*$E$37</f>
        <v>384</v>
      </c>
      <c r="AA23" s="52"/>
      <c r="AB23" s="52"/>
      <c r="AC23" s="52">
        <f>(W17-W18)*$E$37</f>
        <v>768</v>
      </c>
      <c r="AD23" s="52"/>
      <c r="AE23" s="52"/>
      <c r="AF23" s="52">
        <f>(Z17-Z18)*$E$37</f>
        <v>1536</v>
      </c>
      <c r="AG23" s="52"/>
      <c r="AH23" s="52"/>
      <c r="AI23" s="52">
        <f>(AC17-AC18)*$E$37</f>
        <v>3072</v>
      </c>
      <c r="AJ23" s="52"/>
      <c r="AK23" s="52"/>
      <c r="AL23" s="52">
        <f>(AF17-AF18)*$E$37</f>
        <v>6144</v>
      </c>
      <c r="AM23" s="52"/>
      <c r="AN23" s="52"/>
      <c r="AO23" s="52">
        <f>(AI17-AI18)*$E$37</f>
        <v>12288</v>
      </c>
      <c r="AP23" s="142"/>
      <c r="AQ23" s="59" t="s">
        <v>178</v>
      </c>
    </row>
    <row r="24" spans="1:43" s="81" customFormat="1" x14ac:dyDescent="0.25">
      <c r="A24" s="59" t="s">
        <v>183</v>
      </c>
      <c r="B24" s="98"/>
      <c r="C24" s="99"/>
      <c r="D24" s="99"/>
      <c r="E24" s="99"/>
      <c r="F24" s="99"/>
      <c r="G24" s="46"/>
      <c r="H24" s="99"/>
      <c r="I24" s="99"/>
      <c r="J24" s="99"/>
      <c r="K24" s="99"/>
      <c r="L24" s="99"/>
      <c r="M24" s="99"/>
      <c r="N24" s="99"/>
      <c r="O24" s="99"/>
      <c r="P24" s="99"/>
      <c r="Q24" s="99"/>
      <c r="R24" s="99"/>
      <c r="S24" s="99"/>
      <c r="T24" s="121"/>
      <c r="U24" s="122"/>
      <c r="V24" s="123">
        <f>H21*$E$35</f>
        <v>184</v>
      </c>
      <c r="W24" s="123"/>
      <c r="X24" s="123"/>
      <c r="Y24" s="123">
        <f>K21*$E$35</f>
        <v>368</v>
      </c>
      <c r="Z24" s="123"/>
      <c r="AA24" s="123"/>
      <c r="AB24" s="123">
        <f>N21</f>
        <v>736</v>
      </c>
      <c r="AC24" s="123"/>
      <c r="AD24" s="123"/>
      <c r="AE24" s="123">
        <f>Q21</f>
        <v>1472</v>
      </c>
      <c r="AF24" s="123"/>
      <c r="AG24" s="123"/>
      <c r="AH24" s="123">
        <f>T21</f>
        <v>2944</v>
      </c>
      <c r="AI24" s="123"/>
      <c r="AJ24" s="123"/>
      <c r="AK24" s="123">
        <f>W21</f>
        <v>5704</v>
      </c>
      <c r="AL24" s="123"/>
      <c r="AM24" s="123"/>
      <c r="AN24" s="123">
        <f>Z21</f>
        <v>11408</v>
      </c>
      <c r="AO24" s="123"/>
      <c r="AP24" s="124"/>
      <c r="AQ24" s="59" t="s">
        <v>183</v>
      </c>
    </row>
    <row r="25" spans="1:43" x14ac:dyDescent="0.25">
      <c r="A25" s="59" t="s">
        <v>172</v>
      </c>
      <c r="B25" s="113"/>
      <c r="C25" s="114"/>
      <c r="D25" s="114"/>
      <c r="E25" s="114"/>
      <c r="F25" s="114"/>
      <c r="G25" s="115"/>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47">
        <f>E32</f>
        <v>1</v>
      </c>
      <c r="AQ25" s="59" t="s">
        <v>172</v>
      </c>
    </row>
    <row r="26" spans="1:43" x14ac:dyDescent="0.25">
      <c r="A26" s="148" t="s">
        <v>200</v>
      </c>
      <c r="B26" s="103">
        <f t="shared" ref="B26:G26" ca="1" si="0">C26-1</f>
        <v>43892.894616319441</v>
      </c>
      <c r="C26" s="104">
        <f t="shared" ca="1" si="0"/>
        <v>43893.894616319441</v>
      </c>
      <c r="D26" s="104">
        <f t="shared" ca="1" si="0"/>
        <v>43894.894616319441</v>
      </c>
      <c r="E26" s="104">
        <f t="shared" ca="1" si="0"/>
        <v>43895.894616319441</v>
      </c>
      <c r="F26" s="104">
        <f t="shared" ca="1" si="0"/>
        <v>43896.894616319441</v>
      </c>
      <c r="G26" s="105">
        <f t="shared" ca="1" si="0"/>
        <v>43897.894616319441</v>
      </c>
      <c r="H26" s="104">
        <f t="shared" ref="H26:U26" ca="1" si="1">I26-1</f>
        <v>43898.894616319441</v>
      </c>
      <c r="I26" s="104">
        <f t="shared" ca="1" si="1"/>
        <v>43899.894616319441</v>
      </c>
      <c r="J26" s="104">
        <f t="shared" ca="1" si="1"/>
        <v>43900.894616319441</v>
      </c>
      <c r="K26" s="104">
        <f t="shared" ca="1" si="1"/>
        <v>43901.894616319441</v>
      </c>
      <c r="L26" s="104">
        <f t="shared" ca="1" si="1"/>
        <v>43902.894616319441</v>
      </c>
      <c r="M26" s="104">
        <f t="shared" ca="1" si="1"/>
        <v>43903.894616319441</v>
      </c>
      <c r="N26" s="105">
        <f t="shared" ca="1" si="1"/>
        <v>43904.894616319441</v>
      </c>
      <c r="O26" s="103">
        <f t="shared" ca="1" si="1"/>
        <v>43905.894616319441</v>
      </c>
      <c r="P26" s="104">
        <f t="shared" ca="1" si="1"/>
        <v>43906.894616319441</v>
      </c>
      <c r="Q26" s="104">
        <f t="shared" ca="1" si="1"/>
        <v>43907.894616319441</v>
      </c>
      <c r="R26" s="104">
        <f t="shared" ca="1" si="1"/>
        <v>43908.894616319441</v>
      </c>
      <c r="S26" s="104">
        <f t="shared" ca="1" si="1"/>
        <v>43909.894616319441</v>
      </c>
      <c r="T26" s="104">
        <f t="shared" ca="1" si="1"/>
        <v>43910.894616319441</v>
      </c>
      <c r="U26" s="105">
        <f t="shared" ca="1" si="1"/>
        <v>43911.894616319441</v>
      </c>
      <c r="V26" s="103">
        <f t="shared" ref="V26:AN26" ca="1" si="2">W26-1</f>
        <v>43912.894616319441</v>
      </c>
      <c r="W26" s="104">
        <f t="shared" ca="1" si="2"/>
        <v>43913.894616319441</v>
      </c>
      <c r="X26" s="104">
        <f t="shared" ca="1" si="2"/>
        <v>43914.894616319441</v>
      </c>
      <c r="Y26" s="104">
        <f t="shared" ca="1" si="2"/>
        <v>43915.894616319441</v>
      </c>
      <c r="Z26" s="104">
        <f t="shared" ca="1" si="2"/>
        <v>43916.894616319441</v>
      </c>
      <c r="AA26" s="104">
        <f t="shared" ca="1" si="2"/>
        <v>43917.894616319441</v>
      </c>
      <c r="AB26" s="105">
        <f t="shared" ca="1" si="2"/>
        <v>43918.894616319441</v>
      </c>
      <c r="AC26" s="103">
        <f t="shared" ca="1" si="2"/>
        <v>43919.894616319441</v>
      </c>
      <c r="AD26" s="104">
        <f t="shared" ca="1" si="2"/>
        <v>43920.894616319441</v>
      </c>
      <c r="AE26" s="104">
        <f t="shared" ca="1" si="2"/>
        <v>43921.894616319441</v>
      </c>
      <c r="AF26" s="104">
        <f t="shared" ca="1" si="2"/>
        <v>43922.894616319441</v>
      </c>
      <c r="AG26" s="104">
        <f t="shared" ca="1" si="2"/>
        <v>43923.894616319441</v>
      </c>
      <c r="AH26" s="104">
        <f t="shared" ca="1" si="2"/>
        <v>43924.894616319441</v>
      </c>
      <c r="AI26" s="105">
        <f t="shared" ca="1" si="2"/>
        <v>43925.894616319441</v>
      </c>
      <c r="AJ26" s="103">
        <f t="shared" ca="1" si="2"/>
        <v>43926.894616319441</v>
      </c>
      <c r="AK26" s="104">
        <f t="shared" ca="1" si="2"/>
        <v>43927.894616319441</v>
      </c>
      <c r="AL26" s="104">
        <f t="shared" ca="1" si="2"/>
        <v>43928.894616319441</v>
      </c>
      <c r="AM26" s="104">
        <f t="shared" ca="1" si="2"/>
        <v>43929.894616319441</v>
      </c>
      <c r="AN26" s="104">
        <f t="shared" ca="1" si="2"/>
        <v>43930.894616319441</v>
      </c>
      <c r="AO26" s="104">
        <f ca="1">AP26-1</f>
        <v>43931.894616319441</v>
      </c>
      <c r="AP26" s="125">
        <f ca="1">NOW()</f>
        <v>43932.894616319441</v>
      </c>
    </row>
    <row r="27" spans="1:43" x14ac:dyDescent="0.25">
      <c r="A27" s="149" t="s">
        <v>201</v>
      </c>
      <c r="B27" s="132">
        <v>1</v>
      </c>
      <c r="C27" s="133">
        <v>2</v>
      </c>
      <c r="D27" s="132">
        <v>3</v>
      </c>
      <c r="E27" s="133">
        <v>4</v>
      </c>
      <c r="F27" s="132">
        <v>5</v>
      </c>
      <c r="G27" s="134">
        <v>6</v>
      </c>
      <c r="H27" s="133">
        <v>7</v>
      </c>
      <c r="I27" s="133">
        <v>8</v>
      </c>
      <c r="J27" s="133">
        <v>9</v>
      </c>
      <c r="K27" s="133">
        <v>10</v>
      </c>
      <c r="L27" s="133">
        <v>11</v>
      </c>
      <c r="M27" s="133">
        <v>12</v>
      </c>
      <c r="N27" s="134">
        <v>13</v>
      </c>
      <c r="O27" s="132">
        <v>14</v>
      </c>
      <c r="P27" s="133">
        <v>15</v>
      </c>
      <c r="Q27" s="133">
        <v>16</v>
      </c>
      <c r="R27" s="133">
        <v>17</v>
      </c>
      <c r="S27" s="133">
        <v>18</v>
      </c>
      <c r="T27" s="133">
        <v>19</v>
      </c>
      <c r="U27" s="134">
        <v>20</v>
      </c>
      <c r="V27" s="132">
        <v>21</v>
      </c>
      <c r="W27" s="133">
        <v>22</v>
      </c>
      <c r="X27" s="133">
        <v>23</v>
      </c>
      <c r="Y27" s="133">
        <v>24</v>
      </c>
      <c r="Z27" s="133">
        <v>25</v>
      </c>
      <c r="AA27" s="133">
        <v>26</v>
      </c>
      <c r="AB27" s="134">
        <v>27</v>
      </c>
      <c r="AC27" s="132">
        <v>28</v>
      </c>
      <c r="AD27" s="133">
        <v>29</v>
      </c>
      <c r="AE27" s="133">
        <v>30</v>
      </c>
      <c r="AF27" s="133">
        <v>31</v>
      </c>
      <c r="AG27" s="133">
        <v>32</v>
      </c>
      <c r="AH27" s="133">
        <v>33</v>
      </c>
      <c r="AI27" s="134">
        <v>34</v>
      </c>
      <c r="AJ27" s="132">
        <v>35</v>
      </c>
      <c r="AK27" s="133">
        <v>36</v>
      </c>
      <c r="AL27" s="133">
        <v>37</v>
      </c>
      <c r="AM27" s="133">
        <v>38</v>
      </c>
      <c r="AN27" s="133">
        <v>39</v>
      </c>
      <c r="AO27" s="133">
        <v>40</v>
      </c>
      <c r="AP27" s="134">
        <v>41</v>
      </c>
    </row>
    <row r="28" spans="1:43" x14ac:dyDescent="0.25">
      <c r="A28" s="150" t="s">
        <v>202</v>
      </c>
      <c r="B28" s="310" t="s">
        <v>170</v>
      </c>
      <c r="C28" s="311"/>
      <c r="D28" s="311"/>
      <c r="E28" s="311"/>
      <c r="F28" s="311"/>
      <c r="G28" s="312"/>
      <c r="H28" s="316" t="s">
        <v>157</v>
      </c>
      <c r="I28" s="316"/>
      <c r="J28" s="316"/>
      <c r="K28" s="316"/>
      <c r="L28" s="316"/>
      <c r="M28" s="316"/>
      <c r="N28" s="317"/>
      <c r="O28" s="315" t="s">
        <v>158</v>
      </c>
      <c r="P28" s="316"/>
      <c r="Q28" s="316"/>
      <c r="R28" s="316"/>
      <c r="S28" s="316"/>
      <c r="T28" s="316"/>
      <c r="U28" s="317"/>
      <c r="V28" s="315" t="s">
        <v>159</v>
      </c>
      <c r="W28" s="316"/>
      <c r="X28" s="316"/>
      <c r="Y28" s="316"/>
      <c r="Z28" s="316"/>
      <c r="AA28" s="316"/>
      <c r="AB28" s="317"/>
      <c r="AC28" s="315" t="s">
        <v>160</v>
      </c>
      <c r="AD28" s="316"/>
      <c r="AE28" s="316"/>
      <c r="AF28" s="316"/>
      <c r="AG28" s="316"/>
      <c r="AH28" s="316"/>
      <c r="AI28" s="317"/>
      <c r="AJ28" s="315" t="s">
        <v>161</v>
      </c>
      <c r="AK28" s="316"/>
      <c r="AL28" s="316"/>
      <c r="AM28" s="316"/>
      <c r="AN28" s="316"/>
      <c r="AO28" s="316"/>
      <c r="AP28" s="317"/>
    </row>
    <row r="29" spans="1:43" x14ac:dyDescent="0.25">
      <c r="B29" s="63" t="s">
        <v>182</v>
      </c>
      <c r="C29" s="110"/>
      <c r="D29" s="110"/>
      <c r="E29" s="110"/>
      <c r="F29" s="110"/>
      <c r="G29" s="111"/>
      <c r="H29" s="313" t="s">
        <v>169</v>
      </c>
      <c r="I29" s="313"/>
      <c r="J29" s="313"/>
      <c r="K29" s="313"/>
      <c r="L29" s="313"/>
      <c r="M29" s="313"/>
      <c r="N29" s="313"/>
      <c r="O29" s="313"/>
      <c r="P29" s="313"/>
      <c r="Q29" s="313"/>
      <c r="R29" s="313"/>
      <c r="S29" s="313"/>
      <c r="T29" s="313"/>
      <c r="U29" s="313"/>
      <c r="V29" s="313"/>
      <c r="W29" s="313"/>
      <c r="X29" s="313"/>
      <c r="Y29" s="313"/>
      <c r="Z29" s="313"/>
      <c r="AA29" s="313"/>
      <c r="AB29" s="313"/>
      <c r="AC29" s="313"/>
      <c r="AD29" s="313"/>
      <c r="AE29" s="313"/>
      <c r="AF29" s="313"/>
      <c r="AG29" s="313"/>
      <c r="AH29" s="313"/>
      <c r="AI29" s="313"/>
      <c r="AJ29" s="313"/>
      <c r="AK29" s="313"/>
      <c r="AL29" s="313"/>
      <c r="AM29" s="313"/>
      <c r="AN29" s="313"/>
      <c r="AO29" s="313"/>
      <c r="AP29" s="314"/>
    </row>
    <row r="31" spans="1:43" x14ac:dyDescent="0.25">
      <c r="B31" s="69" t="s">
        <v>171</v>
      </c>
      <c r="C31" s="153" t="s">
        <v>297</v>
      </c>
      <c r="D31" s="21"/>
      <c r="E31" s="97">
        <f>VLOOKUP(C31,B43:C54,2,FALSE)</f>
        <v>5.0000000000000001E-3</v>
      </c>
      <c r="F31" s="21"/>
      <c r="G31" s="21"/>
      <c r="H31" s="21"/>
      <c r="I31" s="17"/>
    </row>
    <row r="32" spans="1:43" x14ac:dyDescent="0.25">
      <c r="B32" s="53" t="s">
        <v>199</v>
      </c>
      <c r="C32" s="28"/>
      <c r="D32" s="28"/>
      <c r="E32" s="154">
        <v>1</v>
      </c>
      <c r="F32" s="28"/>
      <c r="G32" s="28"/>
      <c r="H32" s="28"/>
      <c r="I32" s="29"/>
    </row>
    <row r="33" spans="2:9" x14ac:dyDescent="0.25">
      <c r="B33" s="53" t="s">
        <v>173</v>
      </c>
      <c r="C33" s="28"/>
      <c r="D33" s="28"/>
      <c r="E33" s="28">
        <v>3</v>
      </c>
      <c r="F33" s="28" t="s">
        <v>174</v>
      </c>
      <c r="G33" s="28"/>
      <c r="H33" s="28"/>
      <c r="I33" s="29"/>
    </row>
    <row r="34" spans="2:9" x14ac:dyDescent="0.25">
      <c r="B34" s="53" t="s">
        <v>296</v>
      </c>
      <c r="C34" s="28"/>
      <c r="D34" s="28"/>
      <c r="E34" s="155">
        <f>1-Projections!B6</f>
        <v>0.18999999999999995</v>
      </c>
      <c r="F34" s="28" t="s">
        <v>197</v>
      </c>
      <c r="G34" s="28"/>
      <c r="H34" s="28"/>
      <c r="I34" s="29"/>
    </row>
    <row r="35" spans="2:9" x14ac:dyDescent="0.25">
      <c r="B35" s="53" t="s">
        <v>179</v>
      </c>
      <c r="C35" s="28"/>
      <c r="D35" s="28"/>
      <c r="E35" s="155">
        <v>0.92</v>
      </c>
      <c r="F35" s="28" t="s">
        <v>198</v>
      </c>
      <c r="G35" s="28"/>
      <c r="H35" s="28"/>
      <c r="I35" s="29"/>
    </row>
    <row r="36" spans="2:9" x14ac:dyDescent="0.25">
      <c r="B36" s="53" t="s">
        <v>180</v>
      </c>
      <c r="C36" s="28"/>
      <c r="D36" s="28"/>
      <c r="E36" s="155">
        <v>0.05</v>
      </c>
      <c r="F36" s="28" t="s">
        <v>198</v>
      </c>
      <c r="G36" s="28"/>
      <c r="H36" s="28"/>
      <c r="I36" s="29"/>
    </row>
    <row r="37" spans="2:9" x14ac:dyDescent="0.25">
      <c r="B37" s="53" t="s">
        <v>181</v>
      </c>
      <c r="C37" s="28"/>
      <c r="D37" s="28"/>
      <c r="E37" s="155">
        <v>0.03</v>
      </c>
      <c r="F37" s="28" t="s">
        <v>198</v>
      </c>
      <c r="G37" s="28"/>
      <c r="H37" s="28"/>
      <c r="I37" s="29"/>
    </row>
    <row r="38" spans="2:9" x14ac:dyDescent="0.25">
      <c r="B38" s="53" t="s">
        <v>184</v>
      </c>
      <c r="C38" s="28"/>
      <c r="D38" s="28"/>
      <c r="E38" s="151">
        <v>2</v>
      </c>
      <c r="F38" s="28" t="s">
        <v>185</v>
      </c>
      <c r="G38" s="28"/>
      <c r="H38" s="28"/>
      <c r="I38" s="29"/>
    </row>
    <row r="39" spans="2:9" x14ac:dyDescent="0.25">
      <c r="B39" s="49" t="s">
        <v>186</v>
      </c>
      <c r="C39" s="152"/>
      <c r="D39" s="51"/>
      <c r="E39" s="131">
        <v>4</v>
      </c>
      <c r="F39" s="51" t="s">
        <v>185</v>
      </c>
      <c r="G39" s="51" t="s">
        <v>187</v>
      </c>
      <c r="H39" s="51"/>
      <c r="I39" s="75"/>
    </row>
    <row r="42" spans="2:9" x14ac:dyDescent="0.25">
      <c r="B42" t="s">
        <v>193</v>
      </c>
    </row>
    <row r="43" spans="2:9" x14ac:dyDescent="0.25">
      <c r="B43" s="16" t="s">
        <v>192</v>
      </c>
      <c r="C43" s="130">
        <v>3.5000000000000003E-2</v>
      </c>
    </row>
    <row r="44" spans="2:9" x14ac:dyDescent="0.25">
      <c r="B44" s="53" t="s">
        <v>191</v>
      </c>
      <c r="C44" s="39">
        <v>2.3E-2</v>
      </c>
    </row>
    <row r="45" spans="2:9" x14ac:dyDescent="0.25">
      <c r="B45" s="53" t="s">
        <v>297</v>
      </c>
      <c r="C45" s="39">
        <f>Projections!B13</f>
        <v>5.0000000000000001E-3</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5"/>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203</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5"/>
  <sheetViews>
    <sheetView tabSelected="1" zoomScaleNormal="100" workbookViewId="0">
      <selection activeCell="O48" sqref="O48"/>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4" width="11" customWidth="1"/>
    <col min="15" max="15" width="10.7109375" customWidth="1"/>
    <col min="16" max="17" width="10.85546875" bestFit="1" customWidth="1"/>
    <col min="18" max="18" width="10.85546875" customWidth="1"/>
    <col min="19" max="19" width="10.7109375" bestFit="1" customWidth="1"/>
    <col min="20" max="20" width="10.85546875" bestFit="1" customWidth="1"/>
    <col min="21" max="21" width="11.28515625" customWidth="1"/>
    <col min="22" max="23" width="10.7109375" bestFit="1" customWidth="1"/>
    <col min="24" max="24" width="10.7109375" customWidth="1"/>
    <col min="25" max="25" width="11.28515625" customWidth="1"/>
    <col min="26" max="26" width="10.85546875" bestFit="1" customWidth="1"/>
    <col min="27" max="27" width="11.28515625" bestFit="1" customWidth="1"/>
    <col min="28" max="28" width="10.5703125" style="81" bestFit="1" customWidth="1"/>
    <col min="29" max="29" width="11.140625" bestFit="1" customWidth="1"/>
    <col min="30" max="30" width="12.140625" bestFit="1" customWidth="1"/>
  </cols>
  <sheetData>
    <row r="1" spans="1:28" x14ac:dyDescent="0.25">
      <c r="D1" t="s">
        <v>224</v>
      </c>
    </row>
    <row r="2" spans="1:28" x14ac:dyDescent="0.25">
      <c r="D2" s="178">
        <v>43862</v>
      </c>
      <c r="E2" s="179" t="s">
        <v>272</v>
      </c>
      <c r="F2" s="178">
        <f>D2+14</f>
        <v>43876</v>
      </c>
    </row>
    <row r="3" spans="1:28" x14ac:dyDescent="0.25">
      <c r="F3" s="178">
        <v>43891</v>
      </c>
      <c r="G3" s="179" t="s">
        <v>273</v>
      </c>
      <c r="H3" s="179"/>
      <c r="I3" s="179"/>
      <c r="J3" s="178">
        <f>F3+14</f>
        <v>43905</v>
      </c>
    </row>
    <row r="4" spans="1:28" x14ac:dyDescent="0.25">
      <c r="G4" s="178">
        <v>43895</v>
      </c>
      <c r="H4" s="179" t="s">
        <v>274</v>
      </c>
      <c r="I4" s="179"/>
      <c r="J4" s="179"/>
      <c r="K4" s="178">
        <f>G4+14</f>
        <v>43909</v>
      </c>
    </row>
    <row r="5" spans="1:28" x14ac:dyDescent="0.25">
      <c r="A5" s="16" t="s">
        <v>0</v>
      </c>
      <c r="B5" s="174">
        <v>25634000</v>
      </c>
      <c r="C5" t="s">
        <v>151</v>
      </c>
      <c r="I5" s="178">
        <v>43901</v>
      </c>
      <c r="J5" s="179" t="s">
        <v>278</v>
      </c>
      <c r="K5" s="179"/>
      <c r="L5" s="179"/>
      <c r="M5" s="178">
        <f>I5+14</f>
        <v>43915</v>
      </c>
    </row>
    <row r="6" spans="1:28" x14ac:dyDescent="0.25">
      <c r="A6" s="16" t="s">
        <v>218</v>
      </c>
      <c r="B6" s="175">
        <v>0.81</v>
      </c>
      <c r="C6" t="s">
        <v>217</v>
      </c>
      <c r="J6" s="178">
        <v>43906</v>
      </c>
      <c r="K6" s="179" t="s">
        <v>275</v>
      </c>
      <c r="L6" s="179"/>
      <c r="M6" s="179"/>
      <c r="N6" s="178">
        <f>J6+14</f>
        <v>43920</v>
      </c>
    </row>
    <row r="7" spans="1:28" x14ac:dyDescent="0.25">
      <c r="A7" s="49" t="s">
        <v>220</v>
      </c>
      <c r="B7" s="129">
        <v>0.2</v>
      </c>
      <c r="K7" s="178">
        <v>43908</v>
      </c>
      <c r="L7" s="215" t="s">
        <v>276</v>
      </c>
      <c r="M7" s="215"/>
      <c r="N7" s="178">
        <f>K7+14</f>
        <v>43922</v>
      </c>
    </row>
    <row r="8" spans="1:28" x14ac:dyDescent="0.25">
      <c r="A8" s="53" t="s">
        <v>144</v>
      </c>
      <c r="B8" s="126">
        <v>2.6</v>
      </c>
      <c r="C8" s="76">
        <f>(B5/1000)*B8</f>
        <v>66648.400000000009</v>
      </c>
      <c r="L8" s="178">
        <v>43911</v>
      </c>
      <c r="M8" s="179" t="s">
        <v>277</v>
      </c>
      <c r="N8" s="178">
        <f>L8+14</f>
        <v>43925</v>
      </c>
    </row>
    <row r="9" spans="1:28" x14ac:dyDescent="0.25">
      <c r="A9" s="53" t="s">
        <v>145</v>
      </c>
      <c r="B9" s="126">
        <v>7.4</v>
      </c>
      <c r="C9" s="73">
        <f>(B5/100000)*B9</f>
        <v>1896.9159999999999</v>
      </c>
      <c r="L9" s="178">
        <v>43913</v>
      </c>
      <c r="M9" s="179" t="s">
        <v>221</v>
      </c>
      <c r="N9" s="178">
        <f>L9+14</f>
        <v>43927</v>
      </c>
      <c r="S9" s="181"/>
    </row>
    <row r="10" spans="1:28" x14ac:dyDescent="0.25">
      <c r="A10" s="16" t="s">
        <v>176</v>
      </c>
      <c r="B10" s="127">
        <v>0.92</v>
      </c>
      <c r="C10" s="2" t="s">
        <v>294</v>
      </c>
      <c r="M10" s="180">
        <v>43915</v>
      </c>
      <c r="N10" s="179" t="s">
        <v>222</v>
      </c>
      <c r="O10" s="178">
        <f>M10+14</f>
        <v>43929</v>
      </c>
    </row>
    <row r="11" spans="1:28" x14ac:dyDescent="0.25">
      <c r="A11" s="53" t="s">
        <v>177</v>
      </c>
      <c r="B11" s="128">
        <v>0.05</v>
      </c>
      <c r="C11" s="2" t="s">
        <v>293</v>
      </c>
      <c r="L11" s="28"/>
      <c r="N11" s="178">
        <v>43920</v>
      </c>
      <c r="O11" s="179" t="s">
        <v>223</v>
      </c>
      <c r="P11" s="178">
        <f>N11+14</f>
        <v>43934</v>
      </c>
      <c r="S11" s="181"/>
    </row>
    <row r="12" spans="1:28" x14ac:dyDescent="0.25">
      <c r="A12" s="49" t="s">
        <v>213</v>
      </c>
      <c r="B12" s="129">
        <v>0.03</v>
      </c>
      <c r="C12" s="2" t="s">
        <v>292</v>
      </c>
      <c r="D12" s="259" t="s">
        <v>286</v>
      </c>
      <c r="K12" s="28"/>
      <c r="L12" s="292" t="s">
        <v>164</v>
      </c>
      <c r="M12" s="293"/>
      <c r="N12" s="294"/>
      <c r="O12" s="81"/>
      <c r="Z12" s="196"/>
    </row>
    <row r="13" spans="1:28" x14ac:dyDescent="0.25">
      <c r="A13" s="49" t="s">
        <v>219</v>
      </c>
      <c r="B13" s="77">
        <v>5.0000000000000001E-3</v>
      </c>
      <c r="C13" s="2"/>
      <c r="D13" t="s">
        <v>271</v>
      </c>
      <c r="L13" s="295" t="s">
        <v>152</v>
      </c>
      <c r="M13" s="215"/>
      <c r="N13" s="296"/>
      <c r="O13" s="81"/>
      <c r="Y13" s="197"/>
    </row>
    <row r="14" spans="1:28" x14ac:dyDescent="0.25">
      <c r="A14" s="172" t="s">
        <v>206</v>
      </c>
      <c r="B14" s="173">
        <v>43855</v>
      </c>
      <c r="C14" s="2"/>
      <c r="D14" s="197">
        <f>(X17-G17)/(LOG(X18/G18)/LOG(2))</f>
        <v>25.117647058823529</v>
      </c>
      <c r="E14" s="196"/>
      <c r="J14" s="28"/>
      <c r="K14" s="28"/>
      <c r="L14" s="53"/>
      <c r="M14" s="215" t="s">
        <v>153</v>
      </c>
      <c r="N14" s="296"/>
      <c r="O14" s="81"/>
    </row>
    <row r="15" spans="1:28" x14ac:dyDescent="0.25">
      <c r="A15" s="28"/>
      <c r="B15" s="62" t="s">
        <v>150</v>
      </c>
      <c r="C15" s="22"/>
      <c r="D15" s="28"/>
      <c r="E15" s="28"/>
      <c r="F15" s="28"/>
      <c r="G15" s="28"/>
      <c r="H15" s="28"/>
      <c r="I15" s="28"/>
      <c r="J15" s="28"/>
      <c r="K15" s="28"/>
      <c r="L15" s="53"/>
      <c r="M15" s="28"/>
      <c r="N15" s="296" t="s">
        <v>154</v>
      </c>
      <c r="O15" s="59"/>
      <c r="P15" s="28"/>
      <c r="Q15" s="28"/>
      <c r="R15" s="28"/>
      <c r="S15" s="28"/>
      <c r="T15" s="28"/>
      <c r="U15" s="28"/>
      <c r="V15" s="28"/>
      <c r="W15" s="28"/>
      <c r="X15" s="28"/>
      <c r="Y15" s="259" t="s">
        <v>288</v>
      </c>
      <c r="AB15" s="171"/>
    </row>
    <row r="16" spans="1:28" x14ac:dyDescent="0.25">
      <c r="A16" s="65" t="s">
        <v>133</v>
      </c>
      <c r="B16" s="213">
        <v>43892</v>
      </c>
      <c r="C16" s="213">
        <v>43908</v>
      </c>
      <c r="D16" s="213">
        <v>43914</v>
      </c>
      <c r="E16" s="213">
        <v>43919</v>
      </c>
      <c r="F16" s="213"/>
      <c r="G16" s="214" t="s">
        <v>165</v>
      </c>
      <c r="H16" s="28"/>
      <c r="I16" s="28"/>
      <c r="J16" s="28"/>
      <c r="K16" s="28"/>
      <c r="L16" s="49"/>
      <c r="M16" s="51"/>
      <c r="N16" s="75"/>
      <c r="O16" s="101" t="s">
        <v>289</v>
      </c>
      <c r="P16" s="203" t="s">
        <v>287</v>
      </c>
      <c r="Q16" s="28"/>
      <c r="R16" s="28"/>
      <c r="S16" s="28"/>
      <c r="U16" s="28"/>
      <c r="V16" s="28"/>
      <c r="W16" s="28"/>
      <c r="X16" s="28"/>
      <c r="AB16" s="308" t="s">
        <v>295</v>
      </c>
    </row>
    <row r="17" spans="1:31" x14ac:dyDescent="0.25">
      <c r="A17" s="16" t="s">
        <v>12</v>
      </c>
      <c r="B17" s="176">
        <v>4</v>
      </c>
      <c r="C17" s="177">
        <v>3</v>
      </c>
      <c r="D17" s="96">
        <v>5</v>
      </c>
      <c r="E17" s="21">
        <v>40</v>
      </c>
      <c r="F17" s="21"/>
      <c r="G17" s="256">
        <v>43892</v>
      </c>
      <c r="H17" s="257">
        <f>G17+HLOOKUP(G17+1, $B$16:$F$17,2,TRUE)</f>
        <v>43896</v>
      </c>
      <c r="I17" s="257">
        <f t="shared" ref="I17:X17" si="0">H17+HLOOKUP(H17+1, $B$16:$F$17,2,TRUE)</f>
        <v>43900</v>
      </c>
      <c r="J17" s="257">
        <f t="shared" si="0"/>
        <v>43904</v>
      </c>
      <c r="K17" s="257">
        <f t="shared" si="0"/>
        <v>43908</v>
      </c>
      <c r="L17" s="261">
        <f t="shared" si="0"/>
        <v>43911</v>
      </c>
      <c r="M17" s="262">
        <f t="shared" si="0"/>
        <v>43914</v>
      </c>
      <c r="N17" s="263">
        <f t="shared" si="0"/>
        <v>43919</v>
      </c>
      <c r="O17" s="264">
        <f t="shared" si="0"/>
        <v>43959</v>
      </c>
      <c r="P17" s="265">
        <f t="shared" si="0"/>
        <v>43999</v>
      </c>
      <c r="Q17" s="266">
        <f t="shared" si="0"/>
        <v>44039</v>
      </c>
      <c r="R17" s="266">
        <f t="shared" si="0"/>
        <v>44079</v>
      </c>
      <c r="S17" s="266">
        <f t="shared" si="0"/>
        <v>44119</v>
      </c>
      <c r="T17" s="266">
        <f t="shared" si="0"/>
        <v>44159</v>
      </c>
      <c r="U17" s="266">
        <f t="shared" si="0"/>
        <v>44199</v>
      </c>
      <c r="V17" s="266">
        <f t="shared" si="0"/>
        <v>44239</v>
      </c>
      <c r="W17" s="266">
        <f t="shared" si="0"/>
        <v>44279</v>
      </c>
      <c r="X17" s="267">
        <f t="shared" si="0"/>
        <v>44319</v>
      </c>
      <c r="Y17" s="268">
        <f>X17+HLOOKUP(X17+1, $B$16:$F$17,2,TRUE)</f>
        <v>44359</v>
      </c>
      <c r="Z17" s="269">
        <f>Y17+HLOOKUP(Y17+1, $B$16:$F$17,2,TRUE)</f>
        <v>44399</v>
      </c>
      <c r="AA17" s="258">
        <f>Z17+HLOOKUP(Z17+1, $B$16:$F$17,2,TRUE)</f>
        <v>44439</v>
      </c>
      <c r="AB17" s="309">
        <f>AA17+(7*8)</f>
        <v>44495</v>
      </c>
      <c r="AC17" s="82"/>
      <c r="AD17" s="82"/>
      <c r="AE17" s="81"/>
    </row>
    <row r="18" spans="1:31" x14ac:dyDescent="0.25">
      <c r="A18" s="53" t="s">
        <v>211</v>
      </c>
      <c r="B18" s="28"/>
      <c r="C18" s="28"/>
      <c r="D18" s="28"/>
      <c r="E18" s="28"/>
      <c r="F18" s="28"/>
      <c r="G18" s="250">
        <v>31.25</v>
      </c>
      <c r="H18" s="251">
        <f>G18*2</f>
        <v>62.5</v>
      </c>
      <c r="I18" s="251">
        <f t="shared" ref="I18:W18" si="1">H18*2</f>
        <v>125</v>
      </c>
      <c r="J18" s="251">
        <f t="shared" si="1"/>
        <v>250</v>
      </c>
      <c r="K18" s="260">
        <f t="shared" si="1"/>
        <v>500</v>
      </c>
      <c r="L18" s="252">
        <f t="shared" si="1"/>
        <v>1000</v>
      </c>
      <c r="M18" s="251">
        <f t="shared" si="1"/>
        <v>2000</v>
      </c>
      <c r="N18" s="260">
        <f t="shared" si="1"/>
        <v>4000</v>
      </c>
      <c r="O18" s="253">
        <f t="shared" si="1"/>
        <v>8000</v>
      </c>
      <c r="P18" s="252">
        <f>O18*2</f>
        <v>16000</v>
      </c>
      <c r="Q18" s="251">
        <f>P18*2</f>
        <v>32000</v>
      </c>
      <c r="R18" s="251">
        <f>Q18*2</f>
        <v>64000</v>
      </c>
      <c r="S18" s="251">
        <f>R18*2</f>
        <v>128000</v>
      </c>
      <c r="T18" s="251">
        <f t="shared" si="1"/>
        <v>256000</v>
      </c>
      <c r="U18" s="251">
        <f t="shared" si="1"/>
        <v>512000</v>
      </c>
      <c r="V18" s="251">
        <f t="shared" si="1"/>
        <v>1024000</v>
      </c>
      <c r="W18" s="251">
        <f t="shared" si="1"/>
        <v>2048000</v>
      </c>
      <c r="X18" s="251">
        <f>W18*2</f>
        <v>4096000</v>
      </c>
      <c r="Y18" s="287">
        <f>X18*2</f>
        <v>8192000</v>
      </c>
      <c r="Z18" s="239">
        <f>Y18*2</f>
        <v>16384000</v>
      </c>
      <c r="AA18" s="238">
        <f>B5</f>
        <v>25634000</v>
      </c>
      <c r="AB18" s="302">
        <f>B5*AB19</f>
        <v>5126800</v>
      </c>
      <c r="AC18" s="57"/>
      <c r="AD18" s="57"/>
      <c r="AE18" s="81"/>
    </row>
    <row r="19" spans="1:31" x14ac:dyDescent="0.25">
      <c r="A19" s="53" t="s">
        <v>212</v>
      </c>
      <c r="B19" s="28"/>
      <c r="C19" s="28"/>
      <c r="D19" s="28"/>
      <c r="E19" s="28"/>
      <c r="F19" s="28"/>
      <c r="G19" s="218">
        <f t="shared" ref="G19:W19" si="2">G18/$B$5</f>
        <v>1.2190840290239525E-6</v>
      </c>
      <c r="H19" s="219">
        <f t="shared" si="2"/>
        <v>2.438168058047905E-6</v>
      </c>
      <c r="I19" s="78">
        <f t="shared" si="2"/>
        <v>4.87633611609581E-6</v>
      </c>
      <c r="J19" s="48">
        <f t="shared" si="2"/>
        <v>9.7526722321916199E-6</v>
      </c>
      <c r="K19" s="217">
        <f t="shared" si="2"/>
        <v>1.950534446438324E-5</v>
      </c>
      <c r="L19" s="102">
        <f t="shared" si="2"/>
        <v>3.901068892876648E-5</v>
      </c>
      <c r="M19" s="48">
        <f t="shared" si="2"/>
        <v>7.8021377857532959E-5</v>
      </c>
      <c r="N19" s="217">
        <f t="shared" si="2"/>
        <v>1.5604275571506592E-4</v>
      </c>
      <c r="O19" s="254">
        <f t="shared" si="2"/>
        <v>3.1208551143013184E-4</v>
      </c>
      <c r="P19" s="18">
        <f>P18/$B$5</f>
        <v>6.2417102286026367E-4</v>
      </c>
      <c r="Q19" s="26">
        <f>Q18/$B$5</f>
        <v>1.2483420457205273E-3</v>
      </c>
      <c r="R19" s="26">
        <f>R18/$B$5</f>
        <v>2.4966840914410547E-3</v>
      </c>
      <c r="S19" s="27">
        <f>S18/$B$5</f>
        <v>4.9933681828821094E-3</v>
      </c>
      <c r="T19" s="87">
        <f t="shared" si="2"/>
        <v>9.9867363657642188E-3</v>
      </c>
      <c r="U19" s="87">
        <f t="shared" si="2"/>
        <v>1.9973472731528438E-2</v>
      </c>
      <c r="V19" s="87">
        <f t="shared" si="2"/>
        <v>3.9946945463056875E-2</v>
      </c>
      <c r="W19" s="87">
        <f t="shared" si="2"/>
        <v>7.989389092611375E-2</v>
      </c>
      <c r="X19" s="87">
        <f>X18/$B$5</f>
        <v>0.1597877818522275</v>
      </c>
      <c r="Y19" s="288">
        <f>Y18/$B$5</f>
        <v>0.319575563704455</v>
      </c>
      <c r="Z19" s="199">
        <f>Z18/$B$5</f>
        <v>0.63915112740891</v>
      </c>
      <c r="AA19" s="198">
        <f>AA18/$B$5</f>
        <v>1</v>
      </c>
      <c r="AB19" s="303">
        <f>B7</f>
        <v>0.2</v>
      </c>
      <c r="AC19" s="37"/>
      <c r="AD19" s="37"/>
      <c r="AE19" s="81"/>
    </row>
    <row r="20" spans="1:31" x14ac:dyDescent="0.25">
      <c r="A20" s="53" t="s">
        <v>267</v>
      </c>
      <c r="B20" s="28"/>
      <c r="C20" s="28"/>
      <c r="D20" s="28"/>
      <c r="E20" s="28"/>
      <c r="F20" s="28"/>
      <c r="G20" s="233">
        <f t="shared" ref="G20:P20" si="3">MAX(G18-(G26-G27)-(G28-G29)-(G30-G31),0)</f>
        <v>23.317289638445015</v>
      </c>
      <c r="H20" s="234">
        <f t="shared" si="3"/>
        <v>50.961734866510383</v>
      </c>
      <c r="I20" s="234">
        <f t="shared" si="3"/>
        <v>108.21739276705352</v>
      </c>
      <c r="J20" s="234">
        <f t="shared" si="3"/>
        <v>225.58940600889417</v>
      </c>
      <c r="K20" s="235">
        <f t="shared" si="3"/>
        <v>464.19587330326959</v>
      </c>
      <c r="L20" s="233">
        <f t="shared" si="3"/>
        <v>930.76720882588506</v>
      </c>
      <c r="M20" s="234">
        <f t="shared" si="3"/>
        <v>1896.09375</v>
      </c>
      <c r="N20" s="235">
        <f t="shared" si="3"/>
        <v>3725.9201488191561</v>
      </c>
      <c r="O20" s="277">
        <f>MAX(O18-(O26-O27)-(O28-O29)-(O30-O31),0)</f>
        <v>0</v>
      </c>
      <c r="P20" s="233">
        <f t="shared" si="3"/>
        <v>0</v>
      </c>
      <c r="Q20" s="234">
        <f>MAX(Q18-(Q26-Q27)-(Q28-Q29)-(Q30-Q31),0)</f>
        <v>0</v>
      </c>
      <c r="R20" s="234">
        <f t="shared" ref="R20:AA20" si="4">MAX(R18-(R26-R27)-(R28-R29)-(R30-R31),0)</f>
        <v>0</v>
      </c>
      <c r="S20" s="234">
        <f t="shared" si="4"/>
        <v>0</v>
      </c>
      <c r="T20" s="234">
        <f t="shared" si="4"/>
        <v>0</v>
      </c>
      <c r="U20" s="234">
        <f t="shared" si="4"/>
        <v>0</v>
      </c>
      <c r="V20" s="234">
        <f t="shared" si="4"/>
        <v>2951.6598787443581</v>
      </c>
      <c r="W20" s="234">
        <f t="shared" si="4"/>
        <v>15719.428961838945</v>
      </c>
      <c r="X20" s="234">
        <f t="shared" si="4"/>
        <v>45768.959926561802</v>
      </c>
      <c r="Y20" s="289">
        <f t="shared" si="4"/>
        <v>119478.75561985353</v>
      </c>
      <c r="Z20" s="225">
        <f t="shared" si="4"/>
        <v>611954.11768658808</v>
      </c>
      <c r="AA20" s="224">
        <f t="shared" si="4"/>
        <v>6906.2776480505709</v>
      </c>
      <c r="AB20" s="304"/>
      <c r="AC20" s="57"/>
      <c r="AD20" s="57"/>
      <c r="AE20" s="81"/>
    </row>
    <row r="21" spans="1:31" x14ac:dyDescent="0.25">
      <c r="A21" s="53" t="s">
        <v>290</v>
      </c>
      <c r="B21" s="28"/>
      <c r="C21" s="28"/>
      <c r="D21" s="28"/>
      <c r="E21" s="28"/>
      <c r="F21" s="28"/>
      <c r="G21" s="98">
        <f>G18-G20</f>
        <v>7.9327103615549852</v>
      </c>
      <c r="H21" s="99">
        <f t="shared" ref="H21:AA21" si="5">H18-H20</f>
        <v>11.538265133489617</v>
      </c>
      <c r="I21" s="99">
        <f t="shared" si="5"/>
        <v>16.782607232946475</v>
      </c>
      <c r="J21" s="99">
        <f t="shared" si="5"/>
        <v>24.410593991105827</v>
      </c>
      <c r="K21" s="137">
        <f t="shared" si="5"/>
        <v>35.804126696730407</v>
      </c>
      <c r="L21" s="297">
        <f t="shared" si="5"/>
        <v>69.232791174114936</v>
      </c>
      <c r="M21" s="298">
        <f t="shared" si="5"/>
        <v>103.90625</v>
      </c>
      <c r="N21" s="299">
        <f t="shared" si="5"/>
        <v>274.07985118084389</v>
      </c>
      <c r="O21" s="278">
        <f>O18-O20</f>
        <v>8000</v>
      </c>
      <c r="P21" s="297">
        <f t="shared" si="5"/>
        <v>16000</v>
      </c>
      <c r="Q21" s="298">
        <f t="shared" si="5"/>
        <v>32000</v>
      </c>
      <c r="R21" s="298">
        <f t="shared" si="5"/>
        <v>64000</v>
      </c>
      <c r="S21" s="298">
        <f t="shared" si="5"/>
        <v>128000</v>
      </c>
      <c r="T21" s="298">
        <f t="shared" si="5"/>
        <v>256000</v>
      </c>
      <c r="U21" s="298">
        <f t="shared" si="5"/>
        <v>512000</v>
      </c>
      <c r="V21" s="298">
        <f t="shared" si="5"/>
        <v>1021048.3401212556</v>
      </c>
      <c r="W21" s="298">
        <f t="shared" si="5"/>
        <v>2032280.5710381609</v>
      </c>
      <c r="X21" s="298">
        <f t="shared" si="5"/>
        <v>4050231.0400734381</v>
      </c>
      <c r="Y21" s="290">
        <f t="shared" si="5"/>
        <v>8072521.2443801463</v>
      </c>
      <c r="Z21" s="271">
        <f t="shared" si="5"/>
        <v>15772045.882313412</v>
      </c>
      <c r="AA21" s="270">
        <f t="shared" si="5"/>
        <v>25627093.72235195</v>
      </c>
      <c r="AB21" s="305"/>
      <c r="AC21" s="37"/>
      <c r="AD21" s="37"/>
      <c r="AE21" s="81"/>
    </row>
    <row r="22" spans="1:31" x14ac:dyDescent="0.25">
      <c r="A22" s="16" t="s">
        <v>281</v>
      </c>
      <c r="B22" s="21"/>
      <c r="C22" s="21"/>
      <c r="D22" s="21"/>
      <c r="E22" s="21"/>
      <c r="F22" s="21"/>
      <c r="G22" s="221">
        <f t="shared" ref="G22:Y22" si="6">G18/$B$6</f>
        <v>38.580246913580247</v>
      </c>
      <c r="H22" s="222">
        <f t="shared" si="6"/>
        <v>77.160493827160494</v>
      </c>
      <c r="I22" s="222">
        <f t="shared" si="6"/>
        <v>154.32098765432099</v>
      </c>
      <c r="J22" s="222">
        <f t="shared" si="6"/>
        <v>308.64197530864197</v>
      </c>
      <c r="K22" s="222">
        <f t="shared" si="6"/>
        <v>617.28395061728395</v>
      </c>
      <c r="L22" s="248">
        <f t="shared" si="6"/>
        <v>1234.5679012345679</v>
      </c>
      <c r="M22" s="249">
        <f t="shared" si="6"/>
        <v>2469.1358024691358</v>
      </c>
      <c r="N22" s="300">
        <f t="shared" si="6"/>
        <v>4938.2716049382716</v>
      </c>
      <c r="O22" s="222">
        <f t="shared" si="6"/>
        <v>9876.5432098765432</v>
      </c>
      <c r="P22" s="248">
        <f t="shared" si="6"/>
        <v>19753.086419753086</v>
      </c>
      <c r="Q22" s="249">
        <f t="shared" si="6"/>
        <v>39506.172839506173</v>
      </c>
      <c r="R22" s="249">
        <f t="shared" si="6"/>
        <v>79012.345679012345</v>
      </c>
      <c r="S22" s="249">
        <f t="shared" si="6"/>
        <v>158024.69135802469</v>
      </c>
      <c r="T22" s="249">
        <f t="shared" si="6"/>
        <v>316049.38271604938</v>
      </c>
      <c r="U22" s="249">
        <f t="shared" si="6"/>
        <v>632098.76543209876</v>
      </c>
      <c r="V22" s="249">
        <f t="shared" si="6"/>
        <v>1264197.5308641975</v>
      </c>
      <c r="W22" s="249">
        <f t="shared" si="6"/>
        <v>2528395.0617283951</v>
      </c>
      <c r="X22" s="300">
        <f t="shared" si="6"/>
        <v>5056790.1234567901</v>
      </c>
      <c r="Y22" s="224">
        <f t="shared" si="6"/>
        <v>10113580.24691358</v>
      </c>
      <c r="Z22" s="225">
        <f>B5</f>
        <v>25634000</v>
      </c>
      <c r="AA22" s="224">
        <f>AA18</f>
        <v>25634000</v>
      </c>
      <c r="AB22" s="304">
        <f>($B$5*$B$7)/$B$6</f>
        <v>6329382.7160493825</v>
      </c>
      <c r="AC22" s="37"/>
      <c r="AD22" s="37"/>
      <c r="AE22" s="81"/>
    </row>
    <row r="23" spans="1:31" x14ac:dyDescent="0.25">
      <c r="A23" s="53" t="s">
        <v>216</v>
      </c>
      <c r="B23" s="28"/>
      <c r="C23" s="28"/>
      <c r="D23" s="28"/>
      <c r="E23" s="28"/>
      <c r="F23" s="28"/>
      <c r="G23" s="218">
        <f>G22/$B$5</f>
        <v>1.5050420111406822E-6</v>
      </c>
      <c r="H23" s="78">
        <f t="shared" ref="H23:Y23" si="7">H22/$B$5</f>
        <v>3.0100840222813645E-6</v>
      </c>
      <c r="I23" s="78">
        <f t="shared" si="7"/>
        <v>6.020168044562729E-6</v>
      </c>
      <c r="J23" s="48">
        <f t="shared" si="7"/>
        <v>1.2040336089125458E-5</v>
      </c>
      <c r="K23" s="48">
        <f t="shared" si="7"/>
        <v>2.4080672178250916E-5</v>
      </c>
      <c r="L23" s="102">
        <f t="shared" si="7"/>
        <v>4.8161344356501832E-5</v>
      </c>
      <c r="M23" s="48">
        <f t="shared" si="7"/>
        <v>9.6322688713003664E-5</v>
      </c>
      <c r="N23" s="220">
        <f t="shared" si="7"/>
        <v>1.9264537742600733E-4</v>
      </c>
      <c r="O23" s="27">
        <f t="shared" si="7"/>
        <v>3.8529075485201465E-4</v>
      </c>
      <c r="P23" s="20">
        <f t="shared" si="7"/>
        <v>7.7058150970402931E-4</v>
      </c>
      <c r="Q23" s="27">
        <f t="shared" si="7"/>
        <v>1.5411630194080586E-3</v>
      </c>
      <c r="R23" s="27">
        <f t="shared" si="7"/>
        <v>3.0823260388161172E-3</v>
      </c>
      <c r="S23" s="27">
        <f t="shared" si="7"/>
        <v>6.1646520776322345E-3</v>
      </c>
      <c r="T23" s="87">
        <f t="shared" si="7"/>
        <v>1.2329304155264469E-2</v>
      </c>
      <c r="U23" s="87">
        <f t="shared" si="7"/>
        <v>2.4658608310528938E-2</v>
      </c>
      <c r="V23" s="87">
        <f t="shared" si="7"/>
        <v>4.9317216621057876E-2</v>
      </c>
      <c r="W23" s="87">
        <f t="shared" si="7"/>
        <v>9.8634433242115752E-2</v>
      </c>
      <c r="X23" s="301">
        <f t="shared" si="7"/>
        <v>0.1972688664842315</v>
      </c>
      <c r="Y23" s="198">
        <f t="shared" si="7"/>
        <v>0.39453773296846301</v>
      </c>
      <c r="Z23" s="199">
        <f>Z22/$B$5</f>
        <v>1</v>
      </c>
      <c r="AA23" s="198">
        <v>1</v>
      </c>
      <c r="AB23" s="303">
        <f>AB22/B5</f>
        <v>0.24691358024691357</v>
      </c>
      <c r="AC23" s="37"/>
      <c r="AD23" s="37"/>
      <c r="AE23" s="81"/>
    </row>
    <row r="24" spans="1:31" x14ac:dyDescent="0.25">
      <c r="A24" s="53" t="s">
        <v>279</v>
      </c>
      <c r="B24" s="28"/>
      <c r="C24" s="28"/>
      <c r="D24" s="28"/>
      <c r="E24" s="28"/>
      <c r="F24" s="28"/>
      <c r="G24" s="221">
        <f t="shared" ref="G24:Y24" si="8">G22-G18</f>
        <v>7.3302469135802468</v>
      </c>
      <c r="H24" s="222">
        <f t="shared" si="8"/>
        <v>14.660493827160494</v>
      </c>
      <c r="I24" s="222">
        <f t="shared" si="8"/>
        <v>29.320987654320987</v>
      </c>
      <c r="J24" s="222">
        <f t="shared" si="8"/>
        <v>58.641975308641975</v>
      </c>
      <c r="K24" s="222">
        <f t="shared" si="8"/>
        <v>117.28395061728395</v>
      </c>
      <c r="L24" s="221">
        <f t="shared" si="8"/>
        <v>234.5679012345679</v>
      </c>
      <c r="M24" s="222">
        <f t="shared" si="8"/>
        <v>469.1358024691358</v>
      </c>
      <c r="N24" s="223">
        <f t="shared" si="8"/>
        <v>938.27160493827159</v>
      </c>
      <c r="O24" s="222">
        <f t="shared" si="8"/>
        <v>1876.5432098765432</v>
      </c>
      <c r="P24" s="221">
        <f t="shared" si="8"/>
        <v>3753.0864197530864</v>
      </c>
      <c r="Q24" s="222">
        <f t="shared" si="8"/>
        <v>7506.1728395061727</v>
      </c>
      <c r="R24" s="222">
        <f t="shared" si="8"/>
        <v>15012.345679012345</v>
      </c>
      <c r="S24" s="222">
        <f>S22-S18</f>
        <v>30024.691358024691</v>
      </c>
      <c r="T24" s="222">
        <f t="shared" si="8"/>
        <v>60049.382716049382</v>
      </c>
      <c r="U24" s="222">
        <f t="shared" si="8"/>
        <v>120098.76543209876</v>
      </c>
      <c r="V24" s="222">
        <f t="shared" si="8"/>
        <v>240197.53086419753</v>
      </c>
      <c r="W24" s="222">
        <f t="shared" si="8"/>
        <v>480395.06172839506</v>
      </c>
      <c r="X24" s="223">
        <f t="shared" si="8"/>
        <v>960790.12345679011</v>
      </c>
      <c r="Y24" s="224">
        <f t="shared" si="8"/>
        <v>1921580.2469135802</v>
      </c>
      <c r="Z24" s="225">
        <f>Z22</f>
        <v>25634000</v>
      </c>
      <c r="AA24" s="224">
        <f>AA22</f>
        <v>25634000</v>
      </c>
      <c r="AB24" s="306">
        <f>AB22-AB18</f>
        <v>1202582.7160493825</v>
      </c>
      <c r="AC24" s="37"/>
      <c r="AD24" s="37"/>
      <c r="AE24" s="81"/>
    </row>
    <row r="25" spans="1:31" x14ac:dyDescent="0.25">
      <c r="A25" s="49" t="s">
        <v>280</v>
      </c>
      <c r="B25" s="51"/>
      <c r="C25" s="51"/>
      <c r="D25" s="51"/>
      <c r="E25" s="51"/>
      <c r="F25" s="51"/>
      <c r="G25" s="236">
        <f>MIN((1/$B$6)*(2^(((G17 - 14) - $B$14)/$G$43)),G24)</f>
        <v>7.3302469135802468</v>
      </c>
      <c r="H25" s="237">
        <f>MIN((1/$B$6)*(2^(((H17 - 14) - $B$14)/$G$43)),H24)</f>
        <v>14.660493827160494</v>
      </c>
      <c r="I25" s="237">
        <f t="shared" ref="I25:J25" si="9">MIN((1/$B$6)*(2^(((I17 - 14) - $B$14)/$G$43)),I24)</f>
        <v>22.520943683503052</v>
      </c>
      <c r="J25" s="237">
        <f t="shared" si="9"/>
        <v>32.757104121183346</v>
      </c>
      <c r="K25" s="222">
        <f>MIN(($G$18/$B$6)*(2^(((K17 - 14) - $G$17)/HLOOKUP((K17-14)-$B$14,$G$41:$AB$43,3,TRUE))),K24)</f>
        <v>46.529079527914817</v>
      </c>
      <c r="L25" s="230">
        <f t="shared" ref="L25:X25" si="10">MIN(($G$18/$B$6)*(2^(((L17 - 14) - $G$17)/HLOOKUP((L17-14)-$B$14,$G$41:$AB$43,3,TRUE))),L24)</f>
        <v>89.971138627829603</v>
      </c>
      <c r="M25" s="229">
        <f t="shared" si="10"/>
        <v>135.03086419753086</v>
      </c>
      <c r="N25" s="228">
        <f t="shared" si="10"/>
        <v>356.17914383475488</v>
      </c>
      <c r="O25" s="222">
        <f t="shared" si="10"/>
        <v>1876.5432098765432</v>
      </c>
      <c r="P25" s="230">
        <f t="shared" si="10"/>
        <v>3753.0864197530864</v>
      </c>
      <c r="Q25" s="229">
        <f t="shared" si="10"/>
        <v>7506.1728395061727</v>
      </c>
      <c r="R25" s="229">
        <f t="shared" si="10"/>
        <v>15012.345679012345</v>
      </c>
      <c r="S25" s="229">
        <f t="shared" si="10"/>
        <v>30024.691358024691</v>
      </c>
      <c r="T25" s="229">
        <f t="shared" si="10"/>
        <v>60049.382716049382</v>
      </c>
      <c r="U25" s="229">
        <f t="shared" si="10"/>
        <v>120098.76543209876</v>
      </c>
      <c r="V25" s="229">
        <f t="shared" si="10"/>
        <v>240197.53086419753</v>
      </c>
      <c r="W25" s="229">
        <f t="shared" si="10"/>
        <v>480395.06172839506</v>
      </c>
      <c r="X25" s="228">
        <f t="shared" si="10"/>
        <v>960790.12345679011</v>
      </c>
      <c r="Y25" s="224">
        <f>MIN(($G$18/$B$6)*(2^(((Y17 - 14) - $G$17)/HLOOKUP((Y17-14)-$B$14,$G$41:$AB$43,3,TRUE))),Y24)</f>
        <v>1921580.2469135802</v>
      </c>
      <c r="Z25" s="225">
        <f>MIN(($G$18/$B$6)*(2^(((Z17 - 14) - $G$17)/HLOOKUP((Z17-14)-$B$14,$G$41:$AB$43,3,TRUE))),Z24)</f>
        <v>19756323.208607957</v>
      </c>
      <c r="AA25" s="231">
        <f>MIN(($G$18/$B$6)*(2^(((AA17 - 14) - $G$17)/HLOOKUP((AA17-14)-$B$14,$G$41:$AB$43,3,TRUE))),AA24)</f>
        <v>25634000</v>
      </c>
      <c r="AB25" s="306"/>
      <c r="AC25" s="37"/>
      <c r="AD25" s="37"/>
      <c r="AE25" s="81"/>
    </row>
    <row r="26" spans="1:31" x14ac:dyDescent="0.25">
      <c r="A26" s="53" t="s">
        <v>270</v>
      </c>
      <c r="B26" s="28"/>
      <c r="C26" s="28"/>
      <c r="D26" s="28"/>
      <c r="E26" s="28"/>
      <c r="F26" s="28"/>
      <c r="G26" s="272">
        <f t="shared" ref="G26:AA26" si="11">G18*$B$10</f>
        <v>28.75</v>
      </c>
      <c r="H26" s="273">
        <f t="shared" si="11"/>
        <v>57.5</v>
      </c>
      <c r="I26" s="273">
        <f t="shared" si="11"/>
        <v>115</v>
      </c>
      <c r="J26" s="273">
        <f t="shared" si="11"/>
        <v>230</v>
      </c>
      <c r="K26" s="273">
        <f t="shared" si="11"/>
        <v>460</v>
      </c>
      <c r="L26" s="233">
        <f t="shared" si="11"/>
        <v>920</v>
      </c>
      <c r="M26" s="234">
        <f t="shared" si="11"/>
        <v>1840</v>
      </c>
      <c r="N26" s="235">
        <f t="shared" si="11"/>
        <v>3680</v>
      </c>
      <c r="O26" s="273">
        <f t="shared" si="11"/>
        <v>7360</v>
      </c>
      <c r="P26" s="233">
        <f t="shared" si="11"/>
        <v>14720</v>
      </c>
      <c r="Q26" s="234">
        <f t="shared" si="11"/>
        <v>29440</v>
      </c>
      <c r="R26" s="234">
        <f t="shared" si="11"/>
        <v>58880</v>
      </c>
      <c r="S26" s="234">
        <f t="shared" si="11"/>
        <v>117760</v>
      </c>
      <c r="T26" s="234">
        <f t="shared" si="11"/>
        <v>235520</v>
      </c>
      <c r="U26" s="234">
        <f t="shared" si="11"/>
        <v>471040</v>
      </c>
      <c r="V26" s="234">
        <f t="shared" si="11"/>
        <v>942080</v>
      </c>
      <c r="W26" s="234">
        <f t="shared" si="11"/>
        <v>1884160</v>
      </c>
      <c r="X26" s="234">
        <f t="shared" si="11"/>
        <v>3768320</v>
      </c>
      <c r="Y26" s="287">
        <f t="shared" si="11"/>
        <v>7536640</v>
      </c>
      <c r="Z26" s="239">
        <f t="shared" si="11"/>
        <v>15073280</v>
      </c>
      <c r="AA26" s="224">
        <f t="shared" si="11"/>
        <v>23583280</v>
      </c>
      <c r="AB26" s="306">
        <f>AB18*B10</f>
        <v>4716656</v>
      </c>
      <c r="AC26" s="37"/>
      <c r="AD26" s="37"/>
      <c r="AE26" s="81"/>
    </row>
    <row r="27" spans="1:31" x14ac:dyDescent="0.25">
      <c r="A27" s="53" t="s">
        <v>291</v>
      </c>
      <c r="B27" s="28"/>
      <c r="C27" s="28"/>
      <c r="D27" s="28"/>
      <c r="E27" s="28"/>
      <c r="F27" s="28"/>
      <c r="G27" s="226">
        <f>G26-(1*$B$10)*(2^(((G17 - 14) - $B$14)/$G$43))</f>
        <v>20.817289638445015</v>
      </c>
      <c r="H27" s="227">
        <f>H26-(1*$B$10)*(2^(((H17 - 14) - $B$14)/$G$43))</f>
        <v>45.961734866510383</v>
      </c>
      <c r="I27" s="227">
        <f>I26-(1*$B$10)*(2^(((I17 - 14) - $B$14)/$G$43))</f>
        <v>98.217392767053525</v>
      </c>
      <c r="J27" s="227">
        <f>J26-(1*$B$10)*(2^(((J17 - 14) - $B$14)/$G$43))</f>
        <v>205.58940600889417</v>
      </c>
      <c r="K27" s="240">
        <f t="shared" ref="K27:N27" si="12">MAX(K26-(($G$18*$B$10)*(2^(((K17 -14) - $G$17)/HLOOKUP((K17-14)-$B$14,$G$41:$AB$43,3,TRUE)))),0)</f>
        <v>425.32652993579791</v>
      </c>
      <c r="L27" s="241">
        <f t="shared" si="12"/>
        <v>852.95350749454133</v>
      </c>
      <c r="M27" s="240">
        <f t="shared" si="12"/>
        <v>1739.375</v>
      </c>
      <c r="N27" s="274">
        <f t="shared" si="12"/>
        <v>3414.5753020143407</v>
      </c>
      <c r="O27" s="240">
        <f>MAX(O26-(($G$18*$B$10)*(2^(((O17 -14) - $G$17)/HLOOKUP((O17-14)-$B$14,$G$41:$AB$43,3,TRUE)))),0)</f>
        <v>0</v>
      </c>
      <c r="P27" s="241">
        <f t="shared" ref="P27" si="13">MAX(P26-(($G$18*$B$10)*(2^(((P17 -14) - $G$17)/HLOOKUP((P17-14)-$B$14,$G$41:$AB$43,3,TRUE)))),0)</f>
        <v>0</v>
      </c>
      <c r="Q27" s="240">
        <f t="shared" ref="Q27" si="14">MAX(Q26-(($G$18*$B$10)*(2^(((Q17 -14) - $G$17)/HLOOKUP((Q17-14)-$B$14,$G$41:$AB$43,3,TRUE)))),0)</f>
        <v>0</v>
      </c>
      <c r="R27" s="240">
        <f t="shared" ref="R27" si="15">MAX(R26-(($G$18*$B$10)*(2^(((R17 -14) - $G$17)/HLOOKUP((R17-14)-$B$14,$G$41:$AB$43,3,TRUE)))),0)</f>
        <v>0</v>
      </c>
      <c r="S27" s="240">
        <f t="shared" ref="S27:T27" si="16">MAX(S26-(($G$18*$B$10)*(2^(((S17 -14) - $G$17)/HLOOKUP((S17-14)-$B$14,$G$41:$AB$43,3,TRUE)))),0)</f>
        <v>0</v>
      </c>
      <c r="T27" s="240">
        <f t="shared" si="16"/>
        <v>0</v>
      </c>
      <c r="U27" s="240">
        <f t="shared" ref="U27" si="17">MAX(U26-(($G$18*$B$10)*(2^(((U17 -14) - $G$17)/HLOOKUP((U17-14)-$B$14,$G$41:$AB$43,3,TRUE)))),0)</f>
        <v>0</v>
      </c>
      <c r="V27" s="240">
        <f t="shared" ref="V27" si="18">MAX(V26-(($G$18*$B$10)*(2^(((V17 -14) - $G$17)/HLOOKUP((V17-14)-$B$14,$G$41:$AB$43,3,TRUE)))),0)</f>
        <v>0</v>
      </c>
      <c r="W27" s="240">
        <f t="shared" ref="W27" si="19">MAX(W26-(($G$18*$B$10)*(2^(((W17 -14) - $G$17)/HLOOKUP((W17-14)-$B$14,$G$41:$AB$43,3,TRUE)))),0)</f>
        <v>0</v>
      </c>
      <c r="X27" s="240">
        <f t="shared" ref="X27:Y27" si="20">MAX(X26-(($G$18*$B$10)*(2^(((X17 -14) - $G$17)/HLOOKUP((X17-14)-$B$14,$G$41:$AB$43,3,TRUE)))),0)</f>
        <v>0</v>
      </c>
      <c r="Y27" s="291">
        <f t="shared" si="20"/>
        <v>6111.180691822432</v>
      </c>
      <c r="Z27" s="232">
        <f t="shared" ref="Z27" si="21">MAX(Z26-(($G$18*$B$10)*(2^(((Z17 -14) - $G$17)/HLOOKUP((Z17-14)-$B$14,$G$41:$AB$43,3,TRUE)))),0)</f>
        <v>350867.94494535029</v>
      </c>
      <c r="AA27" s="231">
        <f t="shared" ref="AA27" si="22">MAX(AA26-(($G$18*$B$10)*(2^(((AA17 -14) - $G$17)/HLOOKUP((AA17-14)-$B$14,$G$41:$AB$43,3,TRUE)))),0)</f>
        <v>0</v>
      </c>
      <c r="AB27" s="304"/>
      <c r="AC27" s="37"/>
      <c r="AD27" s="37"/>
      <c r="AE27" s="81"/>
    </row>
    <row r="28" spans="1:31" x14ac:dyDescent="0.25">
      <c r="A28" s="74" t="s">
        <v>214</v>
      </c>
      <c r="B28" s="21"/>
      <c r="C28" s="21"/>
      <c r="D28" s="21"/>
      <c r="E28" s="21"/>
      <c r="F28" s="21"/>
      <c r="G28" s="236">
        <f>(1*($B$11+$B$12))*(2^(((G17 - 7) - $B$14)/$G$43))</f>
        <v>1.328868054613489</v>
      </c>
      <c r="H28" s="237">
        <f>(1*($B$11+$B$12))*(2^(((H17 - 7) - $B$14)/$G$43))</f>
        <v>1.9328616882149008</v>
      </c>
      <c r="I28" s="222">
        <f t="shared" ref="I28:Z28" si="23">($G$18*($B$11+$B$12))*(2^(((I17-7)-$G$17)/HLOOKUP((I17-7)-$B$14,$G$41:$AB$43,3,TRUE)))</f>
        <v>2.7454891883819537</v>
      </c>
      <c r="J28" s="222">
        <f t="shared" si="23"/>
        <v>5.8301297830833585</v>
      </c>
      <c r="K28" s="222">
        <f t="shared" si="23"/>
        <v>10.233320086357423</v>
      </c>
      <c r="L28" s="221">
        <f t="shared" si="23"/>
        <v>19.453125000000004</v>
      </c>
      <c r="M28" s="222">
        <f t="shared" si="23"/>
        <v>32.490150243021745</v>
      </c>
      <c r="N28" s="223">
        <f t="shared" si="23"/>
        <v>100.7512242075386</v>
      </c>
      <c r="O28" s="276">
        <f t="shared" si="23"/>
        <v>113206.64003131719</v>
      </c>
      <c r="P28" s="248">
        <f t="shared" si="23"/>
        <v>9483.2008099705436</v>
      </c>
      <c r="Q28" s="249">
        <f t="shared" si="23"/>
        <v>8497.7241909609984</v>
      </c>
      <c r="R28" s="249">
        <f t="shared" si="23"/>
        <v>11787.16590864349</v>
      </c>
      <c r="S28" s="249">
        <f t="shared" si="23"/>
        <v>19120.740588639615</v>
      </c>
      <c r="T28" s="249">
        <f t="shared" si="23"/>
        <v>33392.38874795592</v>
      </c>
      <c r="U28" s="249">
        <f t="shared" si="23"/>
        <v>60734.348349727799</v>
      </c>
      <c r="V28" s="249">
        <f t="shared" si="23"/>
        <v>113231.8633006358</v>
      </c>
      <c r="W28" s="249">
        <f t="shared" si="23"/>
        <v>214552.53236146405</v>
      </c>
      <c r="X28" s="249">
        <f t="shared" si="23"/>
        <v>411101.70953367918</v>
      </c>
      <c r="Y28" s="248">
        <f t="shared" si="23"/>
        <v>794058.29729868495</v>
      </c>
      <c r="Z28" s="239">
        <f t="shared" si="23"/>
        <v>1542932.1332085854</v>
      </c>
      <c r="AA28" s="238">
        <f>($G$18*($B$11+$B$12))*(2^(((AA17 - 7) - $G$17)/AA43))</f>
        <v>1682893.949002719</v>
      </c>
      <c r="AB28" s="304">
        <f>AB18*(B11+B12)</f>
        <v>410144</v>
      </c>
      <c r="AC28" s="57"/>
      <c r="AD28" s="57"/>
      <c r="AE28" s="81"/>
    </row>
    <row r="29" spans="1:31" x14ac:dyDescent="0.25">
      <c r="A29" s="49" t="s">
        <v>268</v>
      </c>
      <c r="B29" s="50"/>
      <c r="C29" s="51"/>
      <c r="D29" s="51"/>
      <c r="E29" s="51"/>
      <c r="F29" s="51"/>
      <c r="G29" s="226">
        <f t="shared" ref="G29:J29" si="24">G28</f>
        <v>1.328868054613489</v>
      </c>
      <c r="H29" s="227">
        <f t="shared" si="24"/>
        <v>1.9328616882149008</v>
      </c>
      <c r="I29" s="229">
        <f t="shared" si="24"/>
        <v>2.7454891883819537</v>
      </c>
      <c r="J29" s="229">
        <f t="shared" si="24"/>
        <v>5.8301297830833585</v>
      </c>
      <c r="K29" s="229">
        <f>K28-K31</f>
        <v>9.1026634538290931</v>
      </c>
      <c r="L29" s="230">
        <f t="shared" ref="L29:M29" si="25">L28-L31</f>
        <v>17.266826331343744</v>
      </c>
      <c r="M29" s="229">
        <f t="shared" si="25"/>
        <v>29.208900243021745</v>
      </c>
      <c r="N29" s="228">
        <f>N28-N31</f>
        <v>92.096071012354059</v>
      </c>
      <c r="O29" s="255">
        <f t="shared" ref="O29:P29" si="26">MAX(O28-($G$18*$B$11)*(2^(((O17 - 42) - $G$17)/HLOOKUP((O17-42)-$B$14,$G$41:$AB$43,3,TRUE)))-O31,0)</f>
        <v>101161.54370873647</v>
      </c>
      <c r="P29" s="230">
        <f t="shared" si="26"/>
        <v>0</v>
      </c>
      <c r="Q29" s="229">
        <f>MAX(Q28-($G$18*$B$11)*(2^(((Q17 - 42) - $G$17)/HLOOKUP((Q17-42)-$B$14,$G$41:$AB$43,3,TRUE)))-Q31,0)</f>
        <v>0</v>
      </c>
      <c r="R29" s="229">
        <f t="shared" ref="R29:AA29" si="27">MAX(R28-($G$18*$B$11)*(2^(((R17 - 42) - $G$17)/HLOOKUP((R17-42)-$B$14,$G$41:$AB$43,3,TRUE)))-R31,0)</f>
        <v>2691.0964663013683</v>
      </c>
      <c r="S29" s="229">
        <f t="shared" si="27"/>
        <v>6705.41574827767</v>
      </c>
      <c r="T29" s="229">
        <f t="shared" si="27"/>
        <v>13554.239408745099</v>
      </c>
      <c r="U29" s="229">
        <f t="shared" si="27"/>
        <v>26561.149593208196</v>
      </c>
      <c r="V29" s="229">
        <f t="shared" si="27"/>
        <v>51825.049888403759</v>
      </c>
      <c r="W29" s="229">
        <f t="shared" si="27"/>
        <v>101268.65746391899</v>
      </c>
      <c r="X29" s="229">
        <f t="shared" si="27"/>
        <v>198413.06090149638</v>
      </c>
      <c r="Y29" s="230">
        <f t="shared" si="27"/>
        <v>389781.94879642839</v>
      </c>
      <c r="Z29" s="232">
        <f t="shared" si="27"/>
        <v>767528.5245541553</v>
      </c>
      <c r="AA29" s="231">
        <f t="shared" si="27"/>
        <v>185524.2431661688</v>
      </c>
      <c r="AB29" s="306"/>
      <c r="AC29" s="57"/>
      <c r="AD29" s="57"/>
      <c r="AE29" s="81"/>
    </row>
    <row r="30" spans="1:31" x14ac:dyDescent="0.25">
      <c r="A30" s="60" t="s">
        <v>215</v>
      </c>
      <c r="C30" s="21"/>
      <c r="D30" s="21"/>
      <c r="E30" s="21"/>
      <c r="F30" s="21"/>
      <c r="G30" s="236">
        <f>(1*$B$12)*(2^(((G17 - 14) -$B$14)/$G$43))</f>
        <v>0.25867533787679298</v>
      </c>
      <c r="H30" s="237">
        <f>(1*$B$12)*(2^(((H17 - 14) -$B$14)/$G$43))</f>
        <v>0.37624777609205279</v>
      </c>
      <c r="I30" s="237">
        <f>(1*$B$12)*(2^(((I17 - 14) -$B$14)/$G$43))</f>
        <v>0.54725893150912419</v>
      </c>
      <c r="J30" s="237">
        <f>(1*$B$12)*(2^(((J17 - 14) -$B$14)/$G$43))</f>
        <v>0.79599763014475533</v>
      </c>
      <c r="K30" s="223">
        <f t="shared" ref="K30:AA30" si="28">($G$18*$B$12)*(2^(((K17 - 14) - $G$17)/HLOOKUP((K17-14)-$B$14,$G$41:$AB$43,3,TRUE)))</f>
        <v>1.13065663252833</v>
      </c>
      <c r="L30" s="222">
        <f t="shared" si="28"/>
        <v>2.1862986686562595</v>
      </c>
      <c r="M30" s="222">
        <f t="shared" si="28"/>
        <v>3.28125</v>
      </c>
      <c r="N30" s="223">
        <f t="shared" si="28"/>
        <v>8.6551531951845444</v>
      </c>
      <c r="O30" s="276">
        <f t="shared" si="28"/>
        <v>12153.772825616299</v>
      </c>
      <c r="P30" s="248">
        <f t="shared" si="28"/>
        <v>1997.3545766523375</v>
      </c>
      <c r="Q30" s="249">
        <f t="shared" si="28"/>
        <v>2122.0996208543829</v>
      </c>
      <c r="R30" s="249">
        <f t="shared" si="28"/>
        <v>3181.1454111518738</v>
      </c>
      <c r="S30" s="249">
        <f t="shared" si="28"/>
        <v>5394.7088308011434</v>
      </c>
      <c r="T30" s="249">
        <f t="shared" si="28"/>
        <v>9696.2100621182835</v>
      </c>
      <c r="U30" s="249">
        <f t="shared" si="28"/>
        <v>17994.40296904583</v>
      </c>
      <c r="V30" s="249">
        <f t="shared" si="28"/>
        <v>34051.834064836621</v>
      </c>
      <c r="W30" s="249">
        <f t="shared" si="28"/>
        <v>65265.388052051705</v>
      </c>
      <c r="X30" s="249">
        <f t="shared" si="28"/>
        <v>126196.42807185459</v>
      </c>
      <c r="Y30" s="248">
        <f t="shared" si="28"/>
        <v>245560.7223687449</v>
      </c>
      <c r="Z30" s="239">
        <f t="shared" si="28"/>
        <v>480078.65396917332</v>
      </c>
      <c r="AA30" s="238">
        <f t="shared" si="28"/>
        <v>941942.32604611933</v>
      </c>
      <c r="AB30" s="304">
        <f>AB18*B12</f>
        <v>153804</v>
      </c>
      <c r="AC30" s="57"/>
      <c r="AD30" s="57"/>
      <c r="AE30" s="81"/>
    </row>
    <row r="31" spans="1:31" x14ac:dyDescent="0.25">
      <c r="A31" s="53" t="s">
        <v>269</v>
      </c>
      <c r="B31" s="27"/>
      <c r="C31" s="28"/>
      <c r="D31" s="28"/>
      <c r="E31" s="28"/>
      <c r="F31" s="28"/>
      <c r="G31" s="226">
        <f t="shared" ref="G31:J31" si="29">G30</f>
        <v>0.25867533787679298</v>
      </c>
      <c r="H31" s="227">
        <f t="shared" si="29"/>
        <v>0.37624777609205279</v>
      </c>
      <c r="I31" s="227">
        <f t="shared" si="29"/>
        <v>0.54725893150912419</v>
      </c>
      <c r="J31" s="227">
        <f t="shared" si="29"/>
        <v>0.79599763014475533</v>
      </c>
      <c r="K31" s="228">
        <f>K30</f>
        <v>1.13065663252833</v>
      </c>
      <c r="L31" s="229">
        <f t="shared" ref="L31:N31" si="30">L30</f>
        <v>2.1862986686562595</v>
      </c>
      <c r="M31" s="229">
        <f t="shared" si="30"/>
        <v>3.28125</v>
      </c>
      <c r="N31" s="228">
        <f t="shared" si="30"/>
        <v>8.6551531951845444</v>
      </c>
      <c r="O31" s="275">
        <f t="shared" ref="O31:P31" si="31">MAX(O30-($G$18*$B$12)*(2^(((O17 - 35) - $G$17)/HLOOKUP((O17-35)-$B$14,$G$41:$AB$43,3,TRUE))),0)</f>
        <v>11868.582392884307</v>
      </c>
      <c r="P31" s="241">
        <f t="shared" si="31"/>
        <v>1643.4696766763175</v>
      </c>
      <c r="Q31" s="240">
        <f>MAX(Q30-($G$18*$B$12)*(2^(((Q17 - 35) - $G$17)/HLOOKUP((Q17-35)-$B$14,$G$41:$AB$43,3,TRUE))),0)</f>
        <v>1495.3971969973186</v>
      </c>
      <c r="R31" s="240">
        <f t="shared" ref="R31:AA31" si="32">MAX(R30-($G$18*$B$12)*(2^(((R17 - 35) - $G$17)/HLOOKUP((R17-35)-$B$14,$G$41:$AB$43,3,TRUE))),0)</f>
        <v>1995.3436453500333</v>
      </c>
      <c r="S31" s="240">
        <f t="shared" si="32"/>
        <v>3097.1634081828156</v>
      </c>
      <c r="T31" s="240">
        <f t="shared" si="32"/>
        <v>5194.5593337103164</v>
      </c>
      <c r="U31" s="240">
        <f t="shared" si="32"/>
        <v>9119.7202347666371</v>
      </c>
      <c r="V31" s="240">
        <f t="shared" si="32"/>
        <v>16490.30735581302</v>
      </c>
      <c r="W31" s="240">
        <f t="shared" si="32"/>
        <v>30428.691911435708</v>
      </c>
      <c r="X31" s="240">
        <f t="shared" si="32"/>
        <v>56974.036630599192</v>
      </c>
      <c r="Y31" s="241">
        <f t="shared" si="32"/>
        <v>107844.64579903256</v>
      </c>
      <c r="Z31" s="232">
        <f t="shared" si="32"/>
        <v>205848.43536484119</v>
      </c>
      <c r="AA31" s="231">
        <f t="shared" si="32"/>
        <v>395498.30953072023</v>
      </c>
      <c r="AB31" s="304"/>
      <c r="AC31" s="57"/>
      <c r="AD31" s="57"/>
      <c r="AE31" s="81"/>
    </row>
    <row r="32" spans="1:31" x14ac:dyDescent="0.25">
      <c r="A32" s="16" t="s">
        <v>156</v>
      </c>
      <c r="B32" s="97"/>
      <c r="C32" s="21"/>
      <c r="D32" s="21"/>
      <c r="E32" s="21"/>
      <c r="F32" s="21"/>
      <c r="G32" s="242">
        <f t="shared" ref="G32:AA32" si="33">G18*$B$13</f>
        <v>0.15625</v>
      </c>
      <c r="H32" s="243">
        <f t="shared" si="33"/>
        <v>0.3125</v>
      </c>
      <c r="I32" s="243">
        <f t="shared" si="33"/>
        <v>0.625</v>
      </c>
      <c r="J32" s="243">
        <f t="shared" si="33"/>
        <v>1.25</v>
      </c>
      <c r="K32" s="243">
        <f t="shared" si="33"/>
        <v>2.5</v>
      </c>
      <c r="L32" s="242">
        <f t="shared" si="33"/>
        <v>5</v>
      </c>
      <c r="M32" s="243">
        <f t="shared" si="33"/>
        <v>10</v>
      </c>
      <c r="N32" s="244">
        <f t="shared" si="33"/>
        <v>20</v>
      </c>
      <c r="O32" s="243">
        <f t="shared" si="33"/>
        <v>40</v>
      </c>
      <c r="P32" s="242">
        <f t="shared" si="33"/>
        <v>80</v>
      </c>
      <c r="Q32" s="243">
        <f t="shared" si="33"/>
        <v>160</v>
      </c>
      <c r="R32" s="243">
        <f t="shared" si="33"/>
        <v>320</v>
      </c>
      <c r="S32" s="243">
        <f t="shared" si="33"/>
        <v>640</v>
      </c>
      <c r="T32" s="243">
        <f t="shared" si="33"/>
        <v>1280</v>
      </c>
      <c r="U32" s="243">
        <f t="shared" si="33"/>
        <v>2560</v>
      </c>
      <c r="V32" s="243">
        <f t="shared" si="33"/>
        <v>5120</v>
      </c>
      <c r="W32" s="243">
        <f t="shared" si="33"/>
        <v>10240</v>
      </c>
      <c r="X32" s="243">
        <f t="shared" si="33"/>
        <v>20480</v>
      </c>
      <c r="Y32" s="289">
        <f t="shared" si="33"/>
        <v>40960</v>
      </c>
      <c r="Z32" s="225">
        <f t="shared" si="33"/>
        <v>81920</v>
      </c>
      <c r="AA32" s="238">
        <f t="shared" si="33"/>
        <v>128170</v>
      </c>
      <c r="AB32" s="304">
        <f>AB18*B13</f>
        <v>25634</v>
      </c>
      <c r="AC32" s="57"/>
      <c r="AD32" s="57"/>
      <c r="AE32" s="81"/>
    </row>
    <row r="33" spans="1:31" x14ac:dyDescent="0.25">
      <c r="A33" s="49" t="s">
        <v>155</v>
      </c>
      <c r="B33" s="50"/>
      <c r="C33" s="51"/>
      <c r="D33" s="51"/>
      <c r="E33" s="51"/>
      <c r="F33" s="51"/>
      <c r="G33" s="226"/>
      <c r="H33" s="227"/>
      <c r="I33" s="227"/>
      <c r="J33" s="227"/>
      <c r="K33" s="227"/>
      <c r="L33" s="226"/>
      <c r="M33" s="227"/>
      <c r="N33" s="245">
        <f>($G$18*$B$13)*(2^(((N17-35)-$G$17)/$G$43))</f>
        <v>7.3855389498700297E-2</v>
      </c>
      <c r="O33" s="246">
        <f>($G$18*$B$13)*(2^(((O17-35)-$G$17)/HLOOKUP((O17-35)-$B$14,$G$41:$AB$43,3,TRUE)))</f>
        <v>47.531738788665308</v>
      </c>
      <c r="P33" s="247">
        <f t="shared" ref="O33:AA33" si="34">($G$18*$B$13)*(2^(((P17-35)-$G$17)/HLOOKUP((P17-35)-$B$14,$G$41:$AB$43,3,TRUE)))</f>
        <v>58.980816662670001</v>
      </c>
      <c r="Q33" s="246">
        <f t="shared" si="34"/>
        <v>104.4504039761774</v>
      </c>
      <c r="R33" s="246">
        <f t="shared" si="34"/>
        <v>197.63362763364006</v>
      </c>
      <c r="S33" s="246">
        <f t="shared" si="34"/>
        <v>382.92423710305462</v>
      </c>
      <c r="T33" s="246">
        <f t="shared" si="34"/>
        <v>750.27512140132785</v>
      </c>
      <c r="U33" s="246">
        <f t="shared" si="34"/>
        <v>1479.1137890465322</v>
      </c>
      <c r="V33" s="246">
        <f t="shared" si="34"/>
        <v>2926.9211181706005</v>
      </c>
      <c r="W33" s="246">
        <f t="shared" si="34"/>
        <v>5806.1160234359995</v>
      </c>
      <c r="X33" s="246">
        <f t="shared" si="34"/>
        <v>11537.065240209233</v>
      </c>
      <c r="Y33" s="247">
        <f t="shared" si="34"/>
        <v>22952.679428285392</v>
      </c>
      <c r="Z33" s="232">
        <f t="shared" si="34"/>
        <v>45705.036434055357</v>
      </c>
      <c r="AA33" s="231">
        <f t="shared" si="34"/>
        <v>91074.002752566521</v>
      </c>
      <c r="AB33" s="307">
        <f>($G$18*$B$13)*(2^(((AB17 - 35) - $G$17)/AB43))</f>
        <v>56861.619335426032</v>
      </c>
      <c r="AC33" s="57"/>
      <c r="AD33" s="57"/>
      <c r="AE33" s="81"/>
    </row>
    <row r="34" spans="1:31" s="81" customFormat="1" hidden="1" x14ac:dyDescent="0.25">
      <c r="A34" s="60" t="s">
        <v>209</v>
      </c>
      <c r="B34" s="37"/>
      <c r="C34" s="59"/>
      <c r="D34" s="59"/>
      <c r="E34" s="59"/>
      <c r="F34" s="59"/>
      <c r="G34" s="169">
        <f t="shared" ref="G34:AA34" si="35">G17-7</f>
        <v>43885</v>
      </c>
      <c r="H34" s="169">
        <f t="shared" si="35"/>
        <v>43889</v>
      </c>
      <c r="I34" s="169">
        <f t="shared" si="35"/>
        <v>43893</v>
      </c>
      <c r="J34" s="169">
        <f t="shared" si="35"/>
        <v>43897</v>
      </c>
      <c r="K34" s="169">
        <f t="shared" si="35"/>
        <v>43901</v>
      </c>
      <c r="L34" s="169">
        <f t="shared" si="35"/>
        <v>43904</v>
      </c>
      <c r="M34" s="169">
        <f t="shared" si="35"/>
        <v>43907</v>
      </c>
      <c r="N34" s="169">
        <f t="shared" si="35"/>
        <v>43912</v>
      </c>
      <c r="O34" s="169">
        <f t="shared" si="35"/>
        <v>43952</v>
      </c>
      <c r="P34" s="169">
        <f t="shared" si="35"/>
        <v>43992</v>
      </c>
      <c r="Q34" s="169">
        <f t="shared" si="35"/>
        <v>44032</v>
      </c>
      <c r="R34" s="169">
        <f t="shared" si="35"/>
        <v>44072</v>
      </c>
      <c r="S34" s="169">
        <f t="shared" si="35"/>
        <v>44112</v>
      </c>
      <c r="T34" s="169">
        <f t="shared" si="35"/>
        <v>44152</v>
      </c>
      <c r="U34" s="169">
        <f t="shared" si="35"/>
        <v>44192</v>
      </c>
      <c r="V34" s="169">
        <f t="shared" si="35"/>
        <v>44232</v>
      </c>
      <c r="W34" s="169">
        <f t="shared" si="35"/>
        <v>44272</v>
      </c>
      <c r="X34" s="169">
        <f t="shared" si="35"/>
        <v>44312</v>
      </c>
      <c r="Y34" s="169">
        <f t="shared" si="35"/>
        <v>44352</v>
      </c>
      <c r="Z34" s="169">
        <f t="shared" si="35"/>
        <v>44392</v>
      </c>
      <c r="AA34" s="169">
        <f t="shared" si="35"/>
        <v>44432</v>
      </c>
      <c r="AB34" s="169"/>
      <c r="AC34" s="57"/>
      <c r="AD34" s="57"/>
    </row>
    <row r="35" spans="1:31" s="81" customFormat="1" hidden="1" x14ac:dyDescent="0.25">
      <c r="A35" s="60" t="s">
        <v>207</v>
      </c>
      <c r="B35" s="37"/>
      <c r="C35" s="59"/>
      <c r="D35" s="59"/>
      <c r="E35" s="59"/>
      <c r="F35" s="59"/>
      <c r="G35" s="169">
        <f t="shared" ref="G35:AA35" si="36">G17-14</f>
        <v>43878</v>
      </c>
      <c r="H35" s="169">
        <f t="shared" si="36"/>
        <v>43882</v>
      </c>
      <c r="I35" s="169">
        <f t="shared" si="36"/>
        <v>43886</v>
      </c>
      <c r="J35" s="169">
        <f t="shared" si="36"/>
        <v>43890</v>
      </c>
      <c r="K35" s="169">
        <f t="shared" si="36"/>
        <v>43894</v>
      </c>
      <c r="L35" s="169">
        <f t="shared" si="36"/>
        <v>43897</v>
      </c>
      <c r="M35" s="169">
        <f t="shared" si="36"/>
        <v>43900</v>
      </c>
      <c r="N35" s="169">
        <f t="shared" si="36"/>
        <v>43905</v>
      </c>
      <c r="O35" s="169">
        <f t="shared" si="36"/>
        <v>43945</v>
      </c>
      <c r="P35" s="169">
        <f t="shared" si="36"/>
        <v>43985</v>
      </c>
      <c r="Q35" s="169">
        <f t="shared" si="36"/>
        <v>44025</v>
      </c>
      <c r="R35" s="169">
        <f t="shared" si="36"/>
        <v>44065</v>
      </c>
      <c r="S35" s="169">
        <f t="shared" si="36"/>
        <v>44105</v>
      </c>
      <c r="T35" s="169">
        <f t="shared" si="36"/>
        <v>44145</v>
      </c>
      <c r="U35" s="169">
        <f t="shared" si="36"/>
        <v>44185</v>
      </c>
      <c r="V35" s="169">
        <f t="shared" si="36"/>
        <v>44225</v>
      </c>
      <c r="W35" s="169">
        <f t="shared" si="36"/>
        <v>44265</v>
      </c>
      <c r="X35" s="169">
        <f t="shared" si="36"/>
        <v>44305</v>
      </c>
      <c r="Y35" s="169">
        <f t="shared" si="36"/>
        <v>44345</v>
      </c>
      <c r="Z35" s="169">
        <f t="shared" si="36"/>
        <v>44385</v>
      </c>
      <c r="AA35" s="169">
        <f t="shared" si="36"/>
        <v>44425</v>
      </c>
      <c r="AB35" s="169"/>
      <c r="AC35" s="57"/>
      <c r="AD35" s="57"/>
    </row>
    <row r="36" spans="1:31" s="81" customFormat="1" hidden="1" x14ac:dyDescent="0.25">
      <c r="A36" s="60" t="s">
        <v>210</v>
      </c>
      <c r="B36" s="37"/>
      <c r="C36" s="59"/>
      <c r="D36" s="59"/>
      <c r="E36" s="59"/>
      <c r="F36" s="59"/>
      <c r="G36" s="169">
        <f t="shared" ref="G36:AA36" si="37">G17-(7*5)</f>
        <v>43857</v>
      </c>
      <c r="H36" s="169">
        <f t="shared" si="37"/>
        <v>43861</v>
      </c>
      <c r="I36" s="169">
        <f t="shared" si="37"/>
        <v>43865</v>
      </c>
      <c r="J36" s="169">
        <f t="shared" si="37"/>
        <v>43869</v>
      </c>
      <c r="K36" s="169">
        <f t="shared" si="37"/>
        <v>43873</v>
      </c>
      <c r="L36" s="169">
        <f t="shared" si="37"/>
        <v>43876</v>
      </c>
      <c r="M36" s="169">
        <f t="shared" si="37"/>
        <v>43879</v>
      </c>
      <c r="N36" s="169">
        <f t="shared" si="37"/>
        <v>43884</v>
      </c>
      <c r="O36" s="169">
        <f t="shared" si="37"/>
        <v>43924</v>
      </c>
      <c r="P36" s="169">
        <f t="shared" si="37"/>
        <v>43964</v>
      </c>
      <c r="Q36" s="169">
        <f t="shared" si="37"/>
        <v>44004</v>
      </c>
      <c r="R36" s="169">
        <f t="shared" si="37"/>
        <v>44044</v>
      </c>
      <c r="S36" s="169">
        <f t="shared" si="37"/>
        <v>44084</v>
      </c>
      <c r="T36" s="169">
        <f t="shared" si="37"/>
        <v>44124</v>
      </c>
      <c r="U36" s="169">
        <f t="shared" si="37"/>
        <v>44164</v>
      </c>
      <c r="V36" s="169">
        <f t="shared" si="37"/>
        <v>44204</v>
      </c>
      <c r="W36" s="169">
        <f t="shared" si="37"/>
        <v>44244</v>
      </c>
      <c r="X36" s="169">
        <f t="shared" si="37"/>
        <v>44284</v>
      </c>
      <c r="Y36" s="169">
        <f t="shared" si="37"/>
        <v>44324</v>
      </c>
      <c r="Z36" s="169">
        <f t="shared" si="37"/>
        <v>44364</v>
      </c>
      <c r="AA36" s="169">
        <f t="shared" si="37"/>
        <v>44404</v>
      </c>
      <c r="AB36" s="169"/>
      <c r="AC36" s="57"/>
      <c r="AD36" s="57"/>
    </row>
    <row r="37" spans="1:31" s="81" customFormat="1" hidden="1" x14ac:dyDescent="0.25">
      <c r="A37" s="60" t="s">
        <v>208</v>
      </c>
      <c r="B37" s="37"/>
      <c r="C37" s="59"/>
      <c r="D37" s="59"/>
      <c r="E37" s="59"/>
      <c r="F37" s="59"/>
      <c r="G37" s="169">
        <f t="shared" ref="G37:AA37" si="38">G17-(6*7)</f>
        <v>43850</v>
      </c>
      <c r="H37" s="169">
        <f t="shared" si="38"/>
        <v>43854</v>
      </c>
      <c r="I37" s="169">
        <f t="shared" si="38"/>
        <v>43858</v>
      </c>
      <c r="J37" s="169">
        <f t="shared" si="38"/>
        <v>43862</v>
      </c>
      <c r="K37" s="169">
        <f t="shared" si="38"/>
        <v>43866</v>
      </c>
      <c r="L37" s="169">
        <f t="shared" si="38"/>
        <v>43869</v>
      </c>
      <c r="M37" s="169">
        <f t="shared" si="38"/>
        <v>43872</v>
      </c>
      <c r="N37" s="169">
        <f t="shared" si="38"/>
        <v>43877</v>
      </c>
      <c r="O37" s="169">
        <f t="shared" si="38"/>
        <v>43917</v>
      </c>
      <c r="P37" s="169">
        <f t="shared" si="38"/>
        <v>43957</v>
      </c>
      <c r="Q37" s="169">
        <f t="shared" si="38"/>
        <v>43997</v>
      </c>
      <c r="R37" s="169">
        <f t="shared" si="38"/>
        <v>44037</v>
      </c>
      <c r="S37" s="169">
        <f t="shared" si="38"/>
        <v>44077</v>
      </c>
      <c r="T37" s="169">
        <f t="shared" si="38"/>
        <v>44117</v>
      </c>
      <c r="U37" s="169">
        <f t="shared" si="38"/>
        <v>44157</v>
      </c>
      <c r="V37" s="169">
        <f t="shared" si="38"/>
        <v>44197</v>
      </c>
      <c r="W37" s="169">
        <f t="shared" si="38"/>
        <v>44237</v>
      </c>
      <c r="X37" s="169">
        <f t="shared" si="38"/>
        <v>44277</v>
      </c>
      <c r="Y37" s="169">
        <f t="shared" si="38"/>
        <v>44317</v>
      </c>
      <c r="Z37" s="169">
        <f t="shared" si="38"/>
        <v>44357</v>
      </c>
      <c r="AA37" s="169">
        <f t="shared" si="38"/>
        <v>44397</v>
      </c>
      <c r="AB37" s="169"/>
      <c r="AC37" s="57"/>
      <c r="AD37" s="57"/>
    </row>
    <row r="39" spans="1:31" x14ac:dyDescent="0.25">
      <c r="A39" s="65" t="s">
        <v>140</v>
      </c>
      <c r="B39" s="27"/>
      <c r="C39" s="28"/>
      <c r="D39" s="28"/>
      <c r="E39" s="28"/>
      <c r="F39" s="28"/>
    </row>
    <row r="40" spans="1:31" s="81" customFormat="1" x14ac:dyDescent="0.25">
      <c r="A40" s="159" t="s">
        <v>205</v>
      </c>
      <c r="B40" s="37"/>
      <c r="C40" s="59"/>
      <c r="D40" s="59"/>
      <c r="E40" s="59"/>
      <c r="F40" s="59"/>
      <c r="G40" s="160">
        <f t="shared" ref="G40:AB40" si="39">(G17-$B$14)/7</f>
        <v>5.2857142857142856</v>
      </c>
      <c r="H40" s="156">
        <f t="shared" si="39"/>
        <v>5.8571428571428568</v>
      </c>
      <c r="I40" s="157">
        <f t="shared" si="39"/>
        <v>6.4285714285714288</v>
      </c>
      <c r="J40" s="160">
        <f t="shared" si="39"/>
        <v>7</v>
      </c>
      <c r="K40" s="156">
        <f t="shared" si="39"/>
        <v>7.5714285714285712</v>
      </c>
      <c r="L40" s="161">
        <f t="shared" si="39"/>
        <v>8</v>
      </c>
      <c r="M40" s="157">
        <f t="shared" si="39"/>
        <v>8.4285714285714288</v>
      </c>
      <c r="N40" s="160">
        <f t="shared" si="39"/>
        <v>9.1428571428571423</v>
      </c>
      <c r="O40" s="156">
        <f t="shared" si="39"/>
        <v>14.857142857142858</v>
      </c>
      <c r="P40" s="160">
        <f t="shared" si="39"/>
        <v>20.571428571428573</v>
      </c>
      <c r="Q40" s="157">
        <f t="shared" si="39"/>
        <v>26.285714285714285</v>
      </c>
      <c r="R40" s="160">
        <f t="shared" si="39"/>
        <v>32</v>
      </c>
      <c r="S40" s="160">
        <f t="shared" si="39"/>
        <v>37.714285714285715</v>
      </c>
      <c r="T40" s="157">
        <f t="shared" si="39"/>
        <v>43.428571428571431</v>
      </c>
      <c r="U40" s="160">
        <f t="shared" si="39"/>
        <v>49.142857142857146</v>
      </c>
      <c r="V40" s="160">
        <f t="shared" si="39"/>
        <v>54.857142857142854</v>
      </c>
      <c r="W40" s="160">
        <f t="shared" si="39"/>
        <v>60.571428571428569</v>
      </c>
      <c r="X40" s="157">
        <f t="shared" si="39"/>
        <v>66.285714285714292</v>
      </c>
      <c r="Y40" s="160">
        <f t="shared" si="39"/>
        <v>72</v>
      </c>
      <c r="Z40" s="156">
        <f t="shared" si="39"/>
        <v>77.714285714285708</v>
      </c>
      <c r="AA40" s="160">
        <f t="shared" si="39"/>
        <v>83.428571428571431</v>
      </c>
      <c r="AB40" s="160">
        <f t="shared" si="39"/>
        <v>91.428571428571431</v>
      </c>
    </row>
    <row r="41" spans="1:31" s="81" customFormat="1" x14ac:dyDescent="0.25">
      <c r="A41" s="159" t="s">
        <v>204</v>
      </c>
      <c r="B41" s="37"/>
      <c r="C41" s="59"/>
      <c r="D41" s="59"/>
      <c r="E41" s="59"/>
      <c r="F41" s="59"/>
      <c r="G41" s="162">
        <f>G17-B14</f>
        <v>37</v>
      </c>
      <c r="H41" s="158">
        <f t="shared" ref="H41:AB41" si="40">H17-$B$14</f>
        <v>41</v>
      </c>
      <c r="I41" s="158">
        <f t="shared" si="40"/>
        <v>45</v>
      </c>
      <c r="J41" s="158">
        <f t="shared" si="40"/>
        <v>49</v>
      </c>
      <c r="K41" s="158">
        <f t="shared" si="40"/>
        <v>53</v>
      </c>
      <c r="L41" s="158">
        <f t="shared" si="40"/>
        <v>56</v>
      </c>
      <c r="M41" s="158">
        <f t="shared" si="40"/>
        <v>59</v>
      </c>
      <c r="N41" s="158">
        <f t="shared" si="40"/>
        <v>64</v>
      </c>
      <c r="O41" s="158">
        <f t="shared" si="40"/>
        <v>104</v>
      </c>
      <c r="P41" s="158">
        <f t="shared" si="40"/>
        <v>144</v>
      </c>
      <c r="Q41" s="158">
        <f t="shared" si="40"/>
        <v>184</v>
      </c>
      <c r="R41" s="158">
        <f t="shared" si="40"/>
        <v>224</v>
      </c>
      <c r="S41" s="158">
        <f t="shared" si="40"/>
        <v>264</v>
      </c>
      <c r="T41" s="158">
        <f t="shared" si="40"/>
        <v>304</v>
      </c>
      <c r="U41" s="158">
        <f t="shared" si="40"/>
        <v>344</v>
      </c>
      <c r="V41" s="158">
        <f t="shared" si="40"/>
        <v>384</v>
      </c>
      <c r="W41" s="158">
        <f t="shared" si="40"/>
        <v>424</v>
      </c>
      <c r="X41" s="158">
        <f t="shared" si="40"/>
        <v>464</v>
      </c>
      <c r="Y41" s="158">
        <f t="shared" si="40"/>
        <v>504</v>
      </c>
      <c r="Z41" s="158">
        <f t="shared" si="40"/>
        <v>544</v>
      </c>
      <c r="AA41" s="212">
        <f t="shared" si="40"/>
        <v>584</v>
      </c>
      <c r="AB41" s="212">
        <f t="shared" si="40"/>
        <v>640</v>
      </c>
    </row>
    <row r="42" spans="1:31" x14ac:dyDescent="0.25">
      <c r="A42" s="53" t="s">
        <v>134</v>
      </c>
      <c r="B42" s="28"/>
      <c r="C42" s="28"/>
      <c r="D42" s="28"/>
      <c r="E42" s="28"/>
      <c r="F42" s="28"/>
      <c r="G42" s="163">
        <v>32</v>
      </c>
      <c r="H42" s="164">
        <v>63</v>
      </c>
      <c r="I42" s="165">
        <v>112</v>
      </c>
      <c r="J42" s="165">
        <v>249</v>
      </c>
      <c r="K42" s="165">
        <v>567</v>
      </c>
      <c r="L42" s="165">
        <v>1072</v>
      </c>
      <c r="M42" s="165">
        <v>2050</v>
      </c>
      <c r="N42" s="165">
        <v>3984</v>
      </c>
      <c r="O42" s="204">
        <v>8000</v>
      </c>
      <c r="P42" s="204">
        <f>O42*2</f>
        <v>16000</v>
      </c>
      <c r="Q42" s="204">
        <f t="shared" ref="Q42:Z42" si="41">P42*2</f>
        <v>32000</v>
      </c>
      <c r="R42" s="204">
        <f t="shared" si="41"/>
        <v>64000</v>
      </c>
      <c r="S42" s="204">
        <f t="shared" si="41"/>
        <v>128000</v>
      </c>
      <c r="T42" s="204">
        <f t="shared" si="41"/>
        <v>256000</v>
      </c>
      <c r="U42" s="204">
        <f t="shared" si="41"/>
        <v>512000</v>
      </c>
      <c r="V42" s="204">
        <f t="shared" si="41"/>
        <v>1024000</v>
      </c>
      <c r="W42" s="204">
        <f t="shared" si="41"/>
        <v>2048000</v>
      </c>
      <c r="X42" s="204">
        <f t="shared" si="41"/>
        <v>4096000</v>
      </c>
      <c r="Y42" s="279">
        <f t="shared" si="41"/>
        <v>8192000</v>
      </c>
      <c r="Z42" s="280">
        <f t="shared" si="41"/>
        <v>16384000</v>
      </c>
      <c r="AA42" s="208">
        <f>AA18</f>
        <v>25634000</v>
      </c>
      <c r="AB42" s="209">
        <f>AA42</f>
        <v>25634000</v>
      </c>
    </row>
    <row r="43" spans="1:31" x14ac:dyDescent="0.25">
      <c r="A43" s="53" t="s">
        <v>266</v>
      </c>
      <c r="B43" s="28"/>
      <c r="C43" s="28"/>
      <c r="D43" s="28"/>
      <c r="E43" s="28"/>
      <c r="F43" s="28"/>
      <c r="G43" s="216">
        <f>(G17-B14)/(LOG(G42/1)/LOG(2))</f>
        <v>7.4</v>
      </c>
      <c r="H43" s="195">
        <f t="shared" ref="H43:AB43" si="42">(H17-$G$17)/(LOG(H42/$G$42)/LOG(2))</f>
        <v>4.0929931167263378</v>
      </c>
      <c r="I43" s="195">
        <f t="shared" si="42"/>
        <v>4.4263580453208977</v>
      </c>
      <c r="J43" s="195">
        <f t="shared" si="42"/>
        <v>4.0540514078704986</v>
      </c>
      <c r="K43" s="195">
        <f t="shared" si="42"/>
        <v>3.8580201098268327</v>
      </c>
      <c r="L43" s="195">
        <f t="shared" si="42"/>
        <v>3.7504274570979592</v>
      </c>
      <c r="M43" s="195">
        <f t="shared" si="42"/>
        <v>3.6658063053526138</v>
      </c>
      <c r="N43" s="195">
        <f t="shared" si="42"/>
        <v>3.879309267946895</v>
      </c>
      <c r="O43" s="205">
        <f t="shared" si="42"/>
        <v>8.4109734340919555</v>
      </c>
      <c r="P43" s="205">
        <f t="shared" si="42"/>
        <v>11.93425991555994</v>
      </c>
      <c r="Q43" s="205">
        <f t="shared" si="42"/>
        <v>14.750469787535078</v>
      </c>
      <c r="R43" s="205">
        <f t="shared" si="42"/>
        <v>17.053043826656165</v>
      </c>
      <c r="S43" s="205">
        <f t="shared" si="42"/>
        <v>18.970758171779167</v>
      </c>
      <c r="T43" s="205">
        <f t="shared" si="42"/>
        <v>20.592660971218567</v>
      </c>
      <c r="U43" s="205">
        <f t="shared" si="42"/>
        <v>21.982295712326199</v>
      </c>
      <c r="V43" s="205">
        <f t="shared" si="42"/>
        <v>23.186222211931003</v>
      </c>
      <c r="W43" s="205">
        <f t="shared" si="42"/>
        <v>24.239335387474874</v>
      </c>
      <c r="X43" s="205">
        <f t="shared" si="42"/>
        <v>25.168303028939793</v>
      </c>
      <c r="Y43" s="281">
        <f t="shared" si="42"/>
        <v>25.993855464394702</v>
      </c>
      <c r="Z43" s="282">
        <f t="shared" si="42"/>
        <v>26.732350868823207</v>
      </c>
      <c r="AA43" s="210">
        <f t="shared" si="42"/>
        <v>27.891719556155252</v>
      </c>
      <c r="AB43" s="211">
        <f t="shared" si="42"/>
        <v>30.747178962269867</v>
      </c>
    </row>
    <row r="44" spans="1:31" x14ac:dyDescent="0.25">
      <c r="A44" s="53" t="s">
        <v>163</v>
      </c>
      <c r="B44" s="28"/>
      <c r="C44" s="28"/>
      <c r="D44" s="28"/>
      <c r="E44" s="28"/>
      <c r="F44" s="28"/>
      <c r="G44" s="166">
        <v>5</v>
      </c>
      <c r="H44" s="167">
        <v>12</v>
      </c>
      <c r="I44" s="121">
        <v>12</v>
      </c>
      <c r="J44" s="121">
        <v>17</v>
      </c>
      <c r="K44" s="168">
        <v>33</v>
      </c>
      <c r="L44" s="168">
        <v>53</v>
      </c>
      <c r="M44" s="168">
        <v>97</v>
      </c>
      <c r="N44" s="168" t="s">
        <v>225</v>
      </c>
      <c r="O44" s="318">
        <v>3265</v>
      </c>
      <c r="P44" s="206"/>
      <c r="Q44" s="206"/>
      <c r="R44" s="206"/>
      <c r="S44" s="206"/>
      <c r="T44" s="206"/>
      <c r="U44" s="206"/>
      <c r="V44" s="206"/>
      <c r="W44" s="206"/>
      <c r="X44" s="206"/>
      <c r="Y44" s="283"/>
      <c r="Z44" s="284"/>
      <c r="AA44" s="121"/>
      <c r="AB44" s="122"/>
    </row>
    <row r="45" spans="1:31" x14ac:dyDescent="0.25">
      <c r="A45" s="61" t="s">
        <v>135</v>
      </c>
      <c r="B45" s="50"/>
      <c r="C45" s="51"/>
      <c r="D45" s="51"/>
      <c r="E45" s="51"/>
      <c r="F45" s="51"/>
      <c r="G45" s="79">
        <v>1</v>
      </c>
      <c r="H45" s="80">
        <v>2</v>
      </c>
      <c r="I45" s="64">
        <v>3</v>
      </c>
      <c r="J45" s="64">
        <v>5</v>
      </c>
      <c r="K45" s="64">
        <v>6</v>
      </c>
      <c r="L45" s="64">
        <v>7</v>
      </c>
      <c r="M45" s="64">
        <v>8</v>
      </c>
      <c r="N45" s="64">
        <v>16</v>
      </c>
      <c r="O45" s="319">
        <v>56</v>
      </c>
      <c r="P45" s="207"/>
      <c r="Q45" s="207"/>
      <c r="R45" s="207"/>
      <c r="S45" s="207"/>
      <c r="T45" s="207"/>
      <c r="U45" s="207"/>
      <c r="V45" s="207"/>
      <c r="W45" s="207"/>
      <c r="X45" s="207"/>
      <c r="Y45" s="285"/>
      <c r="Z45" s="286"/>
      <c r="AA45" s="121"/>
      <c r="AB45" s="122"/>
    </row>
    <row r="46" spans="1:31" x14ac:dyDescent="0.25">
      <c r="B46" s="3"/>
      <c r="G46" s="47"/>
      <c r="H46" s="47"/>
      <c r="I46" s="47"/>
      <c r="J46" s="47"/>
      <c r="K46" s="47"/>
      <c r="L46" s="47"/>
      <c r="M46" s="47"/>
      <c r="N46" s="47"/>
      <c r="O46" s="47"/>
      <c r="P46" s="47"/>
      <c r="Q46" s="47"/>
      <c r="R46" s="47"/>
      <c r="S46" s="47"/>
      <c r="T46" s="47"/>
      <c r="U46" s="47"/>
      <c r="V46" s="47"/>
      <c r="W46" s="47"/>
      <c r="X46" s="47"/>
    </row>
    <row r="47" spans="1:31" x14ac:dyDescent="0.25">
      <c r="A47" s="86" t="s">
        <v>141</v>
      </c>
      <c r="X47" s="28"/>
    </row>
    <row r="48" spans="1:31" x14ac:dyDescent="0.25">
      <c r="A48" s="16" t="s">
        <v>1</v>
      </c>
      <c r="B48" s="69" t="s">
        <v>147</v>
      </c>
      <c r="C48" s="17" t="s">
        <v>4</v>
      </c>
      <c r="D48" s="69" t="s">
        <v>143</v>
      </c>
      <c r="E48" s="70" t="s">
        <v>3</v>
      </c>
      <c r="F48" s="21" t="s">
        <v>4</v>
      </c>
      <c r="G48" s="21"/>
      <c r="H48" s="21"/>
      <c r="I48" s="21"/>
      <c r="J48" s="21"/>
      <c r="K48" s="21"/>
      <c r="L48" s="21"/>
      <c r="M48" s="21"/>
      <c r="N48" s="21"/>
      <c r="O48" s="21"/>
      <c r="P48" s="21"/>
      <c r="Q48" s="21"/>
      <c r="R48" s="21"/>
      <c r="S48" s="21"/>
      <c r="T48" s="21"/>
      <c r="U48" s="21"/>
      <c r="V48" s="21"/>
      <c r="W48" s="21"/>
      <c r="X48" s="21"/>
      <c r="Y48" s="21"/>
      <c r="Z48" s="21"/>
      <c r="AA48" s="17"/>
      <c r="AB48" s="59"/>
    </row>
    <row r="49" spans="1:28" x14ac:dyDescent="0.25">
      <c r="A49" s="53" t="s">
        <v>13</v>
      </c>
      <c r="B49" s="25">
        <f>'ABS Population by Age Range'!D107</f>
        <v>4.0260989985204748E-2</v>
      </c>
      <c r="C49" s="24">
        <f>$B$5*B49</f>
        <v>1032050.2172807385</v>
      </c>
      <c r="D49" s="34">
        <f>'AU Infection Rate by Age'!C4</f>
        <v>2.8856063208519408E-2</v>
      </c>
      <c r="E49" s="17"/>
      <c r="F49" s="28"/>
      <c r="G49" s="30">
        <f t="shared" ref="G49:AA49" si="43">G$18*$D$49</f>
        <v>0.90175197526623152</v>
      </c>
      <c r="H49" s="31">
        <f t="shared" si="43"/>
        <v>1.803503950532463</v>
      </c>
      <c r="I49" s="31">
        <f t="shared" si="43"/>
        <v>3.6070079010649261</v>
      </c>
      <c r="J49" s="31">
        <f t="shared" si="43"/>
        <v>7.2140158021298522</v>
      </c>
      <c r="K49" s="31">
        <f t="shared" si="43"/>
        <v>14.428031604259704</v>
      </c>
      <c r="L49" s="31">
        <f t="shared" si="43"/>
        <v>28.856063208519409</v>
      </c>
      <c r="M49" s="31">
        <f t="shared" si="43"/>
        <v>57.712126417038817</v>
      </c>
      <c r="N49" s="31">
        <f t="shared" si="43"/>
        <v>115.42425283407763</v>
      </c>
      <c r="O49" s="31">
        <f t="shared" si="43"/>
        <v>230.84850566815527</v>
      </c>
      <c r="P49" s="31">
        <f t="shared" si="43"/>
        <v>461.69701133631054</v>
      </c>
      <c r="Q49" s="31">
        <f t="shared" si="43"/>
        <v>923.39402267262108</v>
      </c>
      <c r="R49" s="31">
        <f t="shared" si="43"/>
        <v>1846.7880453452422</v>
      </c>
      <c r="S49" s="31">
        <f t="shared" si="43"/>
        <v>3693.5760906904843</v>
      </c>
      <c r="T49" s="31">
        <f t="shared" si="43"/>
        <v>7387.1521813809686</v>
      </c>
      <c r="U49" s="31">
        <f t="shared" si="43"/>
        <v>14774.304362761937</v>
      </c>
      <c r="V49" s="31">
        <f t="shared" si="43"/>
        <v>29548.608725523874</v>
      </c>
      <c r="W49" s="31">
        <f t="shared" si="43"/>
        <v>59097.217451047749</v>
      </c>
      <c r="X49" s="31">
        <f t="shared" si="43"/>
        <v>118194.4349020955</v>
      </c>
      <c r="Y49" s="30">
        <f t="shared" si="43"/>
        <v>236388.869804191</v>
      </c>
      <c r="Z49" s="31">
        <f t="shared" si="43"/>
        <v>472777.73960838199</v>
      </c>
      <c r="AA49" s="72">
        <f t="shared" si="43"/>
        <v>739696.32428718649</v>
      </c>
      <c r="AB49" s="57"/>
    </row>
    <row r="50" spans="1:28" x14ac:dyDescent="0.25">
      <c r="A50" s="53"/>
      <c r="B50" s="18"/>
      <c r="C50" s="22"/>
      <c r="D50" s="20"/>
      <c r="E50" s="39">
        <v>0.14799999999999999</v>
      </c>
      <c r="F50" s="22"/>
      <c r="G50" s="41">
        <f t="shared" ref="G50:AA50" si="44">G$18*$D$49*$E$50</f>
        <v>0.13345929233940226</v>
      </c>
      <c r="H50" s="42">
        <f t="shared" si="44"/>
        <v>0.26691858467880453</v>
      </c>
      <c r="I50" s="42">
        <f t="shared" si="44"/>
        <v>0.53383716935760905</v>
      </c>
      <c r="J50" s="42">
        <f t="shared" si="44"/>
        <v>1.0676743387152181</v>
      </c>
      <c r="K50" s="42">
        <f t="shared" si="44"/>
        <v>2.1353486774304362</v>
      </c>
      <c r="L50" s="42">
        <f t="shared" si="44"/>
        <v>4.2706973548608724</v>
      </c>
      <c r="M50" s="42">
        <f t="shared" si="44"/>
        <v>8.5413947097217449</v>
      </c>
      <c r="N50" s="42">
        <f t="shared" si="44"/>
        <v>17.08278941944349</v>
      </c>
      <c r="O50" s="42">
        <f t="shared" si="44"/>
        <v>34.165578838886979</v>
      </c>
      <c r="P50" s="42">
        <f t="shared" si="44"/>
        <v>68.331157677773959</v>
      </c>
      <c r="Q50" s="42">
        <f t="shared" si="44"/>
        <v>136.66231535554792</v>
      </c>
      <c r="R50" s="42">
        <f t="shared" si="44"/>
        <v>273.32463071109584</v>
      </c>
      <c r="S50" s="42">
        <f t="shared" si="44"/>
        <v>546.64926142219167</v>
      </c>
      <c r="T50" s="42">
        <f t="shared" si="44"/>
        <v>1093.2985228443833</v>
      </c>
      <c r="U50" s="42">
        <f t="shared" si="44"/>
        <v>2186.5970456887667</v>
      </c>
      <c r="V50" s="42">
        <f t="shared" si="44"/>
        <v>4373.1940913775334</v>
      </c>
      <c r="W50" s="42">
        <f t="shared" si="44"/>
        <v>8746.3881827550667</v>
      </c>
      <c r="X50" s="42">
        <f t="shared" si="44"/>
        <v>17492.776365510133</v>
      </c>
      <c r="Y50" s="41">
        <f t="shared" si="44"/>
        <v>34985.552731020267</v>
      </c>
      <c r="Z50" s="42">
        <f t="shared" si="44"/>
        <v>69971.105462040534</v>
      </c>
      <c r="AA50" s="83">
        <f t="shared" si="44"/>
        <v>109475.05599450359</v>
      </c>
      <c r="AB50" s="57"/>
    </row>
    <row r="51" spans="1:28" x14ac:dyDescent="0.25">
      <c r="A51" s="53" t="s">
        <v>14</v>
      </c>
      <c r="B51" s="18">
        <f>'ABS Population by Age Range'!D97</f>
        <v>7.065336711718416E-2</v>
      </c>
      <c r="C51" s="22">
        <f t="shared" ref="C51:C65" si="45">$B$5*B51</f>
        <v>1811128.4126818988</v>
      </c>
      <c r="D51" s="35">
        <f>'AU Infection Rate by Age'!C5</f>
        <v>0.10700790106492614</v>
      </c>
      <c r="E51" s="29"/>
      <c r="F51" s="28"/>
      <c r="G51" s="32">
        <f t="shared" ref="G51:AA51" si="46">G$18*$D$51</f>
        <v>3.3439969082789416</v>
      </c>
      <c r="H51" s="33">
        <f t="shared" si="46"/>
        <v>6.6879938165578832</v>
      </c>
      <c r="I51" s="33">
        <f t="shared" si="46"/>
        <v>13.375987633115766</v>
      </c>
      <c r="J51" s="33">
        <f t="shared" si="46"/>
        <v>26.751975266231533</v>
      </c>
      <c r="K51" s="33">
        <f t="shared" si="46"/>
        <v>53.503950532463065</v>
      </c>
      <c r="L51" s="33">
        <f t="shared" si="46"/>
        <v>107.00790106492613</v>
      </c>
      <c r="M51" s="33">
        <f t="shared" si="46"/>
        <v>214.01580212985226</v>
      </c>
      <c r="N51" s="33">
        <f t="shared" si="46"/>
        <v>428.03160425970452</v>
      </c>
      <c r="O51" s="33">
        <f t="shared" si="46"/>
        <v>856.06320851940905</v>
      </c>
      <c r="P51" s="33">
        <f t="shared" si="46"/>
        <v>1712.1264170388181</v>
      </c>
      <c r="Q51" s="33">
        <f t="shared" si="46"/>
        <v>3424.2528340776362</v>
      </c>
      <c r="R51" s="33">
        <f t="shared" si="46"/>
        <v>6848.5056681552724</v>
      </c>
      <c r="S51" s="33">
        <f t="shared" si="46"/>
        <v>13697.011336310545</v>
      </c>
      <c r="T51" s="33">
        <f t="shared" si="46"/>
        <v>27394.022672621089</v>
      </c>
      <c r="U51" s="33">
        <f t="shared" si="46"/>
        <v>54788.045345242179</v>
      </c>
      <c r="V51" s="33">
        <f t="shared" si="46"/>
        <v>109576.09069048436</v>
      </c>
      <c r="W51" s="33">
        <f t="shared" si="46"/>
        <v>219152.18138096872</v>
      </c>
      <c r="X51" s="33">
        <f t="shared" si="46"/>
        <v>438304.36276193743</v>
      </c>
      <c r="Y51" s="32">
        <f t="shared" si="46"/>
        <v>876608.72552387486</v>
      </c>
      <c r="Z51" s="33">
        <f t="shared" si="46"/>
        <v>1753217.4510477497</v>
      </c>
      <c r="AA51" s="84">
        <f t="shared" si="46"/>
        <v>2743040.5358983167</v>
      </c>
      <c r="AB51" s="57"/>
    </row>
    <row r="52" spans="1:28" x14ac:dyDescent="0.25">
      <c r="A52" s="53"/>
      <c r="B52" s="18"/>
      <c r="C52" s="22"/>
      <c r="D52" s="20"/>
      <c r="E52" s="39">
        <v>0.08</v>
      </c>
      <c r="F52" s="22"/>
      <c r="G52" s="41">
        <f t="shared" ref="G52:AA52" si="47">G$18*$D$51*$E$52</f>
        <v>0.26751975266231531</v>
      </c>
      <c r="H52" s="42">
        <f t="shared" si="47"/>
        <v>0.53503950532463063</v>
      </c>
      <c r="I52" s="42">
        <f t="shared" si="47"/>
        <v>1.0700790106492613</v>
      </c>
      <c r="J52" s="42">
        <f t="shared" si="47"/>
        <v>2.1401580212985225</v>
      </c>
      <c r="K52" s="42">
        <f t="shared" si="47"/>
        <v>4.280316042597045</v>
      </c>
      <c r="L52" s="42">
        <f t="shared" si="47"/>
        <v>8.56063208519409</v>
      </c>
      <c r="M52" s="42">
        <f t="shared" si="47"/>
        <v>17.12126417038818</v>
      </c>
      <c r="N52" s="42">
        <f t="shared" si="47"/>
        <v>34.24252834077636</v>
      </c>
      <c r="O52" s="42">
        <f t="shared" si="47"/>
        <v>68.48505668155272</v>
      </c>
      <c r="P52" s="42">
        <f t="shared" si="47"/>
        <v>136.97011336310544</v>
      </c>
      <c r="Q52" s="42">
        <f t="shared" si="47"/>
        <v>273.94022672621088</v>
      </c>
      <c r="R52" s="42">
        <f t="shared" si="47"/>
        <v>547.88045345242176</v>
      </c>
      <c r="S52" s="42">
        <f t="shared" si="47"/>
        <v>1095.7609069048435</v>
      </c>
      <c r="T52" s="42">
        <f t="shared" si="47"/>
        <v>2191.521813809687</v>
      </c>
      <c r="U52" s="42">
        <f t="shared" si="47"/>
        <v>4383.0436276193741</v>
      </c>
      <c r="V52" s="42">
        <f t="shared" si="47"/>
        <v>8766.0872552387482</v>
      </c>
      <c r="W52" s="42">
        <f t="shared" si="47"/>
        <v>17532.174510477496</v>
      </c>
      <c r="X52" s="42">
        <f t="shared" si="47"/>
        <v>35064.349020954993</v>
      </c>
      <c r="Y52" s="41">
        <f t="shared" si="47"/>
        <v>70128.698041909985</v>
      </c>
      <c r="Z52" s="42">
        <f t="shared" si="47"/>
        <v>140257.39608381997</v>
      </c>
      <c r="AA52" s="83">
        <f t="shared" si="47"/>
        <v>219443.24287186534</v>
      </c>
      <c r="AB52" s="57"/>
    </row>
    <row r="53" spans="1:28" x14ac:dyDescent="0.25">
      <c r="A53" s="53" t="s">
        <v>15</v>
      </c>
      <c r="B53" s="18">
        <f>'ABS Population by Age Range'!D85</f>
        <v>0.10301766910746854</v>
      </c>
      <c r="C53" s="22">
        <f t="shared" si="45"/>
        <v>2640754.9299008488</v>
      </c>
      <c r="D53" s="35">
        <f>'AU Infection Rate by Age'!C6</f>
        <v>0.1683270353830299</v>
      </c>
      <c r="E53" s="29"/>
      <c r="F53" s="22"/>
      <c r="G53" s="32">
        <f t="shared" ref="G53:AA53" si="48">G$18*$D$53</f>
        <v>5.2602198557196846</v>
      </c>
      <c r="H53" s="33">
        <f t="shared" si="48"/>
        <v>10.520439711439369</v>
      </c>
      <c r="I53" s="33">
        <f t="shared" si="48"/>
        <v>21.040879422878739</v>
      </c>
      <c r="J53" s="33">
        <f t="shared" si="48"/>
        <v>42.081758845757477</v>
      </c>
      <c r="K53" s="33">
        <f t="shared" si="48"/>
        <v>84.163517691514954</v>
      </c>
      <c r="L53" s="33">
        <f t="shared" si="48"/>
        <v>168.32703538302991</v>
      </c>
      <c r="M53" s="33">
        <f t="shared" si="48"/>
        <v>336.65407076605982</v>
      </c>
      <c r="N53" s="33">
        <f t="shared" si="48"/>
        <v>673.30814153211963</v>
      </c>
      <c r="O53" s="33">
        <f t="shared" si="48"/>
        <v>1346.6162830642393</v>
      </c>
      <c r="P53" s="33">
        <f t="shared" si="48"/>
        <v>2693.2325661284785</v>
      </c>
      <c r="Q53" s="33">
        <f t="shared" si="48"/>
        <v>5386.4651322569571</v>
      </c>
      <c r="R53" s="33">
        <f t="shared" si="48"/>
        <v>10772.930264513914</v>
      </c>
      <c r="S53" s="33">
        <f t="shared" si="48"/>
        <v>21545.860529027828</v>
      </c>
      <c r="T53" s="33">
        <f t="shared" si="48"/>
        <v>43091.721058055657</v>
      </c>
      <c r="U53" s="33">
        <f t="shared" si="48"/>
        <v>86183.442116111313</v>
      </c>
      <c r="V53" s="33">
        <f t="shared" si="48"/>
        <v>172366.88423222263</v>
      </c>
      <c r="W53" s="33">
        <f t="shared" si="48"/>
        <v>344733.76846444525</v>
      </c>
      <c r="X53" s="33">
        <f t="shared" si="48"/>
        <v>689467.53692889051</v>
      </c>
      <c r="Y53" s="32">
        <f t="shared" si="48"/>
        <v>1378935.073857781</v>
      </c>
      <c r="Z53" s="33">
        <f t="shared" si="48"/>
        <v>2757870.147715562</v>
      </c>
      <c r="AA53" s="84">
        <f t="shared" si="48"/>
        <v>4314895.2250085883</v>
      </c>
      <c r="AB53" s="57"/>
    </row>
    <row r="54" spans="1:28" x14ac:dyDescent="0.25">
      <c r="A54" s="53"/>
      <c r="B54" s="18"/>
      <c r="C54" s="22"/>
      <c r="D54" s="20"/>
      <c r="E54" s="39">
        <v>3.5999999999999997E-2</v>
      </c>
      <c r="F54" s="22"/>
      <c r="G54" s="41">
        <f t="shared" ref="G54:AA54" si="49">G$18*$D$53*$E$54</f>
        <v>0.18936791480590864</v>
      </c>
      <c r="H54" s="42">
        <f t="shared" si="49"/>
        <v>0.37873582961181729</v>
      </c>
      <c r="I54" s="42">
        <f t="shared" si="49"/>
        <v>0.75747165922363457</v>
      </c>
      <c r="J54" s="42">
        <f t="shared" si="49"/>
        <v>1.5149433184472691</v>
      </c>
      <c r="K54" s="42">
        <f t="shared" si="49"/>
        <v>3.0298866368945383</v>
      </c>
      <c r="L54" s="42">
        <f t="shared" si="49"/>
        <v>6.0597732737890766</v>
      </c>
      <c r="M54" s="42">
        <f t="shared" si="49"/>
        <v>12.119546547578153</v>
      </c>
      <c r="N54" s="42">
        <f t="shared" si="49"/>
        <v>24.239093095156306</v>
      </c>
      <c r="O54" s="42">
        <f t="shared" si="49"/>
        <v>48.478186190312613</v>
      </c>
      <c r="P54" s="42">
        <f t="shared" si="49"/>
        <v>96.956372380625226</v>
      </c>
      <c r="Q54" s="42">
        <f t="shared" si="49"/>
        <v>193.91274476125045</v>
      </c>
      <c r="R54" s="42">
        <f t="shared" si="49"/>
        <v>387.8254895225009</v>
      </c>
      <c r="S54" s="42">
        <f t="shared" si="49"/>
        <v>775.6509790450018</v>
      </c>
      <c r="T54" s="42">
        <f t="shared" si="49"/>
        <v>1551.3019580900036</v>
      </c>
      <c r="U54" s="42">
        <f t="shared" si="49"/>
        <v>3102.6039161800072</v>
      </c>
      <c r="V54" s="42">
        <f t="shared" si="49"/>
        <v>6205.2078323600144</v>
      </c>
      <c r="W54" s="42">
        <f t="shared" si="49"/>
        <v>12410.415664720029</v>
      </c>
      <c r="X54" s="42">
        <f t="shared" si="49"/>
        <v>24820.831329440058</v>
      </c>
      <c r="Y54" s="41">
        <f t="shared" si="49"/>
        <v>49641.662658880115</v>
      </c>
      <c r="Z54" s="42">
        <f t="shared" si="49"/>
        <v>99283.325317760231</v>
      </c>
      <c r="AA54" s="83">
        <f t="shared" si="49"/>
        <v>155336.22810030918</v>
      </c>
      <c r="AB54" s="57"/>
    </row>
    <row r="55" spans="1:28" x14ac:dyDescent="0.25">
      <c r="A55" s="53" t="s">
        <v>16</v>
      </c>
      <c r="B55" s="18">
        <f>'ABS Population by Age Range'!D73</f>
        <v>0.12142789925761971</v>
      </c>
      <c r="C55" s="22">
        <f t="shared" si="45"/>
        <v>3112682.7695698235</v>
      </c>
      <c r="D55" s="35">
        <f>'AU Infection Rate by Age'!C7</f>
        <v>0.15527310202679492</v>
      </c>
      <c r="E55" s="29"/>
      <c r="F55" s="22"/>
      <c r="G55" s="32">
        <f t="shared" ref="G55:AA55" si="50">G$18*$D$55</f>
        <v>4.8522844383373416</v>
      </c>
      <c r="H55" s="33">
        <f t="shared" si="50"/>
        <v>9.7045688766746832</v>
      </c>
      <c r="I55" s="33">
        <f t="shared" si="50"/>
        <v>19.409137753349366</v>
      </c>
      <c r="J55" s="33">
        <f t="shared" si="50"/>
        <v>38.818275506698733</v>
      </c>
      <c r="K55" s="33">
        <f t="shared" si="50"/>
        <v>77.636551013397465</v>
      </c>
      <c r="L55" s="33">
        <f t="shared" si="50"/>
        <v>155.27310202679493</v>
      </c>
      <c r="M55" s="33">
        <f t="shared" si="50"/>
        <v>310.54620405358986</v>
      </c>
      <c r="N55" s="33">
        <f t="shared" si="50"/>
        <v>621.09240810717972</v>
      </c>
      <c r="O55" s="33">
        <f t="shared" si="50"/>
        <v>1242.1848162143594</v>
      </c>
      <c r="P55" s="33">
        <f t="shared" si="50"/>
        <v>2484.3696324287189</v>
      </c>
      <c r="Q55" s="33">
        <f t="shared" si="50"/>
        <v>4968.7392648574378</v>
      </c>
      <c r="R55" s="33">
        <f t="shared" si="50"/>
        <v>9937.4785297148755</v>
      </c>
      <c r="S55" s="33">
        <f t="shared" si="50"/>
        <v>19874.957059429751</v>
      </c>
      <c r="T55" s="33">
        <f t="shared" si="50"/>
        <v>39749.914118859502</v>
      </c>
      <c r="U55" s="33">
        <f t="shared" si="50"/>
        <v>79499.828237719004</v>
      </c>
      <c r="V55" s="33">
        <f t="shared" si="50"/>
        <v>158999.65647543801</v>
      </c>
      <c r="W55" s="33">
        <f t="shared" si="50"/>
        <v>317999.31295087602</v>
      </c>
      <c r="X55" s="33">
        <f t="shared" si="50"/>
        <v>635998.62590175204</v>
      </c>
      <c r="Y55" s="32">
        <f t="shared" si="50"/>
        <v>1271997.2518035041</v>
      </c>
      <c r="Z55" s="33">
        <f t="shared" si="50"/>
        <v>2543994.5036070081</v>
      </c>
      <c r="AA55" s="84">
        <f t="shared" si="50"/>
        <v>3980270.6973548611</v>
      </c>
      <c r="AB55" s="57"/>
    </row>
    <row r="56" spans="1:28" x14ac:dyDescent="0.25">
      <c r="A56" s="53"/>
      <c r="B56" s="18"/>
      <c r="C56" s="22"/>
      <c r="D56" s="20"/>
      <c r="E56" s="39">
        <v>1.2999999999999999E-2</v>
      </c>
      <c r="F56" s="22"/>
      <c r="G56" s="41">
        <f t="shared" ref="G56:AA56" si="51">G$18*$D$55*$E$56</f>
        <v>6.3079697698385437E-2</v>
      </c>
      <c r="H56" s="42">
        <f t="shared" si="51"/>
        <v>0.12615939539677087</v>
      </c>
      <c r="I56" s="42">
        <f t="shared" si="51"/>
        <v>0.25231879079354175</v>
      </c>
      <c r="J56" s="42">
        <f t="shared" si="51"/>
        <v>0.50463758158708349</v>
      </c>
      <c r="K56" s="42">
        <f t="shared" si="51"/>
        <v>1.009275163174167</v>
      </c>
      <c r="L56" s="42">
        <f t="shared" si="51"/>
        <v>2.018550326348334</v>
      </c>
      <c r="M56" s="42">
        <f t="shared" si="51"/>
        <v>4.037100652696668</v>
      </c>
      <c r="N56" s="42">
        <f t="shared" si="51"/>
        <v>8.0742013053933359</v>
      </c>
      <c r="O56" s="42">
        <f t="shared" si="51"/>
        <v>16.148402610786672</v>
      </c>
      <c r="P56" s="42">
        <f t="shared" si="51"/>
        <v>32.296805221573344</v>
      </c>
      <c r="Q56" s="42">
        <f t="shared" si="51"/>
        <v>64.593610443146687</v>
      </c>
      <c r="R56" s="42">
        <f t="shared" si="51"/>
        <v>129.18722088629337</v>
      </c>
      <c r="S56" s="42">
        <f t="shared" si="51"/>
        <v>258.37444177258675</v>
      </c>
      <c r="T56" s="42">
        <f t="shared" si="51"/>
        <v>516.7488835451735</v>
      </c>
      <c r="U56" s="42">
        <f t="shared" si="51"/>
        <v>1033.497767090347</v>
      </c>
      <c r="V56" s="42">
        <f t="shared" si="51"/>
        <v>2066.995534180694</v>
      </c>
      <c r="W56" s="42">
        <f t="shared" si="51"/>
        <v>4133.991068361388</v>
      </c>
      <c r="X56" s="42">
        <f t="shared" si="51"/>
        <v>8267.982136722776</v>
      </c>
      <c r="Y56" s="41">
        <f t="shared" si="51"/>
        <v>16535.964273445552</v>
      </c>
      <c r="Z56" s="42">
        <f t="shared" si="51"/>
        <v>33071.928546891104</v>
      </c>
      <c r="AA56" s="83">
        <f t="shared" si="51"/>
        <v>51743.519065613189</v>
      </c>
      <c r="AB56" s="57"/>
    </row>
    <row r="57" spans="1:28" x14ac:dyDescent="0.25">
      <c r="A57" s="53" t="s">
        <v>17</v>
      </c>
      <c r="B57" s="18">
        <f>'ABS Population by Age Range'!D61</f>
        <v>0.12908272398046944</v>
      </c>
      <c r="C57" s="22">
        <f t="shared" si="45"/>
        <v>3308906.5465153535</v>
      </c>
      <c r="D57" s="35">
        <f>'AU Infection Rate by Age'!C8</f>
        <v>0.1288217107523188</v>
      </c>
      <c r="E57" s="29"/>
      <c r="F57" s="22"/>
      <c r="G57" s="32">
        <f t="shared" ref="G57:AA57" si="52">G$18*$D$57</f>
        <v>4.0256784610099627</v>
      </c>
      <c r="H57" s="33">
        <f t="shared" si="52"/>
        <v>8.0513569220199255</v>
      </c>
      <c r="I57" s="33">
        <f t="shared" si="52"/>
        <v>16.102713844039851</v>
      </c>
      <c r="J57" s="33">
        <f t="shared" si="52"/>
        <v>32.205427688079702</v>
      </c>
      <c r="K57" s="33">
        <f t="shared" si="52"/>
        <v>64.410855376159404</v>
      </c>
      <c r="L57" s="33">
        <f t="shared" si="52"/>
        <v>128.82171075231881</v>
      </c>
      <c r="M57" s="33">
        <f t="shared" si="52"/>
        <v>257.64342150463762</v>
      </c>
      <c r="N57" s="33">
        <f t="shared" si="52"/>
        <v>515.28684300927523</v>
      </c>
      <c r="O57" s="33">
        <f t="shared" si="52"/>
        <v>1030.5736860185505</v>
      </c>
      <c r="P57" s="33">
        <f t="shared" si="52"/>
        <v>2061.1473720371009</v>
      </c>
      <c r="Q57" s="33">
        <f t="shared" si="52"/>
        <v>4122.2947440742018</v>
      </c>
      <c r="R57" s="33">
        <f t="shared" si="52"/>
        <v>8244.5894881484037</v>
      </c>
      <c r="S57" s="33">
        <f t="shared" si="52"/>
        <v>16489.178976296807</v>
      </c>
      <c r="T57" s="33">
        <f t="shared" si="52"/>
        <v>32978.357952593615</v>
      </c>
      <c r="U57" s="33">
        <f t="shared" si="52"/>
        <v>65956.71590518723</v>
      </c>
      <c r="V57" s="33">
        <f t="shared" si="52"/>
        <v>131913.43181037446</v>
      </c>
      <c r="W57" s="33">
        <f t="shared" si="52"/>
        <v>263826.86362074892</v>
      </c>
      <c r="X57" s="33">
        <f t="shared" si="52"/>
        <v>527653.72724149784</v>
      </c>
      <c r="Y57" s="32">
        <f t="shared" si="52"/>
        <v>1055307.4544829957</v>
      </c>
      <c r="Z57" s="33">
        <f t="shared" si="52"/>
        <v>2110614.9089659913</v>
      </c>
      <c r="AA57" s="84">
        <f t="shared" si="52"/>
        <v>3302215.7334249401</v>
      </c>
      <c r="AB57" s="57"/>
    </row>
    <row r="58" spans="1:28" x14ac:dyDescent="0.25">
      <c r="A58" s="53"/>
      <c r="B58" s="18"/>
      <c r="C58" s="22"/>
      <c r="D58" s="20"/>
      <c r="E58" s="39">
        <v>4.0000000000000001E-3</v>
      </c>
      <c r="F58" s="22"/>
      <c r="G58" s="41">
        <f t="shared" ref="G58:AA58" si="53">G$18*$D$57*$E$58</f>
        <v>1.610271384403985E-2</v>
      </c>
      <c r="H58" s="42">
        <f t="shared" si="53"/>
        <v>3.2205427688079699E-2</v>
      </c>
      <c r="I58" s="42">
        <f t="shared" si="53"/>
        <v>6.4410855376159398E-2</v>
      </c>
      <c r="J58" s="42">
        <f t="shared" si="53"/>
        <v>0.1288217107523188</v>
      </c>
      <c r="K58" s="42">
        <f t="shared" si="53"/>
        <v>0.25764342150463759</v>
      </c>
      <c r="L58" s="42">
        <f t="shared" si="53"/>
        <v>0.51528684300927519</v>
      </c>
      <c r="M58" s="42">
        <f t="shared" si="53"/>
        <v>1.0305736860185504</v>
      </c>
      <c r="N58" s="42">
        <f t="shared" si="53"/>
        <v>2.0611473720371007</v>
      </c>
      <c r="O58" s="42">
        <f t="shared" si="53"/>
        <v>4.1222947440742015</v>
      </c>
      <c r="P58" s="42">
        <f t="shared" si="53"/>
        <v>8.244589488148403</v>
      </c>
      <c r="Q58" s="42">
        <f t="shared" si="53"/>
        <v>16.489178976296806</v>
      </c>
      <c r="R58" s="42">
        <f t="shared" si="53"/>
        <v>32.978357952593612</v>
      </c>
      <c r="S58" s="42">
        <f t="shared" si="53"/>
        <v>65.956715905187224</v>
      </c>
      <c r="T58" s="42">
        <f t="shared" si="53"/>
        <v>131.91343181037445</v>
      </c>
      <c r="U58" s="42">
        <f t="shared" si="53"/>
        <v>263.8268636207489</v>
      </c>
      <c r="V58" s="42">
        <f t="shared" si="53"/>
        <v>527.65372724149779</v>
      </c>
      <c r="W58" s="42">
        <f t="shared" si="53"/>
        <v>1055.3074544829956</v>
      </c>
      <c r="X58" s="42">
        <f t="shared" si="53"/>
        <v>2110.6149089659912</v>
      </c>
      <c r="Y58" s="41">
        <f t="shared" si="53"/>
        <v>4221.2298179319823</v>
      </c>
      <c r="Z58" s="42">
        <f t="shared" si="53"/>
        <v>8442.4596358639646</v>
      </c>
      <c r="AA58" s="83">
        <f t="shared" si="53"/>
        <v>13208.86293369976</v>
      </c>
      <c r="AB58" s="57"/>
    </row>
    <row r="59" spans="1:28" x14ac:dyDescent="0.25">
      <c r="A59" s="53" t="s">
        <v>18</v>
      </c>
      <c r="B59" s="18">
        <f>'ABS Population by Age Range'!D49</f>
        <v>0.14481341657950456</v>
      </c>
      <c r="C59" s="22">
        <f t="shared" si="45"/>
        <v>3712147.1205990198</v>
      </c>
      <c r="D59" s="35">
        <f>'AU Infection Rate by Age'!C9</f>
        <v>0.15802129852284438</v>
      </c>
      <c r="E59" s="29"/>
      <c r="F59" s="22"/>
      <c r="G59" s="32">
        <f t="shared" ref="G59:AA59" si="54">G$18*$D$59</f>
        <v>4.9381655788388867</v>
      </c>
      <c r="H59" s="33">
        <f t="shared" si="54"/>
        <v>9.8763311576777735</v>
      </c>
      <c r="I59" s="33">
        <f t="shared" si="54"/>
        <v>19.752662315355547</v>
      </c>
      <c r="J59" s="33">
        <f t="shared" si="54"/>
        <v>39.505324630711094</v>
      </c>
      <c r="K59" s="33">
        <f t="shared" si="54"/>
        <v>79.010649261422188</v>
      </c>
      <c r="L59" s="33">
        <f t="shared" si="54"/>
        <v>158.02129852284438</v>
      </c>
      <c r="M59" s="33">
        <f t="shared" si="54"/>
        <v>316.04259704568875</v>
      </c>
      <c r="N59" s="33">
        <f t="shared" si="54"/>
        <v>632.0851940913775</v>
      </c>
      <c r="O59" s="33">
        <f t="shared" si="54"/>
        <v>1264.170388182755</v>
      </c>
      <c r="P59" s="33">
        <f t="shared" si="54"/>
        <v>2528.34077636551</v>
      </c>
      <c r="Q59" s="33">
        <f t="shared" si="54"/>
        <v>5056.68155273102</v>
      </c>
      <c r="R59" s="33">
        <f t="shared" si="54"/>
        <v>10113.36310546204</v>
      </c>
      <c r="S59" s="33">
        <f t="shared" si="54"/>
        <v>20226.72621092408</v>
      </c>
      <c r="T59" s="33">
        <f t="shared" si="54"/>
        <v>40453.45242184816</v>
      </c>
      <c r="U59" s="33">
        <f t="shared" si="54"/>
        <v>80906.90484369632</v>
      </c>
      <c r="V59" s="33">
        <f t="shared" si="54"/>
        <v>161813.80968739264</v>
      </c>
      <c r="W59" s="33">
        <f t="shared" si="54"/>
        <v>323627.61937478528</v>
      </c>
      <c r="X59" s="33">
        <f t="shared" si="54"/>
        <v>647255.23874957056</v>
      </c>
      <c r="Y59" s="32">
        <f t="shared" si="54"/>
        <v>1294510.4774991411</v>
      </c>
      <c r="Z59" s="33">
        <f t="shared" si="54"/>
        <v>2589020.9549982823</v>
      </c>
      <c r="AA59" s="84">
        <f t="shared" si="54"/>
        <v>4050717.966334593</v>
      </c>
      <c r="AB59" s="57"/>
    </row>
    <row r="60" spans="1:28" x14ac:dyDescent="0.25">
      <c r="A60" s="53"/>
      <c r="B60" s="18"/>
      <c r="C60" s="22"/>
      <c r="D60" s="20"/>
      <c r="E60" s="39">
        <v>2E-3</v>
      </c>
      <c r="F60" s="22"/>
      <c r="G60" s="41">
        <f t="shared" ref="G60:AA60" si="55">G$18*$D$59*$E$60</f>
        <v>9.876331157677774E-3</v>
      </c>
      <c r="H60" s="42">
        <f t="shared" si="55"/>
        <v>1.9752662315355548E-2</v>
      </c>
      <c r="I60" s="42">
        <f t="shared" si="55"/>
        <v>3.9505324630711096E-2</v>
      </c>
      <c r="J60" s="42">
        <f t="shared" si="55"/>
        <v>7.9010649261422192E-2</v>
      </c>
      <c r="K60" s="42">
        <f t="shared" si="55"/>
        <v>0.15802129852284438</v>
      </c>
      <c r="L60" s="42">
        <f t="shared" si="55"/>
        <v>0.31604259704568877</v>
      </c>
      <c r="M60" s="42">
        <f t="shared" si="55"/>
        <v>0.63208519409137753</v>
      </c>
      <c r="N60" s="42">
        <f t="shared" si="55"/>
        <v>1.2641703881827551</v>
      </c>
      <c r="O60" s="42">
        <f t="shared" si="55"/>
        <v>2.5283407763655101</v>
      </c>
      <c r="P60" s="42">
        <f t="shared" si="55"/>
        <v>5.0566815527310203</v>
      </c>
      <c r="Q60" s="42">
        <f t="shared" si="55"/>
        <v>10.113363105462041</v>
      </c>
      <c r="R60" s="42">
        <f t="shared" si="55"/>
        <v>20.226726210924081</v>
      </c>
      <c r="S60" s="42">
        <f t="shared" si="55"/>
        <v>40.453452421848162</v>
      </c>
      <c r="T60" s="42">
        <f t="shared" si="55"/>
        <v>80.906904843696324</v>
      </c>
      <c r="U60" s="42">
        <f t="shared" si="55"/>
        <v>161.81380968739265</v>
      </c>
      <c r="V60" s="42">
        <f t="shared" si="55"/>
        <v>323.6276193747853</v>
      </c>
      <c r="W60" s="42">
        <f t="shared" si="55"/>
        <v>647.25523874957059</v>
      </c>
      <c r="X60" s="42">
        <f t="shared" si="55"/>
        <v>1294.5104774991412</v>
      </c>
      <c r="Y60" s="41">
        <f t="shared" si="55"/>
        <v>2589.0209549982824</v>
      </c>
      <c r="Z60" s="42">
        <f t="shared" si="55"/>
        <v>5178.0419099965648</v>
      </c>
      <c r="AA60" s="83">
        <f t="shared" si="55"/>
        <v>8101.4359326691865</v>
      </c>
      <c r="AB60" s="57"/>
    </row>
    <row r="61" spans="1:28" x14ac:dyDescent="0.25">
      <c r="A61" s="53" t="s">
        <v>19</v>
      </c>
      <c r="B61" s="18">
        <f>'ABS Population by Age Range'!D37</f>
        <v>0.14458334093878666</v>
      </c>
      <c r="C61" s="22">
        <f t="shared" si="45"/>
        <v>3706249.3616248574</v>
      </c>
      <c r="D61" s="35">
        <f>'AU Infection Rate by Age'!C10</f>
        <v>0.21521813809687393</v>
      </c>
      <c r="E61" s="29"/>
      <c r="F61" s="22"/>
      <c r="G61" s="32">
        <f t="shared" ref="G61:AA61" si="56">G$18*$D$61</f>
        <v>6.7255668155273103</v>
      </c>
      <c r="H61" s="33">
        <f t="shared" si="56"/>
        <v>13.451133631054621</v>
      </c>
      <c r="I61" s="33">
        <f t="shared" si="56"/>
        <v>26.902267262109241</v>
      </c>
      <c r="J61" s="33">
        <f t="shared" si="56"/>
        <v>53.804534524218482</v>
      </c>
      <c r="K61" s="33">
        <f t="shared" si="56"/>
        <v>107.60906904843696</v>
      </c>
      <c r="L61" s="33">
        <f t="shared" si="56"/>
        <v>215.21813809687393</v>
      </c>
      <c r="M61" s="33">
        <f t="shared" si="56"/>
        <v>430.43627619374786</v>
      </c>
      <c r="N61" s="33">
        <f t="shared" si="56"/>
        <v>860.87255238749572</v>
      </c>
      <c r="O61" s="33">
        <f t="shared" si="56"/>
        <v>1721.7451047749914</v>
      </c>
      <c r="P61" s="33">
        <f t="shared" si="56"/>
        <v>3443.4902095499829</v>
      </c>
      <c r="Q61" s="33">
        <f t="shared" si="56"/>
        <v>6886.9804190999657</v>
      </c>
      <c r="R61" s="33">
        <f t="shared" si="56"/>
        <v>13773.960838199931</v>
      </c>
      <c r="S61" s="33">
        <f t="shared" si="56"/>
        <v>27547.921676399863</v>
      </c>
      <c r="T61" s="33">
        <f t="shared" si="56"/>
        <v>55095.843352799726</v>
      </c>
      <c r="U61" s="33">
        <f t="shared" si="56"/>
        <v>110191.68670559945</v>
      </c>
      <c r="V61" s="33">
        <f t="shared" si="56"/>
        <v>220383.3734111989</v>
      </c>
      <c r="W61" s="33">
        <f t="shared" si="56"/>
        <v>440766.74682239781</v>
      </c>
      <c r="X61" s="33">
        <f t="shared" si="56"/>
        <v>881533.49364479561</v>
      </c>
      <c r="Y61" s="32">
        <f t="shared" si="56"/>
        <v>1763066.9872895912</v>
      </c>
      <c r="Z61" s="33">
        <f t="shared" si="56"/>
        <v>3526133.9745791825</v>
      </c>
      <c r="AA61" s="84">
        <f t="shared" si="56"/>
        <v>5516901.7519752663</v>
      </c>
      <c r="AB61" s="57"/>
    </row>
    <row r="62" spans="1:28" x14ac:dyDescent="0.25">
      <c r="A62" s="53"/>
      <c r="B62" s="18"/>
      <c r="C62" s="22"/>
      <c r="D62" s="20"/>
      <c r="E62" s="39">
        <v>2E-3</v>
      </c>
      <c r="F62" s="22"/>
      <c r="G62" s="41">
        <f t="shared" ref="G62:AA62" si="57">G$18*$D$61*$E$62</f>
        <v>1.3451133631054621E-2</v>
      </c>
      <c r="H62" s="42">
        <f t="shared" si="57"/>
        <v>2.6902267262109241E-2</v>
      </c>
      <c r="I62" s="42">
        <f t="shared" si="57"/>
        <v>5.3804534524218482E-2</v>
      </c>
      <c r="J62" s="42">
        <f t="shared" si="57"/>
        <v>0.10760906904843696</v>
      </c>
      <c r="K62" s="42">
        <f t="shared" si="57"/>
        <v>0.21521813809687393</v>
      </c>
      <c r="L62" s="42">
        <f t="shared" si="57"/>
        <v>0.43043627619374786</v>
      </c>
      <c r="M62" s="42">
        <f t="shared" si="57"/>
        <v>0.86087255238749572</v>
      </c>
      <c r="N62" s="42">
        <f t="shared" si="57"/>
        <v>1.7217451047749914</v>
      </c>
      <c r="O62" s="42">
        <f t="shared" si="57"/>
        <v>3.4434902095499829</v>
      </c>
      <c r="P62" s="42">
        <f t="shared" si="57"/>
        <v>6.8869804190999657</v>
      </c>
      <c r="Q62" s="42">
        <f t="shared" si="57"/>
        <v>13.773960838199931</v>
      </c>
      <c r="R62" s="42">
        <f t="shared" si="57"/>
        <v>27.547921676399863</v>
      </c>
      <c r="S62" s="42">
        <f t="shared" si="57"/>
        <v>55.095843352799726</v>
      </c>
      <c r="T62" s="42">
        <f t="shared" si="57"/>
        <v>110.19168670559945</v>
      </c>
      <c r="U62" s="42">
        <f t="shared" si="57"/>
        <v>220.3833734111989</v>
      </c>
      <c r="V62" s="42">
        <f t="shared" si="57"/>
        <v>440.76674682239781</v>
      </c>
      <c r="W62" s="42">
        <f t="shared" si="57"/>
        <v>881.53349364479561</v>
      </c>
      <c r="X62" s="42">
        <f t="shared" si="57"/>
        <v>1763.0669872895912</v>
      </c>
      <c r="Y62" s="41">
        <f t="shared" si="57"/>
        <v>3526.1339745791824</v>
      </c>
      <c r="Z62" s="42">
        <f t="shared" si="57"/>
        <v>7052.2679491583649</v>
      </c>
      <c r="AA62" s="83">
        <f t="shared" si="57"/>
        <v>11033.803503950532</v>
      </c>
      <c r="AB62" s="57"/>
    </row>
    <row r="63" spans="1:28" x14ac:dyDescent="0.25">
      <c r="A63" s="54" t="s">
        <v>20</v>
      </c>
      <c r="B63" s="18">
        <f>'ABS Population by Age Range'!D25</f>
        <v>0.12056476079328157</v>
      </c>
      <c r="C63" s="22">
        <f t="shared" si="45"/>
        <v>3090557.0781749799</v>
      </c>
      <c r="D63" s="35">
        <f>'AU Infection Rate by Age'!C11</f>
        <v>2.8684300927516317E-2</v>
      </c>
      <c r="E63" s="29"/>
      <c r="F63" s="22"/>
      <c r="G63" s="32">
        <f t="shared" ref="G63:AA63" si="58">G$18*$D$63</f>
        <v>0.89638440398488495</v>
      </c>
      <c r="H63" s="33">
        <f t="shared" si="58"/>
        <v>1.7927688079697699</v>
      </c>
      <c r="I63" s="33">
        <f t="shared" si="58"/>
        <v>3.5855376159395398</v>
      </c>
      <c r="J63" s="33">
        <f t="shared" si="58"/>
        <v>7.1710752318790796</v>
      </c>
      <c r="K63" s="33">
        <f t="shared" si="58"/>
        <v>14.342150463758159</v>
      </c>
      <c r="L63" s="33">
        <f t="shared" si="58"/>
        <v>28.684300927516318</v>
      </c>
      <c r="M63" s="33">
        <f t="shared" si="58"/>
        <v>57.368601855032637</v>
      </c>
      <c r="N63" s="33">
        <f t="shared" si="58"/>
        <v>114.73720371006527</v>
      </c>
      <c r="O63" s="33">
        <f t="shared" si="58"/>
        <v>229.47440742013055</v>
      </c>
      <c r="P63" s="33">
        <f t="shared" si="58"/>
        <v>458.94881484026109</v>
      </c>
      <c r="Q63" s="33">
        <f t="shared" si="58"/>
        <v>917.89762968052219</v>
      </c>
      <c r="R63" s="33">
        <f t="shared" si="58"/>
        <v>1835.7952593610444</v>
      </c>
      <c r="S63" s="33">
        <f t="shared" si="58"/>
        <v>3671.5905187220887</v>
      </c>
      <c r="T63" s="33">
        <f t="shared" si="58"/>
        <v>7343.1810374441775</v>
      </c>
      <c r="U63" s="33">
        <f t="shared" si="58"/>
        <v>14686.362074888355</v>
      </c>
      <c r="V63" s="33">
        <f t="shared" si="58"/>
        <v>29372.72414977671</v>
      </c>
      <c r="W63" s="33">
        <f t="shared" si="58"/>
        <v>58745.44829955342</v>
      </c>
      <c r="X63" s="33">
        <f t="shared" si="58"/>
        <v>117490.89659910684</v>
      </c>
      <c r="Y63" s="32">
        <f t="shared" si="58"/>
        <v>234981.79319821368</v>
      </c>
      <c r="Z63" s="33">
        <f t="shared" si="58"/>
        <v>469963.58639642736</v>
      </c>
      <c r="AA63" s="84">
        <f t="shared" si="58"/>
        <v>735293.36997595325</v>
      </c>
      <c r="AB63" s="57"/>
    </row>
    <row r="64" spans="1:28" x14ac:dyDescent="0.25">
      <c r="A64" s="54"/>
      <c r="B64" s="18"/>
      <c r="C64" s="22"/>
      <c r="D64" s="20"/>
      <c r="E64" s="39">
        <v>2E-3</v>
      </c>
      <c r="F64" s="22"/>
      <c r="G64" s="41">
        <f t="shared" ref="G64:AA64" si="59">G$18*$D$63*$E$64</f>
        <v>1.79276880796977E-3</v>
      </c>
      <c r="H64" s="42">
        <f t="shared" si="59"/>
        <v>3.58553761593954E-3</v>
      </c>
      <c r="I64" s="42">
        <f t="shared" si="59"/>
        <v>7.17107523187908E-3</v>
      </c>
      <c r="J64" s="42">
        <f t="shared" si="59"/>
        <v>1.434215046375816E-2</v>
      </c>
      <c r="K64" s="42">
        <f t="shared" si="59"/>
        <v>2.868430092751632E-2</v>
      </c>
      <c r="L64" s="42">
        <f t="shared" si="59"/>
        <v>5.736860185503264E-2</v>
      </c>
      <c r="M64" s="42">
        <f t="shared" si="59"/>
        <v>0.11473720371006528</v>
      </c>
      <c r="N64" s="42">
        <f t="shared" si="59"/>
        <v>0.22947440742013056</v>
      </c>
      <c r="O64" s="42">
        <f t="shared" si="59"/>
        <v>0.45894881484026112</v>
      </c>
      <c r="P64" s="42">
        <f t="shared" si="59"/>
        <v>0.91789762968052224</v>
      </c>
      <c r="Q64" s="42">
        <f t="shared" si="59"/>
        <v>1.8357952593610445</v>
      </c>
      <c r="R64" s="42">
        <f t="shared" si="59"/>
        <v>3.671590518722089</v>
      </c>
      <c r="S64" s="42">
        <f t="shared" si="59"/>
        <v>7.3431810374441779</v>
      </c>
      <c r="T64" s="42">
        <f t="shared" si="59"/>
        <v>14.686362074888356</v>
      </c>
      <c r="U64" s="42">
        <f t="shared" si="59"/>
        <v>29.372724149776712</v>
      </c>
      <c r="V64" s="42">
        <f t="shared" si="59"/>
        <v>58.745448299553424</v>
      </c>
      <c r="W64" s="42">
        <f t="shared" si="59"/>
        <v>117.49089659910685</v>
      </c>
      <c r="X64" s="42">
        <f t="shared" si="59"/>
        <v>234.98179319821369</v>
      </c>
      <c r="Y64" s="41">
        <f t="shared" si="59"/>
        <v>469.96358639642739</v>
      </c>
      <c r="Z64" s="42">
        <f t="shared" si="59"/>
        <v>939.92717279285478</v>
      </c>
      <c r="AA64" s="83">
        <f t="shared" si="59"/>
        <v>1470.5867399519066</v>
      </c>
      <c r="AB64" s="57"/>
    </row>
    <row r="65" spans="1:28" x14ac:dyDescent="0.25">
      <c r="A65" s="54" t="s">
        <v>21</v>
      </c>
      <c r="B65" s="18">
        <f>'ABS Population by Age Range'!D13</f>
        <v>0.1255958322404806</v>
      </c>
      <c r="C65" s="22">
        <f t="shared" si="45"/>
        <v>3219523.5636524796</v>
      </c>
      <c r="D65" s="35">
        <f>'AU Infection Rate by Age'!C12</f>
        <v>9.7904500171762283E-3</v>
      </c>
      <c r="E65" s="29"/>
      <c r="F65" s="22"/>
      <c r="G65" s="32">
        <f t="shared" ref="G65:AA65" si="60">G$18*$D$65</f>
        <v>0.30595156303675713</v>
      </c>
      <c r="H65" s="33">
        <f t="shared" si="60"/>
        <v>0.61190312607351427</v>
      </c>
      <c r="I65" s="33">
        <f t="shared" si="60"/>
        <v>1.2238062521470285</v>
      </c>
      <c r="J65" s="33">
        <f t="shared" si="60"/>
        <v>2.4476125042940571</v>
      </c>
      <c r="K65" s="33">
        <f t="shared" si="60"/>
        <v>4.8952250085881142</v>
      </c>
      <c r="L65" s="33">
        <f t="shared" si="60"/>
        <v>9.7904500171762283</v>
      </c>
      <c r="M65" s="33">
        <f t="shared" si="60"/>
        <v>19.580900034352457</v>
      </c>
      <c r="N65" s="33">
        <f t="shared" si="60"/>
        <v>39.161800068704913</v>
      </c>
      <c r="O65" s="33">
        <f t="shared" si="60"/>
        <v>78.323600137409827</v>
      </c>
      <c r="P65" s="33">
        <f t="shared" si="60"/>
        <v>156.64720027481965</v>
      </c>
      <c r="Q65" s="33">
        <f t="shared" si="60"/>
        <v>313.29440054963931</v>
      </c>
      <c r="R65" s="33">
        <f t="shared" si="60"/>
        <v>626.58880109927861</v>
      </c>
      <c r="S65" s="33">
        <f t="shared" si="60"/>
        <v>1253.1776021985572</v>
      </c>
      <c r="T65" s="33">
        <f t="shared" si="60"/>
        <v>2506.3552043971144</v>
      </c>
      <c r="U65" s="33">
        <f t="shared" si="60"/>
        <v>5012.7104087942289</v>
      </c>
      <c r="V65" s="33">
        <f t="shared" si="60"/>
        <v>10025.420817588458</v>
      </c>
      <c r="W65" s="33">
        <f t="shared" si="60"/>
        <v>20050.841635176916</v>
      </c>
      <c r="X65" s="33">
        <f t="shared" si="60"/>
        <v>40101.683270353831</v>
      </c>
      <c r="Y65" s="32">
        <f t="shared" si="60"/>
        <v>80203.366540707662</v>
      </c>
      <c r="Z65" s="33">
        <f t="shared" si="60"/>
        <v>160406.73308141532</v>
      </c>
      <c r="AA65" s="84">
        <f t="shared" si="60"/>
        <v>250968.39574029544</v>
      </c>
      <c r="AB65" s="57"/>
    </row>
    <row r="66" spans="1:28" x14ac:dyDescent="0.25">
      <c r="A66" s="54"/>
      <c r="B66" s="19"/>
      <c r="C66" s="23"/>
      <c r="D66" s="38"/>
      <c r="E66" s="40">
        <v>0</v>
      </c>
      <c r="F66" s="22"/>
      <c r="G66" s="43">
        <f t="shared" ref="G66:AA66" si="61">G$18*$D$65*$E$66</f>
        <v>0</v>
      </c>
      <c r="H66" s="44">
        <f t="shared" si="61"/>
        <v>0</v>
      </c>
      <c r="I66" s="44">
        <f t="shared" si="61"/>
        <v>0</v>
      </c>
      <c r="J66" s="44">
        <f t="shared" si="61"/>
        <v>0</v>
      </c>
      <c r="K66" s="44">
        <f t="shared" si="61"/>
        <v>0</v>
      </c>
      <c r="L66" s="44">
        <f t="shared" si="61"/>
        <v>0</v>
      </c>
      <c r="M66" s="44">
        <f t="shared" si="61"/>
        <v>0</v>
      </c>
      <c r="N66" s="44">
        <f t="shared" si="61"/>
        <v>0</v>
      </c>
      <c r="O66" s="44">
        <f t="shared" si="61"/>
        <v>0</v>
      </c>
      <c r="P66" s="44">
        <f t="shared" si="61"/>
        <v>0</v>
      </c>
      <c r="Q66" s="44">
        <f t="shared" si="61"/>
        <v>0</v>
      </c>
      <c r="R66" s="44">
        <f t="shared" si="61"/>
        <v>0</v>
      </c>
      <c r="S66" s="44">
        <f t="shared" si="61"/>
        <v>0</v>
      </c>
      <c r="T66" s="44">
        <f t="shared" si="61"/>
        <v>0</v>
      </c>
      <c r="U66" s="44">
        <f t="shared" si="61"/>
        <v>0</v>
      </c>
      <c r="V66" s="44">
        <f t="shared" si="61"/>
        <v>0</v>
      </c>
      <c r="W66" s="44">
        <f t="shared" si="61"/>
        <v>0</v>
      </c>
      <c r="X66" s="44">
        <f t="shared" si="61"/>
        <v>0</v>
      </c>
      <c r="Y66" s="43">
        <f t="shared" si="61"/>
        <v>0</v>
      </c>
      <c r="Z66" s="44">
        <f t="shared" si="61"/>
        <v>0</v>
      </c>
      <c r="AA66" s="85">
        <f t="shared" si="61"/>
        <v>0</v>
      </c>
      <c r="AB66" s="57"/>
    </row>
    <row r="67" spans="1:28" x14ac:dyDescent="0.25">
      <c r="A67" s="53" t="s">
        <v>131</v>
      </c>
      <c r="B67" s="26"/>
      <c r="C67" s="22"/>
      <c r="D67" s="22"/>
      <c r="E67" s="27"/>
      <c r="F67" s="22"/>
      <c r="G67" s="30">
        <f t="shared" ref="G67:W67" si="62">SUM(G49,G51,G53,G55,G57,G59,G61,G63,G65)</f>
        <v>31.250000000000004</v>
      </c>
      <c r="H67" s="31">
        <f t="shared" si="62"/>
        <v>62.500000000000007</v>
      </c>
      <c r="I67" s="31">
        <f t="shared" si="62"/>
        <v>125.00000000000001</v>
      </c>
      <c r="J67" s="31">
        <f t="shared" si="62"/>
        <v>250.00000000000003</v>
      </c>
      <c r="K67" s="31">
        <f t="shared" si="62"/>
        <v>500.00000000000006</v>
      </c>
      <c r="L67" s="31">
        <f>SUM(L49,L51,L53,L55,L57,L59,L61,L63,L65)</f>
        <v>1000.0000000000001</v>
      </c>
      <c r="M67" s="31">
        <f t="shared" si="62"/>
        <v>2000.0000000000002</v>
      </c>
      <c r="N67" s="31">
        <f t="shared" si="62"/>
        <v>4000.0000000000005</v>
      </c>
      <c r="O67" s="31">
        <f t="shared" si="62"/>
        <v>8000.0000000000009</v>
      </c>
      <c r="P67" s="31">
        <f t="shared" si="62"/>
        <v>16000.000000000002</v>
      </c>
      <c r="Q67" s="31">
        <f t="shared" si="62"/>
        <v>32000.000000000004</v>
      </c>
      <c r="R67" s="31">
        <f t="shared" si="62"/>
        <v>64000.000000000007</v>
      </c>
      <c r="S67" s="31">
        <f t="shared" si="62"/>
        <v>128000.00000000001</v>
      </c>
      <c r="T67" s="31">
        <f t="shared" si="62"/>
        <v>256000.00000000003</v>
      </c>
      <c r="U67" s="31">
        <f t="shared" si="62"/>
        <v>512000.00000000006</v>
      </c>
      <c r="V67" s="31">
        <f t="shared" si="62"/>
        <v>1024000.0000000001</v>
      </c>
      <c r="W67" s="31">
        <f t="shared" si="62"/>
        <v>2048000.0000000002</v>
      </c>
      <c r="X67" s="31">
        <f t="shared" ref="X67:AA68" si="63">SUM(X49,X51,X53,X55,X57,X59,X61,X63,X65)</f>
        <v>4096000.0000000005</v>
      </c>
      <c r="Y67" s="30">
        <f t="shared" si="63"/>
        <v>8192000.0000000009</v>
      </c>
      <c r="Z67" s="31">
        <f t="shared" si="63"/>
        <v>16384000.000000002</v>
      </c>
      <c r="AA67" s="72">
        <f t="shared" si="63"/>
        <v>25634000.000000004</v>
      </c>
      <c r="AB67" s="57"/>
    </row>
    <row r="68" spans="1:28" x14ac:dyDescent="0.25">
      <c r="A68" s="55" t="s">
        <v>130</v>
      </c>
      <c r="B68" s="56"/>
      <c r="C68" s="23"/>
      <c r="D68" s="23"/>
      <c r="E68" s="50"/>
      <c r="F68" s="23"/>
      <c r="G68" s="43">
        <f>SUM(G50,G52,G54,G56,G58,G60,G62,G64,G66)</f>
        <v>0.69464960494675354</v>
      </c>
      <c r="H68" s="44">
        <f>SUM(H50,H52,H54,H56,H58,H60,H62,H64,H66)</f>
        <v>1.3892992098935071</v>
      </c>
      <c r="I68" s="44">
        <f t="shared" ref="I68:W68" si="64">SUM(I50,I52,I54,I56,I58,I60,I62,I64,I66)</f>
        <v>2.7785984197870142</v>
      </c>
      <c r="J68" s="44">
        <f t="shared" si="64"/>
        <v>5.5571968395740283</v>
      </c>
      <c r="K68" s="44">
        <f t="shared" si="64"/>
        <v>11.114393679148057</v>
      </c>
      <c r="L68" s="44">
        <f t="shared" si="64"/>
        <v>22.228787358296113</v>
      </c>
      <c r="M68" s="44">
        <f t="shared" si="64"/>
        <v>44.457574716592227</v>
      </c>
      <c r="N68" s="44">
        <f t="shared" si="64"/>
        <v>88.915149433184453</v>
      </c>
      <c r="O68" s="44">
        <f t="shared" si="64"/>
        <v>177.83029886636891</v>
      </c>
      <c r="P68" s="44">
        <f t="shared" si="64"/>
        <v>355.66059773273781</v>
      </c>
      <c r="Q68" s="44">
        <f t="shared" si="64"/>
        <v>711.32119546547563</v>
      </c>
      <c r="R68" s="44">
        <f t="shared" si="64"/>
        <v>1422.6423909309513</v>
      </c>
      <c r="S68" s="44">
        <f t="shared" si="64"/>
        <v>2845.2847818619025</v>
      </c>
      <c r="T68" s="44">
        <f t="shared" si="64"/>
        <v>5690.569563723805</v>
      </c>
      <c r="U68" s="44">
        <f t="shared" si="64"/>
        <v>11381.13912744761</v>
      </c>
      <c r="V68" s="44">
        <f t="shared" si="64"/>
        <v>22762.27825489522</v>
      </c>
      <c r="W68" s="44">
        <f t="shared" si="64"/>
        <v>45524.55650979044</v>
      </c>
      <c r="X68" s="44">
        <f t="shared" si="63"/>
        <v>91049.11301958088</v>
      </c>
      <c r="Y68" s="43">
        <f t="shared" si="63"/>
        <v>182098.22603916176</v>
      </c>
      <c r="Z68" s="44">
        <f t="shared" si="63"/>
        <v>364196.45207832352</v>
      </c>
      <c r="AA68" s="85">
        <f t="shared" si="63"/>
        <v>569812.73514256254</v>
      </c>
      <c r="AB68" s="57"/>
    </row>
    <row r="69" spans="1:28" x14ac:dyDescent="0.25">
      <c r="A69" s="54"/>
      <c r="B69" s="26"/>
      <c r="C69" s="22"/>
      <c r="D69" s="22"/>
      <c r="E69" s="27"/>
      <c r="F69" s="22"/>
      <c r="G69" s="57"/>
      <c r="H69" s="57"/>
      <c r="I69" s="57"/>
      <c r="J69" s="57"/>
      <c r="K69" s="57"/>
      <c r="L69" s="57"/>
      <c r="M69" s="57"/>
      <c r="N69" s="57"/>
      <c r="O69" s="57"/>
      <c r="P69" s="57"/>
      <c r="Q69" s="57"/>
      <c r="R69" s="57"/>
      <c r="S69" s="57"/>
      <c r="T69" s="57"/>
      <c r="U69" s="57"/>
      <c r="V69" s="57"/>
      <c r="W69" s="57"/>
      <c r="X69" s="57"/>
    </row>
    <row r="70" spans="1:28" x14ac:dyDescent="0.25">
      <c r="A70" s="66" t="s">
        <v>142</v>
      </c>
      <c r="B70" s="26"/>
      <c r="C70" s="22"/>
      <c r="D70" s="22"/>
      <c r="E70" s="27"/>
      <c r="F70" s="22"/>
      <c r="G70" s="57"/>
      <c r="H70" s="57"/>
      <c r="I70" s="57"/>
      <c r="J70" s="57"/>
      <c r="K70" s="57"/>
      <c r="L70" s="57"/>
      <c r="M70" s="57"/>
      <c r="N70" s="57"/>
      <c r="O70" s="57"/>
      <c r="P70" s="57"/>
      <c r="Q70" s="57"/>
      <c r="R70" s="57"/>
      <c r="S70" s="57"/>
      <c r="T70" s="57"/>
      <c r="U70" s="57"/>
      <c r="V70" s="57"/>
      <c r="W70" s="57"/>
      <c r="X70" s="57"/>
    </row>
    <row r="71" spans="1:28" x14ac:dyDescent="0.25">
      <c r="A71" s="16"/>
      <c r="B71" s="21" t="s">
        <v>6</v>
      </c>
      <c r="C71" s="21" t="s">
        <v>4</v>
      </c>
      <c r="D71" s="21"/>
      <c r="E71" s="71" t="s">
        <v>3</v>
      </c>
      <c r="F71" s="21"/>
      <c r="G71" s="21"/>
      <c r="H71" s="21"/>
      <c r="I71" s="21"/>
      <c r="J71" s="21"/>
      <c r="K71" s="21"/>
      <c r="L71" s="21"/>
      <c r="M71" s="21"/>
      <c r="N71" s="21"/>
      <c r="O71" s="21"/>
      <c r="P71" s="21"/>
      <c r="Q71" s="21"/>
      <c r="R71" s="21"/>
      <c r="S71" s="21"/>
      <c r="T71" s="21"/>
      <c r="U71" s="21"/>
      <c r="V71" s="21"/>
      <c r="W71" s="21"/>
      <c r="X71" s="21"/>
      <c r="Y71" s="21"/>
      <c r="Z71" s="21"/>
      <c r="AA71" s="17"/>
      <c r="AB71" s="59"/>
    </row>
    <row r="72" spans="1:28" x14ac:dyDescent="0.25">
      <c r="A72" s="53" t="s">
        <v>2</v>
      </c>
      <c r="B72" s="36">
        <v>0.05</v>
      </c>
      <c r="C72" s="22">
        <f>$B$5 * B72</f>
        <v>1281700</v>
      </c>
      <c r="D72" s="28"/>
      <c r="E72" s="28"/>
      <c r="F72" s="28"/>
      <c r="G72" s="30">
        <f t="shared" ref="G72:AA72" si="65">G$18*$B$72</f>
        <v>1.5625</v>
      </c>
      <c r="H72" s="31">
        <f t="shared" si="65"/>
        <v>3.125</v>
      </c>
      <c r="I72" s="31">
        <f t="shared" si="65"/>
        <v>6.25</v>
      </c>
      <c r="J72" s="31">
        <f t="shared" si="65"/>
        <v>12.5</v>
      </c>
      <c r="K72" s="31">
        <f t="shared" si="65"/>
        <v>25</v>
      </c>
      <c r="L72" s="31">
        <f t="shared" si="65"/>
        <v>50</v>
      </c>
      <c r="M72" s="31">
        <f t="shared" si="65"/>
        <v>100</v>
      </c>
      <c r="N72" s="31">
        <f t="shared" si="65"/>
        <v>200</v>
      </c>
      <c r="O72" s="31">
        <f t="shared" si="65"/>
        <v>400</v>
      </c>
      <c r="P72" s="31">
        <f t="shared" si="65"/>
        <v>800</v>
      </c>
      <c r="Q72" s="31">
        <f t="shared" si="65"/>
        <v>1600</v>
      </c>
      <c r="R72" s="31">
        <f t="shared" si="65"/>
        <v>3200</v>
      </c>
      <c r="S72" s="31">
        <f t="shared" si="65"/>
        <v>6400</v>
      </c>
      <c r="T72" s="31">
        <f t="shared" si="65"/>
        <v>12800</v>
      </c>
      <c r="U72" s="31">
        <f t="shared" si="65"/>
        <v>25600</v>
      </c>
      <c r="V72" s="31">
        <f t="shared" si="65"/>
        <v>51200</v>
      </c>
      <c r="W72" s="31">
        <f t="shared" si="65"/>
        <v>102400</v>
      </c>
      <c r="X72" s="31">
        <f t="shared" si="65"/>
        <v>204800</v>
      </c>
      <c r="Y72" s="30">
        <f t="shared" si="65"/>
        <v>409600</v>
      </c>
      <c r="Z72" s="31">
        <f t="shared" si="65"/>
        <v>819200</v>
      </c>
      <c r="AA72" s="72">
        <f t="shared" si="65"/>
        <v>1281700</v>
      </c>
      <c r="AB72" s="57"/>
    </row>
    <row r="73" spans="1:28" x14ac:dyDescent="0.25">
      <c r="A73" s="53"/>
      <c r="B73" s="28"/>
      <c r="C73" s="28"/>
      <c r="D73" s="37"/>
      <c r="E73" s="58">
        <v>0.105</v>
      </c>
      <c r="F73" s="28"/>
      <c r="G73" s="41">
        <f>G72*$E$73</f>
        <v>0.1640625</v>
      </c>
      <c r="H73" s="42">
        <f t="shared" ref="H73:W73" si="66">H72*$E$73</f>
        <v>0.328125</v>
      </c>
      <c r="I73" s="42">
        <f t="shared" si="66"/>
        <v>0.65625</v>
      </c>
      <c r="J73" s="42">
        <f t="shared" si="66"/>
        <v>1.3125</v>
      </c>
      <c r="K73" s="42">
        <f t="shared" si="66"/>
        <v>2.625</v>
      </c>
      <c r="L73" s="42">
        <f t="shared" si="66"/>
        <v>5.25</v>
      </c>
      <c r="M73" s="42">
        <f t="shared" si="66"/>
        <v>10.5</v>
      </c>
      <c r="N73" s="42">
        <f t="shared" si="66"/>
        <v>21</v>
      </c>
      <c r="O73" s="42">
        <f t="shared" si="66"/>
        <v>42</v>
      </c>
      <c r="P73" s="42">
        <f t="shared" si="66"/>
        <v>84</v>
      </c>
      <c r="Q73" s="42">
        <f t="shared" si="66"/>
        <v>168</v>
      </c>
      <c r="R73" s="42">
        <f t="shared" si="66"/>
        <v>336</v>
      </c>
      <c r="S73" s="42">
        <f t="shared" si="66"/>
        <v>672</v>
      </c>
      <c r="T73" s="42">
        <f t="shared" si="66"/>
        <v>1344</v>
      </c>
      <c r="U73" s="42">
        <f t="shared" si="66"/>
        <v>2688</v>
      </c>
      <c r="V73" s="42">
        <f t="shared" si="66"/>
        <v>5376</v>
      </c>
      <c r="W73" s="42">
        <f t="shared" si="66"/>
        <v>10752</v>
      </c>
      <c r="X73" s="42">
        <f>X72*$E$73</f>
        <v>21504</v>
      </c>
      <c r="Y73" s="41">
        <f>Y72*$E$73</f>
        <v>43008</v>
      </c>
      <c r="Z73" s="42">
        <f>Z72*$E$73</f>
        <v>86016</v>
      </c>
      <c r="AA73" s="83">
        <f>AA72*$E$73</f>
        <v>134578.5</v>
      </c>
      <c r="AB73" s="57"/>
    </row>
    <row r="74" spans="1:28" x14ac:dyDescent="0.25">
      <c r="A74" s="53" t="s">
        <v>5</v>
      </c>
      <c r="B74" s="36">
        <v>4.5999999999999999E-2</v>
      </c>
      <c r="C74" s="22">
        <f>$B$5 * B74</f>
        <v>1179164</v>
      </c>
      <c r="D74" s="59"/>
      <c r="E74" s="28"/>
      <c r="F74" s="28"/>
      <c r="G74" s="32">
        <f t="shared" ref="G74:AA74" si="67">G$18*$B$74</f>
        <v>1.4375</v>
      </c>
      <c r="H74" s="33">
        <f t="shared" si="67"/>
        <v>2.875</v>
      </c>
      <c r="I74" s="33">
        <f t="shared" si="67"/>
        <v>5.75</v>
      </c>
      <c r="J74" s="33">
        <f t="shared" si="67"/>
        <v>11.5</v>
      </c>
      <c r="K74" s="33">
        <f t="shared" si="67"/>
        <v>23</v>
      </c>
      <c r="L74" s="33">
        <f t="shared" si="67"/>
        <v>46</v>
      </c>
      <c r="M74" s="33">
        <f t="shared" si="67"/>
        <v>92</v>
      </c>
      <c r="N74" s="33">
        <f t="shared" si="67"/>
        <v>184</v>
      </c>
      <c r="O74" s="33">
        <f t="shared" si="67"/>
        <v>368</v>
      </c>
      <c r="P74" s="33">
        <f t="shared" si="67"/>
        <v>736</v>
      </c>
      <c r="Q74" s="33">
        <f t="shared" si="67"/>
        <v>1472</v>
      </c>
      <c r="R74" s="33">
        <f t="shared" si="67"/>
        <v>2944</v>
      </c>
      <c r="S74" s="33">
        <f t="shared" si="67"/>
        <v>5888</v>
      </c>
      <c r="T74" s="33">
        <f t="shared" si="67"/>
        <v>11776</v>
      </c>
      <c r="U74" s="33">
        <f t="shared" si="67"/>
        <v>23552</v>
      </c>
      <c r="V74" s="33">
        <f t="shared" si="67"/>
        <v>47104</v>
      </c>
      <c r="W74" s="33">
        <f t="shared" si="67"/>
        <v>94208</v>
      </c>
      <c r="X74" s="33">
        <f t="shared" si="67"/>
        <v>188416</v>
      </c>
      <c r="Y74" s="32">
        <f t="shared" si="67"/>
        <v>376832</v>
      </c>
      <c r="Z74" s="33">
        <f t="shared" si="67"/>
        <v>753664</v>
      </c>
      <c r="AA74" s="84">
        <f t="shared" si="67"/>
        <v>1179164</v>
      </c>
      <c r="AB74" s="57"/>
    </row>
    <row r="75" spans="1:28" x14ac:dyDescent="0.25">
      <c r="A75" s="53"/>
      <c r="B75" s="28"/>
      <c r="C75" s="28"/>
      <c r="D75" s="37"/>
      <c r="E75" s="58">
        <v>7.2999999999999995E-2</v>
      </c>
      <c r="F75" s="28"/>
      <c r="G75" s="41">
        <f t="shared" ref="G75:W75" si="68">G74*$E$75</f>
        <v>0.10493749999999999</v>
      </c>
      <c r="H75" s="42">
        <f t="shared" si="68"/>
        <v>0.20987499999999998</v>
      </c>
      <c r="I75" s="42">
        <f t="shared" si="68"/>
        <v>0.41974999999999996</v>
      </c>
      <c r="J75" s="42">
        <f t="shared" si="68"/>
        <v>0.83949999999999991</v>
      </c>
      <c r="K75" s="42">
        <f t="shared" si="68"/>
        <v>1.6789999999999998</v>
      </c>
      <c r="L75" s="42">
        <f t="shared" si="68"/>
        <v>3.3579999999999997</v>
      </c>
      <c r="M75" s="42">
        <f t="shared" si="68"/>
        <v>6.7159999999999993</v>
      </c>
      <c r="N75" s="42">
        <f t="shared" si="68"/>
        <v>13.431999999999999</v>
      </c>
      <c r="O75" s="42">
        <f t="shared" si="68"/>
        <v>26.863999999999997</v>
      </c>
      <c r="P75" s="42">
        <f t="shared" si="68"/>
        <v>53.727999999999994</v>
      </c>
      <c r="Q75" s="42">
        <f t="shared" si="68"/>
        <v>107.45599999999999</v>
      </c>
      <c r="R75" s="42">
        <f t="shared" si="68"/>
        <v>214.91199999999998</v>
      </c>
      <c r="S75" s="42">
        <f t="shared" si="68"/>
        <v>429.82399999999996</v>
      </c>
      <c r="T75" s="42">
        <f t="shared" si="68"/>
        <v>859.64799999999991</v>
      </c>
      <c r="U75" s="42">
        <f t="shared" si="68"/>
        <v>1719.2959999999998</v>
      </c>
      <c r="V75" s="42">
        <f t="shared" si="68"/>
        <v>3438.5919999999996</v>
      </c>
      <c r="W75" s="42">
        <f t="shared" si="68"/>
        <v>6877.1839999999993</v>
      </c>
      <c r="X75" s="42">
        <f>X74*$E$75</f>
        <v>13754.367999999999</v>
      </c>
      <c r="Y75" s="41">
        <f>Y74*$E$75</f>
        <v>27508.735999999997</v>
      </c>
      <c r="Z75" s="42">
        <f>Z74*$E$75</f>
        <v>55017.471999999994</v>
      </c>
      <c r="AA75" s="83">
        <f>AA74*$E$75</f>
        <v>86078.971999999994</v>
      </c>
      <c r="AB75" s="57"/>
    </row>
    <row r="76" spans="1:28" x14ac:dyDescent="0.25">
      <c r="A76" s="53" t="s">
        <v>7</v>
      </c>
      <c r="B76" s="36">
        <v>0.31</v>
      </c>
      <c r="C76" s="22">
        <f>$B$5 * B76</f>
        <v>7946540</v>
      </c>
      <c r="D76" s="59"/>
      <c r="E76" s="28"/>
      <c r="F76" s="28"/>
      <c r="G76" s="32">
        <f t="shared" ref="G76:AA76" si="69">G$18*$B$76</f>
        <v>9.6875</v>
      </c>
      <c r="H76" s="33">
        <f t="shared" si="69"/>
        <v>19.375</v>
      </c>
      <c r="I76" s="33">
        <f t="shared" si="69"/>
        <v>38.75</v>
      </c>
      <c r="J76" s="33">
        <f t="shared" si="69"/>
        <v>77.5</v>
      </c>
      <c r="K76" s="33">
        <f t="shared" si="69"/>
        <v>155</v>
      </c>
      <c r="L76" s="33">
        <f t="shared" si="69"/>
        <v>310</v>
      </c>
      <c r="M76" s="33">
        <f t="shared" si="69"/>
        <v>620</v>
      </c>
      <c r="N76" s="33">
        <f t="shared" si="69"/>
        <v>1240</v>
      </c>
      <c r="O76" s="33">
        <f t="shared" si="69"/>
        <v>2480</v>
      </c>
      <c r="P76" s="33">
        <f t="shared" si="69"/>
        <v>4960</v>
      </c>
      <c r="Q76" s="33">
        <f t="shared" si="69"/>
        <v>9920</v>
      </c>
      <c r="R76" s="33">
        <f t="shared" si="69"/>
        <v>19840</v>
      </c>
      <c r="S76" s="33">
        <f t="shared" si="69"/>
        <v>39680</v>
      </c>
      <c r="T76" s="33">
        <f t="shared" si="69"/>
        <v>79360</v>
      </c>
      <c r="U76" s="33">
        <f t="shared" si="69"/>
        <v>158720</v>
      </c>
      <c r="V76" s="33">
        <f t="shared" si="69"/>
        <v>317440</v>
      </c>
      <c r="W76" s="33">
        <f t="shared" si="69"/>
        <v>634880</v>
      </c>
      <c r="X76" s="33">
        <f t="shared" si="69"/>
        <v>1269760</v>
      </c>
      <c r="Y76" s="32">
        <f t="shared" si="69"/>
        <v>2539520</v>
      </c>
      <c r="Z76" s="33">
        <f t="shared" si="69"/>
        <v>5079040</v>
      </c>
      <c r="AA76" s="84">
        <f t="shared" si="69"/>
        <v>7946540</v>
      </c>
      <c r="AB76" s="57"/>
    </row>
    <row r="77" spans="1:28" x14ac:dyDescent="0.25">
      <c r="A77" s="53"/>
      <c r="B77" s="28"/>
      <c r="C77" s="28"/>
      <c r="D77" s="37"/>
      <c r="E77" s="58">
        <v>6.3E-2</v>
      </c>
      <c r="F77" s="28"/>
      <c r="G77" s="41">
        <f t="shared" ref="G77:W77" si="70">G76*$E$77</f>
        <v>0.61031250000000004</v>
      </c>
      <c r="H77" s="42">
        <f t="shared" si="70"/>
        <v>1.2206250000000001</v>
      </c>
      <c r="I77" s="42">
        <f t="shared" si="70"/>
        <v>2.4412500000000001</v>
      </c>
      <c r="J77" s="42">
        <f t="shared" si="70"/>
        <v>4.8825000000000003</v>
      </c>
      <c r="K77" s="42">
        <f t="shared" si="70"/>
        <v>9.7650000000000006</v>
      </c>
      <c r="L77" s="42">
        <f t="shared" si="70"/>
        <v>19.53</v>
      </c>
      <c r="M77" s="42">
        <f t="shared" si="70"/>
        <v>39.06</v>
      </c>
      <c r="N77" s="42">
        <f t="shared" si="70"/>
        <v>78.12</v>
      </c>
      <c r="O77" s="42">
        <f t="shared" si="70"/>
        <v>156.24</v>
      </c>
      <c r="P77" s="42">
        <f t="shared" si="70"/>
        <v>312.48</v>
      </c>
      <c r="Q77" s="42">
        <f t="shared" si="70"/>
        <v>624.96</v>
      </c>
      <c r="R77" s="42">
        <f t="shared" si="70"/>
        <v>1249.92</v>
      </c>
      <c r="S77" s="42">
        <f t="shared" si="70"/>
        <v>2499.84</v>
      </c>
      <c r="T77" s="42">
        <f t="shared" si="70"/>
        <v>4999.68</v>
      </c>
      <c r="U77" s="42">
        <f t="shared" si="70"/>
        <v>9999.36</v>
      </c>
      <c r="V77" s="42">
        <f t="shared" si="70"/>
        <v>19998.72</v>
      </c>
      <c r="W77" s="42">
        <f t="shared" si="70"/>
        <v>39997.440000000002</v>
      </c>
      <c r="X77" s="42">
        <f>X76*$E$77</f>
        <v>79994.880000000005</v>
      </c>
      <c r="Y77" s="41">
        <f>Y76*$E$77</f>
        <v>159989.76000000001</v>
      </c>
      <c r="Z77" s="42">
        <f>Z76*$E$77</f>
        <v>319979.52000000002</v>
      </c>
      <c r="AA77" s="83">
        <f>AA76*$E$77</f>
        <v>500632.02</v>
      </c>
      <c r="AB77" s="57"/>
    </row>
    <row r="78" spans="1:28" x14ac:dyDescent="0.25">
      <c r="A78" s="53" t="s">
        <v>8</v>
      </c>
      <c r="B78" s="36">
        <v>0.33700000000000002</v>
      </c>
      <c r="C78" s="22">
        <f>$B$5 * B78</f>
        <v>8638658</v>
      </c>
      <c r="D78" s="59"/>
      <c r="E78" s="28"/>
      <c r="F78" s="28"/>
      <c r="G78" s="32">
        <f t="shared" ref="G78:AA78" si="71">G$18*$B$78</f>
        <v>10.53125</v>
      </c>
      <c r="H78" s="33">
        <f t="shared" si="71"/>
        <v>21.0625</v>
      </c>
      <c r="I78" s="33">
        <f t="shared" si="71"/>
        <v>42.125</v>
      </c>
      <c r="J78" s="33">
        <f t="shared" si="71"/>
        <v>84.25</v>
      </c>
      <c r="K78" s="33">
        <f t="shared" si="71"/>
        <v>168.5</v>
      </c>
      <c r="L78" s="33">
        <f t="shared" si="71"/>
        <v>337</v>
      </c>
      <c r="M78" s="33">
        <f t="shared" si="71"/>
        <v>674</v>
      </c>
      <c r="N78" s="33">
        <f t="shared" si="71"/>
        <v>1348</v>
      </c>
      <c r="O78" s="33">
        <f t="shared" si="71"/>
        <v>2696</v>
      </c>
      <c r="P78" s="33">
        <f t="shared" si="71"/>
        <v>5392</v>
      </c>
      <c r="Q78" s="33">
        <f t="shared" si="71"/>
        <v>10784</v>
      </c>
      <c r="R78" s="33">
        <f t="shared" si="71"/>
        <v>21568</v>
      </c>
      <c r="S78" s="33">
        <f t="shared" si="71"/>
        <v>43136</v>
      </c>
      <c r="T78" s="33">
        <f t="shared" si="71"/>
        <v>86272</v>
      </c>
      <c r="U78" s="33">
        <f t="shared" si="71"/>
        <v>172544</v>
      </c>
      <c r="V78" s="33">
        <f t="shared" si="71"/>
        <v>345088</v>
      </c>
      <c r="W78" s="33">
        <f t="shared" si="71"/>
        <v>690176</v>
      </c>
      <c r="X78" s="33">
        <f t="shared" si="71"/>
        <v>1380352</v>
      </c>
      <c r="Y78" s="32">
        <f t="shared" si="71"/>
        <v>2760704</v>
      </c>
      <c r="Z78" s="33">
        <f t="shared" si="71"/>
        <v>5521408</v>
      </c>
      <c r="AA78" s="84">
        <f t="shared" si="71"/>
        <v>8638658</v>
      </c>
      <c r="AB78" s="57"/>
    </row>
    <row r="79" spans="1:28" x14ac:dyDescent="0.25">
      <c r="A79" s="53"/>
      <c r="B79" s="28"/>
      <c r="C79" s="28"/>
      <c r="D79" s="37"/>
      <c r="E79" s="58">
        <v>0.06</v>
      </c>
      <c r="F79" s="28"/>
      <c r="G79" s="41">
        <f t="shared" ref="G79:W79" si="72">G78*$E$79</f>
        <v>0.63187499999999996</v>
      </c>
      <c r="H79" s="42">
        <f t="shared" si="72"/>
        <v>1.2637499999999999</v>
      </c>
      <c r="I79" s="42">
        <f t="shared" si="72"/>
        <v>2.5274999999999999</v>
      </c>
      <c r="J79" s="42">
        <f t="shared" si="72"/>
        <v>5.0549999999999997</v>
      </c>
      <c r="K79" s="42">
        <f t="shared" si="72"/>
        <v>10.11</v>
      </c>
      <c r="L79" s="42">
        <f t="shared" si="72"/>
        <v>20.22</v>
      </c>
      <c r="M79" s="42">
        <f t="shared" si="72"/>
        <v>40.44</v>
      </c>
      <c r="N79" s="42">
        <f t="shared" si="72"/>
        <v>80.88</v>
      </c>
      <c r="O79" s="42">
        <f t="shared" si="72"/>
        <v>161.76</v>
      </c>
      <c r="P79" s="42">
        <f t="shared" si="72"/>
        <v>323.52</v>
      </c>
      <c r="Q79" s="42">
        <f t="shared" si="72"/>
        <v>647.04</v>
      </c>
      <c r="R79" s="42">
        <f t="shared" si="72"/>
        <v>1294.08</v>
      </c>
      <c r="S79" s="42">
        <f t="shared" si="72"/>
        <v>2588.16</v>
      </c>
      <c r="T79" s="42">
        <f t="shared" si="72"/>
        <v>5176.32</v>
      </c>
      <c r="U79" s="42">
        <f t="shared" si="72"/>
        <v>10352.64</v>
      </c>
      <c r="V79" s="42">
        <f t="shared" si="72"/>
        <v>20705.28</v>
      </c>
      <c r="W79" s="42">
        <f t="shared" si="72"/>
        <v>41410.559999999998</v>
      </c>
      <c r="X79" s="42">
        <f>X78*$E$79</f>
        <v>82821.119999999995</v>
      </c>
      <c r="Y79" s="41">
        <f>Y78*$E$79</f>
        <v>165642.23999999999</v>
      </c>
      <c r="Z79" s="42">
        <f>Z78*$E$79</f>
        <v>331284.47999999998</v>
      </c>
      <c r="AA79" s="83">
        <f>AA78*$E$79</f>
        <v>518319.48</v>
      </c>
      <c r="AB79" s="57"/>
    </row>
    <row r="80" spans="1:28" x14ac:dyDescent="0.25">
      <c r="A80" s="53" t="s">
        <v>9</v>
      </c>
      <c r="B80" s="36">
        <v>1.4999999999999999E-2</v>
      </c>
      <c r="C80" s="22">
        <f>$B$5 * B80</f>
        <v>384510</v>
      </c>
      <c r="D80" s="59"/>
      <c r="E80" s="28"/>
      <c r="F80" s="28"/>
      <c r="G80" s="32">
        <f t="shared" ref="G80:AA80" si="73">G$18*$B$80</f>
        <v>0.46875</v>
      </c>
      <c r="H80" s="33">
        <f t="shared" si="73"/>
        <v>0.9375</v>
      </c>
      <c r="I80" s="33">
        <f t="shared" si="73"/>
        <v>1.875</v>
      </c>
      <c r="J80" s="33">
        <f t="shared" si="73"/>
        <v>3.75</v>
      </c>
      <c r="K80" s="33">
        <f t="shared" si="73"/>
        <v>7.5</v>
      </c>
      <c r="L80" s="33">
        <f t="shared" si="73"/>
        <v>15</v>
      </c>
      <c r="M80" s="33">
        <f t="shared" si="73"/>
        <v>30</v>
      </c>
      <c r="N80" s="33">
        <f t="shared" si="73"/>
        <v>60</v>
      </c>
      <c r="O80" s="33">
        <f t="shared" si="73"/>
        <v>120</v>
      </c>
      <c r="P80" s="33">
        <f t="shared" si="73"/>
        <v>240</v>
      </c>
      <c r="Q80" s="33">
        <f t="shared" si="73"/>
        <v>480</v>
      </c>
      <c r="R80" s="33">
        <f t="shared" si="73"/>
        <v>960</v>
      </c>
      <c r="S80" s="33">
        <f t="shared" si="73"/>
        <v>1920</v>
      </c>
      <c r="T80" s="33">
        <f t="shared" si="73"/>
        <v>3840</v>
      </c>
      <c r="U80" s="33">
        <f t="shared" si="73"/>
        <v>7680</v>
      </c>
      <c r="V80" s="33">
        <f t="shared" si="73"/>
        <v>15360</v>
      </c>
      <c r="W80" s="33">
        <f t="shared" si="73"/>
        <v>30720</v>
      </c>
      <c r="X80" s="33">
        <f t="shared" si="73"/>
        <v>61440</v>
      </c>
      <c r="Y80" s="32">
        <f t="shared" si="73"/>
        <v>122880</v>
      </c>
      <c r="Z80" s="33">
        <f t="shared" si="73"/>
        <v>245760</v>
      </c>
      <c r="AA80" s="84">
        <f t="shared" si="73"/>
        <v>384510</v>
      </c>
      <c r="AB80" s="57"/>
    </row>
    <row r="81" spans="1:28" x14ac:dyDescent="0.25">
      <c r="A81" s="53"/>
      <c r="B81" s="28"/>
      <c r="C81" s="28"/>
      <c r="D81" s="37"/>
      <c r="E81" s="58">
        <v>5.6000000000000001E-2</v>
      </c>
      <c r="F81" s="28"/>
      <c r="G81" s="41">
        <f t="shared" ref="G81:W81" si="74">G80*$E$81</f>
        <v>2.6249999999999999E-2</v>
      </c>
      <c r="H81" s="42">
        <f t="shared" si="74"/>
        <v>5.2499999999999998E-2</v>
      </c>
      <c r="I81" s="42">
        <f t="shared" si="74"/>
        <v>0.105</v>
      </c>
      <c r="J81" s="42">
        <f t="shared" si="74"/>
        <v>0.21</v>
      </c>
      <c r="K81" s="42">
        <f t="shared" si="74"/>
        <v>0.42</v>
      </c>
      <c r="L81" s="42">
        <f t="shared" si="74"/>
        <v>0.84</v>
      </c>
      <c r="M81" s="42">
        <f t="shared" si="74"/>
        <v>1.68</v>
      </c>
      <c r="N81" s="42">
        <f t="shared" si="74"/>
        <v>3.36</v>
      </c>
      <c r="O81" s="42">
        <f t="shared" si="74"/>
        <v>6.72</v>
      </c>
      <c r="P81" s="42">
        <f t="shared" si="74"/>
        <v>13.44</v>
      </c>
      <c r="Q81" s="42">
        <f t="shared" si="74"/>
        <v>26.88</v>
      </c>
      <c r="R81" s="42">
        <f t="shared" si="74"/>
        <v>53.76</v>
      </c>
      <c r="S81" s="42">
        <f t="shared" si="74"/>
        <v>107.52</v>
      </c>
      <c r="T81" s="42">
        <f t="shared" si="74"/>
        <v>215.04</v>
      </c>
      <c r="U81" s="42">
        <f t="shared" si="74"/>
        <v>430.08</v>
      </c>
      <c r="V81" s="42">
        <f t="shared" si="74"/>
        <v>860.16</v>
      </c>
      <c r="W81" s="42">
        <f t="shared" si="74"/>
        <v>1720.32</v>
      </c>
      <c r="X81" s="42">
        <f>X80*$E$81</f>
        <v>3440.64</v>
      </c>
      <c r="Y81" s="41">
        <f>Y80*$E$81</f>
        <v>6881.28</v>
      </c>
      <c r="Z81" s="42">
        <f>Z80*$E$81</f>
        <v>13762.56</v>
      </c>
      <c r="AA81" s="83">
        <f>AA80*$E$81</f>
        <v>21532.560000000001</v>
      </c>
      <c r="AB81" s="57"/>
    </row>
    <row r="82" spans="1:28" x14ac:dyDescent="0.25">
      <c r="A82" s="53" t="s">
        <v>10</v>
      </c>
      <c r="B82" s="36">
        <v>0.161</v>
      </c>
      <c r="C82" s="22">
        <f>$B$5 * B82</f>
        <v>4127074</v>
      </c>
      <c r="D82" s="59"/>
      <c r="E82" s="28"/>
      <c r="F82" s="28"/>
      <c r="G82" s="32">
        <f t="shared" ref="G82:AA82" si="75">G$18*$B$82</f>
        <v>5.03125</v>
      </c>
      <c r="H82" s="33">
        <f t="shared" si="75"/>
        <v>10.0625</v>
      </c>
      <c r="I82" s="33">
        <f t="shared" si="75"/>
        <v>20.125</v>
      </c>
      <c r="J82" s="33">
        <f t="shared" si="75"/>
        <v>40.25</v>
      </c>
      <c r="K82" s="33">
        <f t="shared" si="75"/>
        <v>80.5</v>
      </c>
      <c r="L82" s="33">
        <f t="shared" si="75"/>
        <v>161</v>
      </c>
      <c r="M82" s="33">
        <f t="shared" si="75"/>
        <v>322</v>
      </c>
      <c r="N82" s="33">
        <f t="shared" si="75"/>
        <v>644</v>
      </c>
      <c r="O82" s="33">
        <f t="shared" si="75"/>
        <v>1288</v>
      </c>
      <c r="P82" s="33">
        <f t="shared" si="75"/>
        <v>2576</v>
      </c>
      <c r="Q82" s="33">
        <f t="shared" si="75"/>
        <v>5152</v>
      </c>
      <c r="R82" s="33">
        <f t="shared" si="75"/>
        <v>10304</v>
      </c>
      <c r="S82" s="33">
        <f t="shared" si="75"/>
        <v>20608</v>
      </c>
      <c r="T82" s="33">
        <f t="shared" si="75"/>
        <v>41216</v>
      </c>
      <c r="U82" s="33">
        <f t="shared" si="75"/>
        <v>82432</v>
      </c>
      <c r="V82" s="33">
        <f t="shared" si="75"/>
        <v>164864</v>
      </c>
      <c r="W82" s="33">
        <f t="shared" si="75"/>
        <v>329728</v>
      </c>
      <c r="X82" s="33">
        <f t="shared" si="75"/>
        <v>659456</v>
      </c>
      <c r="Y82" s="32">
        <f t="shared" si="75"/>
        <v>1318912</v>
      </c>
      <c r="Z82" s="33">
        <f t="shared" si="75"/>
        <v>2637824</v>
      </c>
      <c r="AA82" s="84">
        <f t="shared" si="75"/>
        <v>4127074</v>
      </c>
      <c r="AB82" s="57"/>
    </row>
    <row r="83" spans="1:28" x14ac:dyDescent="0.25">
      <c r="A83" s="49"/>
      <c r="B83" s="51"/>
      <c r="C83" s="51"/>
      <c r="D83" s="67"/>
      <c r="E83" s="68" t="s">
        <v>11</v>
      </c>
      <c r="F83" s="51"/>
      <c r="G83" s="43" t="s">
        <v>11</v>
      </c>
      <c r="H83" s="44" t="s">
        <v>11</v>
      </c>
      <c r="I83" s="44" t="s">
        <v>11</v>
      </c>
      <c r="J83" s="44" t="s">
        <v>11</v>
      </c>
      <c r="K83" s="44" t="s">
        <v>11</v>
      </c>
      <c r="L83" s="44" t="s">
        <v>11</v>
      </c>
      <c r="M83" s="44" t="s">
        <v>11</v>
      </c>
      <c r="N83" s="44" t="s">
        <v>11</v>
      </c>
      <c r="O83" s="44" t="s">
        <v>11</v>
      </c>
      <c r="P83" s="44" t="s">
        <v>11</v>
      </c>
      <c r="Q83" s="44" t="s">
        <v>11</v>
      </c>
      <c r="R83" s="44" t="s">
        <v>11</v>
      </c>
      <c r="S83" s="44" t="s">
        <v>11</v>
      </c>
      <c r="T83" s="44" t="s">
        <v>11</v>
      </c>
      <c r="U83" s="44" t="s">
        <v>11</v>
      </c>
      <c r="V83" s="44" t="s">
        <v>11</v>
      </c>
      <c r="W83" s="44" t="s">
        <v>11</v>
      </c>
      <c r="X83" s="44" t="s">
        <v>11</v>
      </c>
      <c r="Y83" s="43" t="s">
        <v>11</v>
      </c>
      <c r="Z83" s="44" t="s">
        <v>11</v>
      </c>
      <c r="AA83" s="85" t="s">
        <v>11</v>
      </c>
      <c r="AB83" s="57"/>
    </row>
    <row r="84" spans="1:28" x14ac:dyDescent="0.25">
      <c r="A84" s="53"/>
      <c r="B84" s="28"/>
      <c r="C84" s="28"/>
      <c r="D84" s="59"/>
      <c r="E84" s="28"/>
      <c r="F84" s="28"/>
      <c r="G84" s="32">
        <f>SUM(G72,G74,G76,G78,G80,G82)</f>
        <v>28.71875</v>
      </c>
      <c r="H84" s="33">
        <f t="shared" ref="H84:W84" si="76">SUM(H72,H74,H76,H78,H80,H82)</f>
        <v>57.4375</v>
      </c>
      <c r="I84" s="33">
        <f t="shared" si="76"/>
        <v>114.875</v>
      </c>
      <c r="J84" s="33">
        <f t="shared" si="76"/>
        <v>229.75</v>
      </c>
      <c r="K84" s="33">
        <f t="shared" si="76"/>
        <v>459.5</v>
      </c>
      <c r="L84" s="33">
        <f t="shared" si="76"/>
        <v>919</v>
      </c>
      <c r="M84" s="33">
        <f>SUM(M72,M74,M76,M78,M80,M82)</f>
        <v>1838</v>
      </c>
      <c r="N84" s="33">
        <f t="shared" si="76"/>
        <v>3676</v>
      </c>
      <c r="O84" s="33">
        <f t="shared" si="76"/>
        <v>7352</v>
      </c>
      <c r="P84" s="33">
        <f t="shared" si="76"/>
        <v>14704</v>
      </c>
      <c r="Q84" s="33">
        <f t="shared" si="76"/>
        <v>29408</v>
      </c>
      <c r="R84" s="33">
        <f t="shared" si="76"/>
        <v>58816</v>
      </c>
      <c r="S84" s="33">
        <f t="shared" si="76"/>
        <v>117632</v>
      </c>
      <c r="T84" s="33">
        <f t="shared" si="76"/>
        <v>235264</v>
      </c>
      <c r="U84" s="33">
        <f t="shared" si="76"/>
        <v>470528</v>
      </c>
      <c r="V84" s="33">
        <f t="shared" si="76"/>
        <v>941056</v>
      </c>
      <c r="W84" s="33">
        <f t="shared" si="76"/>
        <v>1882112</v>
      </c>
      <c r="X84" s="33">
        <f t="shared" ref="X84:AA85" si="77">SUM(X72,X74,X76,X78,X80,X82)</f>
        <v>3764224</v>
      </c>
      <c r="Y84" s="32">
        <f t="shared" si="77"/>
        <v>7528448</v>
      </c>
      <c r="Z84" s="33">
        <f t="shared" si="77"/>
        <v>15056896</v>
      </c>
      <c r="AA84" s="84">
        <f t="shared" si="77"/>
        <v>23557646</v>
      </c>
      <c r="AB84" s="57"/>
    </row>
    <row r="85" spans="1:28" x14ac:dyDescent="0.25">
      <c r="A85" s="49" t="s">
        <v>132</v>
      </c>
      <c r="B85" s="51"/>
      <c r="C85" s="51"/>
      <c r="D85" s="51"/>
      <c r="E85" s="51"/>
      <c r="F85" s="51"/>
      <c r="G85" s="43">
        <f>SUM(G73,G75,G77,G79,G81,G83)</f>
        <v>1.5374375000000002</v>
      </c>
      <c r="H85" s="44">
        <f t="shared" ref="H85:W85" si="78">SUM(H73,H75,H77,H79,H81,H83)</f>
        <v>3.0748750000000005</v>
      </c>
      <c r="I85" s="44">
        <f t="shared" si="78"/>
        <v>6.1497500000000009</v>
      </c>
      <c r="J85" s="44">
        <f t="shared" si="78"/>
        <v>12.299500000000002</v>
      </c>
      <c r="K85" s="44">
        <f t="shared" si="78"/>
        <v>24.599000000000004</v>
      </c>
      <c r="L85" s="44">
        <f t="shared" si="78"/>
        <v>49.198000000000008</v>
      </c>
      <c r="M85" s="44">
        <f t="shared" si="78"/>
        <v>98.396000000000015</v>
      </c>
      <c r="N85" s="44">
        <f t="shared" si="78"/>
        <v>196.79200000000003</v>
      </c>
      <c r="O85" s="44">
        <f t="shared" si="78"/>
        <v>393.58400000000006</v>
      </c>
      <c r="P85" s="44">
        <f t="shared" si="78"/>
        <v>787.16800000000012</v>
      </c>
      <c r="Q85" s="44">
        <f t="shared" si="78"/>
        <v>1574.3360000000002</v>
      </c>
      <c r="R85" s="44">
        <f t="shared" si="78"/>
        <v>3148.6720000000005</v>
      </c>
      <c r="S85" s="44">
        <f t="shared" si="78"/>
        <v>6297.344000000001</v>
      </c>
      <c r="T85" s="44">
        <f t="shared" si="78"/>
        <v>12594.688000000002</v>
      </c>
      <c r="U85" s="44">
        <f t="shared" si="78"/>
        <v>25189.376000000004</v>
      </c>
      <c r="V85" s="44">
        <f t="shared" si="78"/>
        <v>50378.752000000008</v>
      </c>
      <c r="W85" s="44">
        <f t="shared" si="78"/>
        <v>100757.50400000002</v>
      </c>
      <c r="X85" s="44">
        <f t="shared" si="77"/>
        <v>201515.00800000003</v>
      </c>
      <c r="Y85" s="43">
        <f t="shared" si="77"/>
        <v>403030.01600000006</v>
      </c>
      <c r="Z85" s="44">
        <f t="shared" si="77"/>
        <v>806060.03200000012</v>
      </c>
      <c r="AA85" s="85">
        <f t="shared" si="77"/>
        <v>1261141.5320000001</v>
      </c>
      <c r="AB85" s="57"/>
    </row>
  </sheetData>
  <conditionalFormatting sqref="G29:AB29">
    <cfRule type="cellIs" dxfId="22" priority="30" operator="greaterThan">
      <formula>$C$8</formula>
    </cfRule>
  </conditionalFormatting>
  <conditionalFormatting sqref="G31:AA31">
    <cfRule type="cellIs" dxfId="21" priority="29" operator="greaterThan">
      <formula>$C$9</formula>
    </cfRule>
  </conditionalFormatting>
  <conditionalFormatting sqref="G49:AA49">
    <cfRule type="cellIs" dxfId="20" priority="28" operator="greaterThan">
      <formula>$C$49</formula>
    </cfRule>
  </conditionalFormatting>
  <conditionalFormatting sqref="G51:AA51">
    <cfRule type="cellIs" dxfId="19" priority="27" operator="greaterThan">
      <formula>$C$51</formula>
    </cfRule>
  </conditionalFormatting>
  <conditionalFormatting sqref="G53:AA53">
    <cfRule type="cellIs" dxfId="18" priority="26" operator="greaterThan">
      <formula>$C$53</formula>
    </cfRule>
  </conditionalFormatting>
  <conditionalFormatting sqref="G55:AA55">
    <cfRule type="cellIs" dxfId="17" priority="18" operator="greaterThan">
      <formula>$C$55</formula>
    </cfRule>
  </conditionalFormatting>
  <conditionalFormatting sqref="G57:AA57">
    <cfRule type="cellIs" dxfId="16" priority="17" operator="greaterThan">
      <formula>$C$57</formula>
    </cfRule>
  </conditionalFormatting>
  <conditionalFormatting sqref="G59:AA59">
    <cfRule type="cellIs" dxfId="15" priority="16" operator="greaterThan">
      <formula>$C$59</formula>
    </cfRule>
  </conditionalFormatting>
  <conditionalFormatting sqref="G61:AA61">
    <cfRule type="cellIs" dxfId="14" priority="15" operator="greaterThan">
      <formula>$C$61</formula>
    </cfRule>
  </conditionalFormatting>
  <conditionalFormatting sqref="G63:AA63">
    <cfRule type="cellIs" dxfId="13" priority="14" operator="greaterThan">
      <formula>$C$63</formula>
    </cfRule>
  </conditionalFormatting>
  <conditionalFormatting sqref="G65:AA65">
    <cfRule type="cellIs" dxfId="12" priority="13" operator="greaterThan">
      <formula>$C$65</formula>
    </cfRule>
  </conditionalFormatting>
  <conditionalFormatting sqref="G20:AA20">
    <cfRule type="cellIs" dxfId="11" priority="12" operator="equal">
      <formula>0</formula>
    </cfRule>
  </conditionalFormatting>
  <conditionalFormatting sqref="G27:AA27">
    <cfRule type="cellIs" dxfId="10" priority="11" operator="equal">
      <formula>0</formula>
    </cfRule>
  </conditionalFormatting>
  <conditionalFormatting sqref="G29:AA29">
    <cfRule type="cellIs" dxfId="9" priority="10" operator="equal">
      <formula>0</formula>
    </cfRule>
  </conditionalFormatting>
  <conditionalFormatting sqref="H31:AA31">
    <cfRule type="cellIs" dxfId="8" priority="9" operator="equal">
      <formula>0</formula>
    </cfRule>
  </conditionalFormatting>
  <conditionalFormatting sqref="D51">
    <cfRule type="cellIs" dxfId="7" priority="8" operator="greaterThan">
      <formula>$B$51</formula>
    </cfRule>
  </conditionalFormatting>
  <conditionalFormatting sqref="D53">
    <cfRule type="cellIs" dxfId="6" priority="7" operator="greaterThan">
      <formula>$B$53</formula>
    </cfRule>
  </conditionalFormatting>
  <conditionalFormatting sqref="D55">
    <cfRule type="cellIs" dxfId="5" priority="6" operator="greaterThan">
      <formula>$B$55</formula>
    </cfRule>
  </conditionalFormatting>
  <conditionalFormatting sqref="D57">
    <cfRule type="cellIs" dxfId="4" priority="5" operator="greaterThan">
      <formula>$B$57</formula>
    </cfRule>
  </conditionalFormatting>
  <conditionalFormatting sqref="D59">
    <cfRule type="cellIs" dxfId="3" priority="4" operator="greaterThan">
      <formula>$B$59</formula>
    </cfRule>
  </conditionalFormatting>
  <conditionalFormatting sqref="D61">
    <cfRule type="cellIs" dxfId="2" priority="3" operator="greaterThan">
      <formula>$B$61</formula>
    </cfRule>
  </conditionalFormatting>
  <conditionalFormatting sqref="D63">
    <cfRule type="cellIs" dxfId="1" priority="2" operator="greaterThan">
      <formula>$B$63</formula>
    </cfRule>
  </conditionalFormatting>
  <conditionalFormatting sqref="D65">
    <cfRule type="cellIs" dxfId="0" priority="1" operator="greaterThan">
      <formula>$B$65</formula>
    </cfRule>
  </conditionalFormatting>
  <hyperlinks>
    <hyperlink ref="D48" r:id="rId1" xr:uid="{98D6456F-EA03-4FCB-8D3D-1822F6B38CCF}"/>
    <hyperlink ref="E48" r:id="rId2" location="case-fatality-rate-of-covid-19-by-age" xr:uid="{0058192C-B05A-45D2-8597-C1F9B3D9241E}"/>
    <hyperlink ref="E71" r:id="rId3" location="case-fatality-rate-of-covid-19-by-preexisting-health-conditions" xr:uid="{110A2613-24A6-4768-B90C-571B307D13E2}"/>
    <hyperlink ref="B5" r:id="rId4" display="https://www.abs.gov.au/ausstats/abs@.nsf/0/1647509ef7e25faaca2568a900154b63?opendocument" xr:uid="{63727E5E-0850-4414-8DD8-E50A09A5AEE8}"/>
    <hyperlink ref="B48" r:id="rId5" xr:uid="{E432DB14-5D35-4B35-8F24-1C070D7F22B3}"/>
    <hyperlink ref="B6"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H6" sqref="H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00" t="s">
        <v>226</v>
      </c>
      <c r="C3" s="184">
        <f>Projections!B5</f>
        <v>25634000</v>
      </c>
      <c r="J3" s="2"/>
    </row>
    <row r="4" spans="2:10" x14ac:dyDescent="0.25">
      <c r="B4" s="201" t="s">
        <v>244</v>
      </c>
      <c r="C4" s="184">
        <v>32</v>
      </c>
      <c r="J4" s="2"/>
    </row>
    <row r="5" spans="2:10" x14ac:dyDescent="0.25">
      <c r="B5" s="201" t="s">
        <v>245</v>
      </c>
      <c r="C5" s="182">
        <v>43892</v>
      </c>
      <c r="J5" s="2"/>
    </row>
    <row r="6" spans="2:10" x14ac:dyDescent="0.25">
      <c r="B6" s="201" t="s">
        <v>227</v>
      </c>
      <c r="C6" s="184">
        <v>6109</v>
      </c>
    </row>
    <row r="7" spans="2:10" x14ac:dyDescent="0.25">
      <c r="B7" s="201" t="s">
        <v>229</v>
      </c>
      <c r="C7" s="182">
        <f ca="1">NOW()</f>
        <v>43932.894616319441</v>
      </c>
    </row>
    <row r="8" spans="2:10" x14ac:dyDescent="0.25">
      <c r="B8" s="201" t="s">
        <v>246</v>
      </c>
      <c r="C8" s="183">
        <f ca="1">C7-C5</f>
        <v>40.894616319441411</v>
      </c>
    </row>
    <row r="9" spans="2:10" x14ac:dyDescent="0.25">
      <c r="B9" s="201" t="s">
        <v>228</v>
      </c>
      <c r="C9" s="185">
        <f ca="1">C8/(LOG(C6/C4)/LOG(2))</f>
        <v>5.3974032939545822</v>
      </c>
      <c r="D9" t="s">
        <v>201</v>
      </c>
      <c r="F9" t="s">
        <v>247</v>
      </c>
    </row>
    <row r="10" spans="2:10" x14ac:dyDescent="0.25">
      <c r="B10" s="201" t="s">
        <v>233</v>
      </c>
      <c r="C10" s="184">
        <f>Projections!C8</f>
        <v>66648.400000000009</v>
      </c>
    </row>
    <row r="11" spans="2:10" x14ac:dyDescent="0.25">
      <c r="B11" s="202" t="s">
        <v>234</v>
      </c>
      <c r="C11" s="189">
        <f>Projections!C9</f>
        <v>1896.9159999999999</v>
      </c>
    </row>
    <row r="12" spans="2:10" s="81" customFormat="1" x14ac:dyDescent="0.25">
      <c r="B12" s="74" t="s">
        <v>282</v>
      </c>
      <c r="C12" s="190">
        <f>C6/Projections!B6</f>
        <v>7541.9753086419751</v>
      </c>
    </row>
    <row r="13" spans="2:10" s="81" customFormat="1" x14ac:dyDescent="0.25">
      <c r="B13" s="60" t="s">
        <v>283</v>
      </c>
      <c r="C13" s="191">
        <f ca="1">(C4/Projections!B6)*(2^(((C7-21)-C5)/C9))</f>
        <v>508.45168061608223</v>
      </c>
    </row>
    <row r="14" spans="2:10" s="81" customFormat="1" x14ac:dyDescent="0.25">
      <c r="B14" s="61" t="s">
        <v>284</v>
      </c>
      <c r="C14" s="170">
        <f ca="1">C12-C13</f>
        <v>7033.5236280258932</v>
      </c>
      <c r="E14" s="187"/>
      <c r="F14" s="188" t="s">
        <v>251</v>
      </c>
      <c r="G14" s="186"/>
    </row>
    <row r="15" spans="2:10" x14ac:dyDescent="0.25">
      <c r="B15" s="16" t="s">
        <v>248</v>
      </c>
      <c r="C15" s="76">
        <f>C6*Projections!B10</f>
        <v>5620.2800000000007</v>
      </c>
      <c r="I15" s="181"/>
    </row>
    <row r="16" spans="2:10" x14ac:dyDescent="0.25">
      <c r="B16" s="53" t="s">
        <v>258</v>
      </c>
      <c r="C16" s="95">
        <f ca="1">(C4*Projections!B10)*(2^(((C7-21)-C5)/C9))</f>
        <v>378.8981923951045</v>
      </c>
      <c r="I16" s="181"/>
    </row>
    <row r="17" spans="2:9" x14ac:dyDescent="0.25">
      <c r="B17" s="53" t="s">
        <v>249</v>
      </c>
      <c r="C17" s="95">
        <f ca="1">C15-C16</f>
        <v>5241.3818076048965</v>
      </c>
      <c r="F17" t="s">
        <v>252</v>
      </c>
      <c r="I17" s="181"/>
    </row>
    <row r="18" spans="2:9" x14ac:dyDescent="0.25">
      <c r="B18" s="16" t="s">
        <v>254</v>
      </c>
      <c r="C18" s="76">
        <f>C6*Projections!B11</f>
        <v>305.45</v>
      </c>
    </row>
    <row r="19" spans="2:9" x14ac:dyDescent="0.25">
      <c r="B19" s="53" t="s">
        <v>259</v>
      </c>
      <c r="C19" s="95">
        <f ca="1">(C4*Projections!B11)*(2^(((C7-49)-C5)/C9))</f>
        <v>0.56501175706757734</v>
      </c>
    </row>
    <row r="20" spans="2:9" x14ac:dyDescent="0.25">
      <c r="B20" s="53" t="s">
        <v>253</v>
      </c>
      <c r="C20" s="95">
        <f ca="1">C18-C19</f>
        <v>304.88498824293242</v>
      </c>
      <c r="F20" t="s">
        <v>257</v>
      </c>
    </row>
    <row r="21" spans="2:9" x14ac:dyDescent="0.25">
      <c r="B21" s="16" t="s">
        <v>255</v>
      </c>
      <c r="C21" s="76">
        <f>C6*Projections!B12</f>
        <v>183.26999999999998</v>
      </c>
      <c r="I21" s="181"/>
    </row>
    <row r="22" spans="2:9" x14ac:dyDescent="0.25">
      <c r="B22" s="53" t="s">
        <v>260</v>
      </c>
      <c r="C22" s="95">
        <f ca="1">(C4*Projections!B12)*(2^(((C7-49)-C5)/C9))</f>
        <v>0.33900705424054639</v>
      </c>
      <c r="I22" s="181"/>
    </row>
    <row r="23" spans="2:9" x14ac:dyDescent="0.25">
      <c r="B23" s="53" t="s">
        <v>256</v>
      </c>
      <c r="C23" s="95">
        <f ca="1">C21-C22</f>
        <v>182.93099294575944</v>
      </c>
      <c r="I23" s="181"/>
    </row>
    <row r="24" spans="2:9" x14ac:dyDescent="0.25">
      <c r="B24" s="16" t="s">
        <v>261</v>
      </c>
      <c r="C24" s="76">
        <f>C6*Projections!B13</f>
        <v>30.545000000000002</v>
      </c>
    </row>
    <row r="25" spans="2:9" x14ac:dyDescent="0.25">
      <c r="B25" s="49" t="s">
        <v>262</v>
      </c>
      <c r="C25" s="73">
        <f ca="1">(C4*Projections!B13)*(2^(((C7-42)-C5)/C9))</f>
        <v>0.13882551437971599</v>
      </c>
      <c r="F25" t="s">
        <v>263</v>
      </c>
    </row>
    <row r="26" spans="2:9" x14ac:dyDescent="0.25">
      <c r="B26" s="53" t="s">
        <v>239</v>
      </c>
      <c r="C26" s="194">
        <f ca="1">C9*(LOG(C10/C21)/LOG(2))</f>
        <v>45.912772474280573</v>
      </c>
      <c r="D26" t="s">
        <v>201</v>
      </c>
      <c r="F26" s="81" t="s">
        <v>264</v>
      </c>
    </row>
    <row r="27" spans="2:9" x14ac:dyDescent="0.25">
      <c r="B27" s="49" t="s">
        <v>235</v>
      </c>
      <c r="C27" s="193">
        <f ca="1">C7+C26</f>
        <v>43978.807388793721</v>
      </c>
      <c r="F27" t="s">
        <v>265</v>
      </c>
    </row>
    <row r="28" spans="2:9" x14ac:dyDescent="0.25">
      <c r="B28" s="16" t="s">
        <v>240</v>
      </c>
      <c r="C28" s="192">
        <f ca="1">C9*(LOG(C11/C21)/LOG(2))</f>
        <v>18.197956422603312</v>
      </c>
      <c r="D28" t="s">
        <v>201</v>
      </c>
    </row>
    <row r="29" spans="2:9" x14ac:dyDescent="0.25">
      <c r="B29" s="49" t="s">
        <v>236</v>
      </c>
      <c r="C29" s="193">
        <f ca="1">C7+C28</f>
        <v>43951.092572742047</v>
      </c>
      <c r="F29" t="s">
        <v>265</v>
      </c>
    </row>
    <row r="30" spans="2:9" x14ac:dyDescent="0.25">
      <c r="B30" s="16" t="s">
        <v>241</v>
      </c>
      <c r="C30" s="192">
        <f ca="1">C9*(LOG((C3*0.6)/C12)/LOG(2))</f>
        <v>59.338312242001315</v>
      </c>
      <c r="D30" t="s">
        <v>201</v>
      </c>
    </row>
    <row r="31" spans="2:9" x14ac:dyDescent="0.25">
      <c r="B31" s="49" t="s">
        <v>238</v>
      </c>
      <c r="C31" s="193">
        <f ca="1">C7+C30</f>
        <v>43992.23292856144</v>
      </c>
    </row>
    <row r="34" spans="2:6" x14ac:dyDescent="0.25">
      <c r="B34" s="16" t="s">
        <v>242</v>
      </c>
      <c r="C34" s="182">
        <f ca="1">C7+30</f>
        <v>43962.894616319441</v>
      </c>
      <c r="F34" t="s">
        <v>285</v>
      </c>
    </row>
    <row r="35" spans="2:6" x14ac:dyDescent="0.25">
      <c r="B35" s="53" t="s">
        <v>243</v>
      </c>
      <c r="C35" s="95">
        <f ca="1">C6*(2^((C34-C7)/C9))</f>
        <v>287848.24171247036</v>
      </c>
      <c r="F35" t="s">
        <v>250</v>
      </c>
    </row>
    <row r="36" spans="2:6" x14ac:dyDescent="0.25">
      <c r="B36" s="53" t="s">
        <v>237</v>
      </c>
      <c r="C36" s="95">
        <f ca="1">C35/Projections!B6</f>
        <v>355368.19964502513</v>
      </c>
    </row>
    <row r="37" spans="2:6" x14ac:dyDescent="0.25">
      <c r="B37" s="53" t="s">
        <v>176</v>
      </c>
      <c r="C37" s="95">
        <f ca="1">C35*Projections!B10</f>
        <v>264820.38237547275</v>
      </c>
    </row>
    <row r="38" spans="2:6" x14ac:dyDescent="0.25">
      <c r="B38" s="53" t="s">
        <v>230</v>
      </c>
      <c r="C38" s="95">
        <f ca="1">C35*Projections!B11</f>
        <v>14392.412085623519</v>
      </c>
    </row>
    <row r="39" spans="2:6" x14ac:dyDescent="0.25">
      <c r="B39" s="53" t="s">
        <v>231</v>
      </c>
      <c r="C39" s="95">
        <f ca="1">C35*Projections!B12</f>
        <v>8635.4472513741111</v>
      </c>
    </row>
    <row r="40" spans="2:6" x14ac:dyDescent="0.25">
      <c r="B40" s="49" t="s">
        <v>232</v>
      </c>
      <c r="C40" s="73">
        <f ca="1">C35*Projections!B13</f>
        <v>1439.2412085623519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H26" sqref="H26"/>
    </sheetView>
  </sheetViews>
  <sheetFormatPr defaultRowHeight="15" x14ac:dyDescent="0.25"/>
  <sheetData>
    <row r="3" spans="1:3" x14ac:dyDescent="0.25">
      <c r="A3" t="s">
        <v>136</v>
      </c>
      <c r="B3" t="s">
        <v>137</v>
      </c>
      <c r="C3" t="s">
        <v>138</v>
      </c>
    </row>
    <row r="4" spans="1:3" x14ac:dyDescent="0.25">
      <c r="A4" s="53" t="s">
        <v>13</v>
      </c>
      <c r="B4">
        <v>168</v>
      </c>
      <c r="C4" s="3">
        <f t="shared" ref="C4:C12" si="0">B4/$B$14</f>
        <v>2.8856063208519408E-2</v>
      </c>
    </row>
    <row r="5" spans="1:3" x14ac:dyDescent="0.25">
      <c r="A5" s="53" t="s">
        <v>14</v>
      </c>
      <c r="B5">
        <v>623</v>
      </c>
      <c r="C5" s="3">
        <f t="shared" si="0"/>
        <v>0.10700790106492614</v>
      </c>
    </row>
    <row r="6" spans="1:3" x14ac:dyDescent="0.25">
      <c r="A6" s="53" t="s">
        <v>15</v>
      </c>
      <c r="B6">
        <v>980</v>
      </c>
      <c r="C6" s="3">
        <f t="shared" si="0"/>
        <v>0.1683270353830299</v>
      </c>
    </row>
    <row r="7" spans="1:3" x14ac:dyDescent="0.25">
      <c r="A7" s="53" t="s">
        <v>16</v>
      </c>
      <c r="B7">
        <v>904</v>
      </c>
      <c r="C7" s="3">
        <f t="shared" si="0"/>
        <v>0.15527310202679492</v>
      </c>
    </row>
    <row r="8" spans="1:3" x14ac:dyDescent="0.25">
      <c r="A8" s="53" t="s">
        <v>17</v>
      </c>
      <c r="B8">
        <v>750</v>
      </c>
      <c r="C8" s="3">
        <f t="shared" si="0"/>
        <v>0.1288217107523188</v>
      </c>
    </row>
    <row r="9" spans="1:3" x14ac:dyDescent="0.25">
      <c r="A9" s="53" t="s">
        <v>18</v>
      </c>
      <c r="B9">
        <v>920</v>
      </c>
      <c r="C9" s="3">
        <f t="shared" si="0"/>
        <v>0.15802129852284438</v>
      </c>
    </row>
    <row r="10" spans="1:3" x14ac:dyDescent="0.25">
      <c r="A10" s="53" t="s">
        <v>19</v>
      </c>
      <c r="B10">
        <v>1253</v>
      </c>
      <c r="C10" s="3">
        <f t="shared" si="0"/>
        <v>0.21521813809687393</v>
      </c>
    </row>
    <row r="11" spans="1:3" ht="15.75" customHeight="1" x14ac:dyDescent="0.25">
      <c r="A11" s="54" t="s">
        <v>20</v>
      </c>
      <c r="B11">
        <v>167</v>
      </c>
      <c r="C11" s="3">
        <f t="shared" si="0"/>
        <v>2.8684300927516317E-2</v>
      </c>
    </row>
    <row r="12" spans="1:3" x14ac:dyDescent="0.25">
      <c r="A12" s="54" t="s">
        <v>21</v>
      </c>
      <c r="B12">
        <v>57</v>
      </c>
      <c r="C12" s="3">
        <f t="shared" si="0"/>
        <v>9.7904500171762283E-3</v>
      </c>
    </row>
    <row r="14" spans="1:3" x14ac:dyDescent="0.25">
      <c r="A14" t="s">
        <v>139</v>
      </c>
      <c r="B14">
        <f>SUM(B4:B12)</f>
        <v>5822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2020-04-11T11:28:45Z</dcterms:modified>
</cp:coreProperties>
</file>