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AA782A9F-9D52-429C-A209-AA2E61263224}"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4" i="1" l="1"/>
  <c r="Q44" i="1"/>
  <c r="P44" i="1"/>
  <c r="O44" i="1"/>
  <c r="N44" i="1"/>
  <c r="M44" i="1"/>
  <c r="L44" i="1"/>
  <c r="K44" i="1"/>
  <c r="J44" i="1"/>
  <c r="E34" i="4"/>
  <c r="C45" i="4"/>
  <c r="F4" i="1"/>
  <c r="C21" i="5" l="1"/>
  <c r="R43" i="1"/>
  <c r="K43" i="1"/>
  <c r="D9" i="1"/>
  <c r="AH72" i="1"/>
  <c r="AH73" i="1" s="1"/>
  <c r="AH74" i="1"/>
  <c r="AH75" i="1" s="1"/>
  <c r="AH76" i="1"/>
  <c r="AH77" i="1" s="1"/>
  <c r="AH78" i="1"/>
  <c r="AH79" i="1" s="1"/>
  <c r="AH80" i="1"/>
  <c r="AH81" i="1" s="1"/>
  <c r="AH82" i="1"/>
  <c r="AH84" i="1"/>
  <c r="AH49" i="1"/>
  <c r="AH50" i="1"/>
  <c r="AH51" i="1"/>
  <c r="AH52" i="1"/>
  <c r="AH53" i="1"/>
  <c r="AH54" i="1"/>
  <c r="AH55" i="1"/>
  <c r="AH56" i="1"/>
  <c r="AH57" i="1"/>
  <c r="AH58" i="1"/>
  <c r="AH59" i="1"/>
  <c r="AH60" i="1"/>
  <c r="AH61" i="1"/>
  <c r="AH62" i="1"/>
  <c r="AH63" i="1"/>
  <c r="AH64" i="1"/>
  <c r="AH65" i="1"/>
  <c r="AH66" i="1"/>
  <c r="AH67" i="1"/>
  <c r="AH68" i="1"/>
  <c r="C9" i="1"/>
  <c r="C8" i="1"/>
  <c r="B14" i="3"/>
  <c r="AH43" i="1"/>
  <c r="AH42" i="1"/>
  <c r="AH41" i="1"/>
  <c r="AJ40" i="1"/>
  <c r="AH40" i="1"/>
  <c r="AF22" i="1"/>
  <c r="AF23" i="1" s="1"/>
  <c r="AD17" i="1"/>
  <c r="AE17" i="1" s="1"/>
  <c r="AH22" i="1"/>
  <c r="AH24" i="1" s="1"/>
  <c r="AH23" i="1"/>
  <c r="S42" i="1"/>
  <c r="T42" i="1" s="1"/>
  <c r="U42" i="1" s="1"/>
  <c r="V42" i="1" s="1"/>
  <c r="W42" i="1" s="1"/>
  <c r="X42" i="1" s="1"/>
  <c r="Y42" i="1" s="1"/>
  <c r="J41" i="1"/>
  <c r="B65" i="1"/>
  <c r="B63" i="1"/>
  <c r="B61" i="1"/>
  <c r="B59" i="1"/>
  <c r="B57" i="1"/>
  <c r="B55" i="1"/>
  <c r="B53" i="1"/>
  <c r="B51" i="1"/>
  <c r="B49" i="1"/>
  <c r="C23" i="2"/>
  <c r="D23" i="2" s="1"/>
  <c r="D24" i="2"/>
  <c r="D18" i="2"/>
  <c r="D16" i="2"/>
  <c r="D14" i="2"/>
  <c r="D12" i="2"/>
  <c r="D10" i="2"/>
  <c r="D8" i="2"/>
  <c r="D6" i="2"/>
  <c r="D4" i="2"/>
  <c r="C18" i="2"/>
  <c r="C16" i="2"/>
  <c r="C14" i="2"/>
  <c r="C12" i="2"/>
  <c r="C10" i="2"/>
  <c r="C8" i="2"/>
  <c r="C6" i="2"/>
  <c r="C4" i="2"/>
  <c r="B25" i="2"/>
  <c r="AH85" i="1" l="1"/>
  <c r="AK22" i="1"/>
  <c r="AK18" i="1"/>
  <c r="AK26" i="1" s="1"/>
  <c r="AK19" i="1"/>
  <c r="AG22" i="1"/>
  <c r="AI22" i="1"/>
  <c r="AK24" i="1" l="1"/>
  <c r="AK23" i="1"/>
  <c r="C5" i="5"/>
  <c r="C4" i="5"/>
  <c r="K17" i="1"/>
  <c r="L17" i="1" s="1"/>
  <c r="M17" i="1" l="1"/>
  <c r="N17" i="1" l="1"/>
  <c r="K41" i="1"/>
  <c r="J43" i="1"/>
  <c r="J40" i="1"/>
  <c r="O17" i="1" l="1"/>
  <c r="L41" i="1"/>
  <c r="J28" i="1"/>
  <c r="J29" i="1" s="1"/>
  <c r="J30" i="1"/>
  <c r="J31" i="1" s="1"/>
  <c r="Z42" i="1"/>
  <c r="AA42" i="1" s="1"/>
  <c r="AB42" i="1" s="1"/>
  <c r="AC42" i="1" s="1"/>
  <c r="AD42" i="1" s="1"/>
  <c r="AE42" i="1" s="1"/>
  <c r="AF42" i="1" s="1"/>
  <c r="AG42" i="1" s="1"/>
  <c r="AI42" i="1" s="1"/>
  <c r="P17" i="1" l="1"/>
  <c r="M41" i="1"/>
  <c r="J26" i="1"/>
  <c r="J27" i="1" s="1"/>
  <c r="J22" i="1"/>
  <c r="J24" i="1" s="1"/>
  <c r="J25" i="1" s="1"/>
  <c r="C12" i="5"/>
  <c r="C7" i="5"/>
  <c r="C8" i="5" s="1"/>
  <c r="C9" i="5" s="1"/>
  <c r="C28" i="5" s="1"/>
  <c r="C18" i="5"/>
  <c r="C15" i="5"/>
  <c r="C24" i="5"/>
  <c r="C3" i="5"/>
  <c r="Q17" i="1" l="1"/>
  <c r="C30" i="5"/>
  <c r="J23" i="1"/>
  <c r="N41" i="1"/>
  <c r="J20" i="1"/>
  <c r="J21" i="1" s="1"/>
  <c r="C34" i="5"/>
  <c r="R17" i="1" l="1"/>
  <c r="O41" i="1"/>
  <c r="C13" i="5"/>
  <c r="C14" i="5" s="1"/>
  <c r="AJ18" i="1"/>
  <c r="J36" i="1"/>
  <c r="J34" i="1"/>
  <c r="J37" i="1"/>
  <c r="J35" i="1"/>
  <c r="S17" i="1" l="1"/>
  <c r="AJ74" i="1"/>
  <c r="AJ75" i="1" s="1"/>
  <c r="AJ72" i="1"/>
  <c r="AJ78" i="1"/>
  <c r="AJ79" i="1" s="1"/>
  <c r="AJ82" i="1"/>
  <c r="AJ76" i="1"/>
  <c r="AJ77" i="1" s="1"/>
  <c r="AJ80" i="1"/>
  <c r="AJ81" i="1" s="1"/>
  <c r="P41" i="1"/>
  <c r="AJ19" i="1"/>
  <c r="AK32" i="1"/>
  <c r="AK30" i="1"/>
  <c r="AK28" i="1"/>
  <c r="AJ42" i="1"/>
  <c r="AK42" i="1" s="1"/>
  <c r="AJ26" i="1"/>
  <c r="AJ22" i="1"/>
  <c r="AJ24" i="1" s="1"/>
  <c r="C22" i="5"/>
  <c r="C23" i="5" s="1"/>
  <c r="C35" i="5"/>
  <c r="C40" i="5" s="1"/>
  <c r="C25" i="5"/>
  <c r="C19" i="5"/>
  <c r="C20" i="5" s="1"/>
  <c r="C16" i="5"/>
  <c r="C17" i="5" s="1"/>
  <c r="C31" i="5"/>
  <c r="AP25" i="4"/>
  <c r="E31" i="4"/>
  <c r="B17" i="4" s="1"/>
  <c r="K20" i="4" l="1"/>
  <c r="B18" i="4"/>
  <c r="B19" i="4" s="1"/>
  <c r="T17" i="1"/>
  <c r="AJ73" i="1"/>
  <c r="AJ85" i="1" s="1"/>
  <c r="AJ84"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2" i="1"/>
  <c r="J73" i="1" s="1"/>
  <c r="V17" i="1" l="1"/>
  <c r="E19" i="4"/>
  <c r="Q20" i="4"/>
  <c r="H18" i="4"/>
  <c r="N22" i="4" s="1"/>
  <c r="K17" i="4"/>
  <c r="Y24" i="4"/>
  <c r="W17" i="1" l="1"/>
  <c r="H19" i="4"/>
  <c r="T20" i="4"/>
  <c r="K18" i="4"/>
  <c r="N21" i="4"/>
  <c r="AB24" i="4" s="1"/>
  <c r="K19" i="4"/>
  <c r="N17" i="4"/>
  <c r="X17" i="1" l="1"/>
  <c r="Q17" i="4"/>
  <c r="T17" i="4" s="1"/>
  <c r="W20" i="4"/>
  <c r="N18" i="4"/>
  <c r="Q21" i="4"/>
  <c r="AE24" i="4" s="1"/>
  <c r="Q22" i="4"/>
  <c r="N19" i="4"/>
  <c r="Y17" i="1" l="1"/>
  <c r="Z17" i="1" s="1"/>
  <c r="AA17" i="1" s="1"/>
  <c r="AB17" i="1" s="1"/>
  <c r="AC17" i="1" s="1"/>
  <c r="T18" i="4"/>
  <c r="T19" i="4" s="1"/>
  <c r="AC20" i="4"/>
  <c r="Z20" i="4"/>
  <c r="Q18" i="4"/>
  <c r="Q19" i="4" s="1"/>
  <c r="T21" i="4"/>
  <c r="AH24" i="4" s="1"/>
  <c r="T22" i="4"/>
  <c r="T23" i="4"/>
  <c r="W21" i="4"/>
  <c r="AK24" i="4" s="1"/>
  <c r="W17" i="4"/>
  <c r="W23" i="4" l="1"/>
  <c r="AD40" i="1"/>
  <c r="AD41" i="1"/>
  <c r="AD43" i="1"/>
  <c r="W18" i="4"/>
  <c r="W19" i="4" s="1"/>
  <c r="AF20" i="4"/>
  <c r="W22" i="4"/>
  <c r="Z21" i="4"/>
  <c r="AN24" i="4" s="1"/>
  <c r="Z23" i="4"/>
  <c r="Z22" i="4"/>
  <c r="Z17" i="4"/>
  <c r="C82" i="1"/>
  <c r="C80" i="1"/>
  <c r="C78" i="1"/>
  <c r="C76" i="1"/>
  <c r="C74" i="1"/>
  <c r="C72" i="1"/>
  <c r="J32" i="1"/>
  <c r="D51" i="1"/>
  <c r="AF17" i="1" l="1"/>
  <c r="AE40" i="1"/>
  <c r="AE41" i="1"/>
  <c r="AE43" i="1"/>
  <c r="Z18" i="4"/>
  <c r="Z19" i="4" s="1"/>
  <c r="AI20" i="4"/>
  <c r="AJ51" i="1"/>
  <c r="AJ52" i="1"/>
  <c r="AC21" i="4"/>
  <c r="AC22" i="4"/>
  <c r="AC23" i="4"/>
  <c r="AC17" i="4"/>
  <c r="AJ32" i="1"/>
  <c r="D55" i="1"/>
  <c r="D49" i="1"/>
  <c r="D65" i="1"/>
  <c r="D63" i="1"/>
  <c r="D61" i="1"/>
  <c r="D59" i="1"/>
  <c r="D57" i="1"/>
  <c r="D53" i="1"/>
  <c r="C10" i="5"/>
  <c r="C26" i="5" s="1"/>
  <c r="C27" i="5" s="1"/>
  <c r="C11" i="5"/>
  <c r="C29" i="5" s="1"/>
  <c r="J52" i="1"/>
  <c r="J82" i="1"/>
  <c r="J80" i="1"/>
  <c r="J78" i="1"/>
  <c r="J79" i="1" s="1"/>
  <c r="J76" i="1"/>
  <c r="J77" i="1" s="1"/>
  <c r="J74" i="1"/>
  <c r="J75" i="1" s="1"/>
  <c r="C51" i="1"/>
  <c r="C53" i="1"/>
  <c r="C55" i="1"/>
  <c r="C57" i="1"/>
  <c r="C59" i="1"/>
  <c r="C61" i="1"/>
  <c r="C63" i="1"/>
  <c r="C65" i="1"/>
  <c r="C49" i="1"/>
  <c r="J19" i="1"/>
  <c r="K18" i="1"/>
  <c r="AG17" i="1" l="1"/>
  <c r="AH17" i="1" s="1"/>
  <c r="AF40" i="1"/>
  <c r="AF41" i="1"/>
  <c r="AF43" i="1"/>
  <c r="AJ49" i="1"/>
  <c r="AJ50" i="1"/>
  <c r="AL20" i="4"/>
  <c r="AC18" i="4"/>
  <c r="AC19" i="4" s="1"/>
  <c r="AJ61" i="1"/>
  <c r="AJ62" i="1"/>
  <c r="AJ54" i="1"/>
  <c r="AJ53" i="1"/>
  <c r="AJ57" i="1"/>
  <c r="AJ58" i="1"/>
  <c r="AJ64" i="1"/>
  <c r="AJ63" i="1"/>
  <c r="AJ56" i="1"/>
  <c r="AJ55" i="1"/>
  <c r="AJ60" i="1"/>
  <c r="AJ59" i="1"/>
  <c r="J66" i="1"/>
  <c r="AJ66" i="1"/>
  <c r="AJ65" i="1"/>
  <c r="K28" i="1"/>
  <c r="K30" i="1"/>
  <c r="K31" i="1" s="1"/>
  <c r="K26" i="1"/>
  <c r="K27" i="1" s="1"/>
  <c r="K34" i="1"/>
  <c r="K37" i="1"/>
  <c r="K40" i="1"/>
  <c r="K35" i="1"/>
  <c r="K36" i="1"/>
  <c r="K22" i="1"/>
  <c r="AF22" i="4"/>
  <c r="AF23" i="4"/>
  <c r="AF21" i="4"/>
  <c r="AF17" i="4"/>
  <c r="J50" i="1"/>
  <c r="J49" i="1"/>
  <c r="J58" i="1"/>
  <c r="J57" i="1"/>
  <c r="J61" i="1"/>
  <c r="J60" i="1"/>
  <c r="J63" i="1"/>
  <c r="J53" i="1"/>
  <c r="L18" i="1"/>
  <c r="L26" i="1" s="1"/>
  <c r="L27" i="1" s="1"/>
  <c r="K76" i="1"/>
  <c r="K77" i="1" s="1"/>
  <c r="J54" i="1"/>
  <c r="K65" i="1"/>
  <c r="K74" i="1"/>
  <c r="K75" i="1" s="1"/>
  <c r="J62" i="1"/>
  <c r="K63" i="1"/>
  <c r="K82" i="1"/>
  <c r="J51" i="1"/>
  <c r="J59" i="1"/>
  <c r="K80" i="1"/>
  <c r="K81" i="1" s="1"/>
  <c r="K78" i="1"/>
  <c r="K79" i="1" s="1"/>
  <c r="K61" i="1"/>
  <c r="K54" i="1"/>
  <c r="K58" i="1"/>
  <c r="K62" i="1"/>
  <c r="K66" i="1"/>
  <c r="J84" i="1"/>
  <c r="K72" i="1"/>
  <c r="K73" i="1" s="1"/>
  <c r="J55" i="1"/>
  <c r="K51" i="1"/>
  <c r="J56" i="1"/>
  <c r="J64" i="1"/>
  <c r="K55" i="1"/>
  <c r="K52" i="1"/>
  <c r="K59" i="1"/>
  <c r="J65" i="1"/>
  <c r="K49" i="1"/>
  <c r="K56" i="1"/>
  <c r="K60" i="1"/>
  <c r="K64" i="1"/>
  <c r="K53" i="1"/>
  <c r="K50" i="1"/>
  <c r="K57" i="1"/>
  <c r="J81" i="1"/>
  <c r="J85" i="1" s="1"/>
  <c r="K19" i="1"/>
  <c r="K32" i="1"/>
  <c r="AH33" i="1" l="1"/>
  <c r="AI17" i="1"/>
  <c r="AG40" i="1"/>
  <c r="AG41" i="1"/>
  <c r="AG43" i="1"/>
  <c r="AO20" i="4"/>
  <c r="AF18" i="4"/>
  <c r="AF19" i="4" s="1"/>
  <c r="AJ68" i="1"/>
  <c r="AJ67" i="1"/>
  <c r="K29" i="1"/>
  <c r="K20" i="1" s="1"/>
  <c r="K21" i="1" s="1"/>
  <c r="L74" i="1"/>
  <c r="L75" i="1" s="1"/>
  <c r="L55" i="1"/>
  <c r="L30" i="1"/>
  <c r="L31" i="1" s="1"/>
  <c r="L80" i="1"/>
  <c r="L81" i="1" s="1"/>
  <c r="L51" i="1"/>
  <c r="L50" i="1"/>
  <c r="L72" i="1"/>
  <c r="L73" i="1" s="1"/>
  <c r="L52" i="1"/>
  <c r="L19" i="1"/>
  <c r="K23" i="1"/>
  <c r="K24" i="1"/>
  <c r="K25" i="1" s="1"/>
  <c r="L43" i="1"/>
  <c r="M18" i="1"/>
  <c r="M26" i="1" s="1"/>
  <c r="L22" i="1"/>
  <c r="L32" i="1"/>
  <c r="L65" i="1"/>
  <c r="L64" i="1"/>
  <c r="L76" i="1"/>
  <c r="L77" i="1" s="1"/>
  <c r="L60" i="1"/>
  <c r="L59" i="1"/>
  <c r="L36" i="1"/>
  <c r="L34" i="1"/>
  <c r="L37" i="1"/>
  <c r="L40" i="1"/>
  <c r="L35" i="1"/>
  <c r="AI23" i="4"/>
  <c r="AI21" i="4"/>
  <c r="AI22" i="4"/>
  <c r="AI17" i="4"/>
  <c r="AI18" i="4" s="1"/>
  <c r="J68" i="1"/>
  <c r="K68" i="1"/>
  <c r="L62" i="1"/>
  <c r="L61" i="1"/>
  <c r="L57" i="1"/>
  <c r="L54" i="1"/>
  <c r="L56" i="1"/>
  <c r="L49" i="1"/>
  <c r="L58" i="1"/>
  <c r="L63" i="1"/>
  <c r="L82" i="1"/>
  <c r="L53" i="1"/>
  <c r="L78" i="1"/>
  <c r="L79" i="1" s="1"/>
  <c r="L66" i="1"/>
  <c r="K84" i="1"/>
  <c r="J67" i="1"/>
  <c r="K67" i="1"/>
  <c r="K85" i="1"/>
  <c r="AJ17" i="1" l="1"/>
  <c r="AI43" i="1"/>
  <c r="AI40" i="1"/>
  <c r="AI41" i="1"/>
  <c r="M56" i="1"/>
  <c r="M54" i="1"/>
  <c r="M52" i="1"/>
  <c r="M66" i="1"/>
  <c r="M74" i="1"/>
  <c r="M75" i="1" s="1"/>
  <c r="M62" i="1"/>
  <c r="M61" i="1"/>
  <c r="M53" i="1"/>
  <c r="M64" i="1"/>
  <c r="M59" i="1"/>
  <c r="M82" i="1"/>
  <c r="M49" i="1"/>
  <c r="M60" i="1"/>
  <c r="M58" i="1"/>
  <c r="M51" i="1"/>
  <c r="M72" i="1"/>
  <c r="M73" i="1" s="1"/>
  <c r="M55" i="1"/>
  <c r="N18" i="1"/>
  <c r="N61" i="1" s="1"/>
  <c r="M65" i="1"/>
  <c r="M63" i="1"/>
  <c r="M32" i="1"/>
  <c r="M76" i="1"/>
  <c r="M77" i="1" s="1"/>
  <c r="L85" i="1"/>
  <c r="M50" i="1"/>
  <c r="M78" i="1"/>
  <c r="M79" i="1" s="1"/>
  <c r="M80" i="1"/>
  <c r="M81" i="1" s="1"/>
  <c r="M19" i="1"/>
  <c r="M57" i="1"/>
  <c r="M43" i="1"/>
  <c r="L23" i="1"/>
  <c r="L24" i="1"/>
  <c r="L25" i="1" s="1"/>
  <c r="M35" i="1"/>
  <c r="M36" i="1"/>
  <c r="M37" i="1"/>
  <c r="M40" i="1"/>
  <c r="M34" i="1"/>
  <c r="L84" i="1"/>
  <c r="M22" i="1"/>
  <c r="AL22" i="4"/>
  <c r="AL21" i="4"/>
  <c r="AL23" i="4"/>
  <c r="AL17" i="4"/>
  <c r="AL18" i="4" s="1"/>
  <c r="AI19" i="4"/>
  <c r="L67" i="1"/>
  <c r="L68" i="1"/>
  <c r="AH28" i="1" l="1"/>
  <c r="AH30" i="1"/>
  <c r="AH31" i="1" s="1"/>
  <c r="AH25" i="1"/>
  <c r="N65" i="1"/>
  <c r="N62" i="1"/>
  <c r="N74" i="1"/>
  <c r="N75" i="1" s="1"/>
  <c r="N59" i="1"/>
  <c r="N60" i="1"/>
  <c r="N51" i="1"/>
  <c r="N57" i="1"/>
  <c r="N72" i="1"/>
  <c r="N73" i="1" s="1"/>
  <c r="M68" i="1"/>
  <c r="N58" i="1"/>
  <c r="N50" i="1"/>
  <c r="N80" i="1"/>
  <c r="N81" i="1" s="1"/>
  <c r="N64" i="1"/>
  <c r="N56" i="1"/>
  <c r="N63" i="1"/>
  <c r="N78" i="1"/>
  <c r="N79" i="1" s="1"/>
  <c r="M85" i="1"/>
  <c r="N26" i="1"/>
  <c r="N19" i="1"/>
  <c r="N52" i="1"/>
  <c r="N53" i="1"/>
  <c r="N76" i="1"/>
  <c r="N77" i="1" s="1"/>
  <c r="N22" i="1"/>
  <c r="N24" i="1" s="1"/>
  <c r="N32" i="1"/>
  <c r="N55" i="1"/>
  <c r="O18" i="1"/>
  <c r="O62" i="1" s="1"/>
  <c r="N66" i="1"/>
  <c r="M67" i="1"/>
  <c r="N54" i="1"/>
  <c r="N82" i="1"/>
  <c r="M84" i="1"/>
  <c r="N49" i="1"/>
  <c r="N43" i="1"/>
  <c r="M23" i="1"/>
  <c r="M24" i="1"/>
  <c r="N35" i="1"/>
  <c r="N40" i="1"/>
  <c r="N36" i="1"/>
  <c r="N37" i="1"/>
  <c r="N34" i="1"/>
  <c r="AO21" i="4"/>
  <c r="AO22" i="4"/>
  <c r="AO23" i="4"/>
  <c r="AO17" i="4"/>
  <c r="AO18" i="4" s="1"/>
  <c r="AO19" i="4" s="1"/>
  <c r="AL19" i="4"/>
  <c r="O59" i="1"/>
  <c r="O49" i="1"/>
  <c r="AH29" i="1" l="1"/>
  <c r="O52" i="1"/>
  <c r="N67" i="1"/>
  <c r="N85" i="1"/>
  <c r="O65" i="1"/>
  <c r="O32" i="1"/>
  <c r="P18" i="1"/>
  <c r="P63" i="1" s="1"/>
  <c r="O54" i="1"/>
  <c r="O80" i="1"/>
  <c r="O81" i="1" s="1"/>
  <c r="O60" i="1"/>
  <c r="O61" i="1"/>
  <c r="N84" i="1"/>
  <c r="O57" i="1"/>
  <c r="N68" i="1"/>
  <c r="O19" i="1"/>
  <c r="O55" i="1"/>
  <c r="O78" i="1"/>
  <c r="O79" i="1" s="1"/>
  <c r="O26" i="1"/>
  <c r="O74" i="1"/>
  <c r="O75" i="1" s="1"/>
  <c r="O56" i="1"/>
  <c r="O22" i="1"/>
  <c r="O23" i="1" s="1"/>
  <c r="O64" i="1"/>
  <c r="O63" i="1"/>
  <c r="O58" i="1"/>
  <c r="O76" i="1"/>
  <c r="O77" i="1" s="1"/>
  <c r="O51" i="1"/>
  <c r="O72" i="1"/>
  <c r="O73" i="1" s="1"/>
  <c r="O82" i="1"/>
  <c r="O53" i="1"/>
  <c r="N23" i="1"/>
  <c r="O50" i="1"/>
  <c r="O66" i="1"/>
  <c r="P22" i="1"/>
  <c r="P26" i="1"/>
  <c r="O43" i="1"/>
  <c r="O35" i="1"/>
  <c r="O36" i="1"/>
  <c r="O34" i="1"/>
  <c r="O37" i="1"/>
  <c r="O40" i="1"/>
  <c r="P32" i="1" l="1"/>
  <c r="P60" i="1"/>
  <c r="P72" i="1"/>
  <c r="P73" i="1" s="1"/>
  <c r="P82" i="1"/>
  <c r="P57" i="1"/>
  <c r="P58" i="1"/>
  <c r="P50" i="1"/>
  <c r="P64" i="1"/>
  <c r="P51" i="1"/>
  <c r="P49" i="1"/>
  <c r="P54" i="1"/>
  <c r="P61" i="1"/>
  <c r="P62" i="1"/>
  <c r="P19" i="1"/>
  <c r="P74" i="1"/>
  <c r="P75" i="1" s="1"/>
  <c r="P59" i="1"/>
  <c r="P52" i="1"/>
  <c r="P78" i="1"/>
  <c r="P79" i="1" s="1"/>
  <c r="P76" i="1"/>
  <c r="P77" i="1" s="1"/>
  <c r="P56" i="1"/>
  <c r="P55" i="1"/>
  <c r="Q18" i="1"/>
  <c r="Q59" i="1" s="1"/>
  <c r="P66" i="1"/>
  <c r="P65" i="1"/>
  <c r="P80" i="1"/>
  <c r="P81" i="1" s="1"/>
  <c r="P53" i="1"/>
  <c r="O85" i="1"/>
  <c r="O68" i="1"/>
  <c r="O84" i="1"/>
  <c r="O67" i="1"/>
  <c r="O24" i="1"/>
  <c r="P43" i="1"/>
  <c r="P23" i="1"/>
  <c r="P24" i="1"/>
  <c r="P35" i="1"/>
  <c r="P36" i="1"/>
  <c r="P37" i="1"/>
  <c r="P34" i="1"/>
  <c r="P40" i="1"/>
  <c r="Q62" i="1" l="1"/>
  <c r="Q74" i="1"/>
  <c r="Q75" i="1" s="1"/>
  <c r="Q49" i="1"/>
  <c r="Q72" i="1"/>
  <c r="Q73" i="1" s="1"/>
  <c r="Q32" i="1"/>
  <c r="Q60" i="1"/>
  <c r="Q65" i="1"/>
  <c r="Q82" i="1"/>
  <c r="Q54" i="1"/>
  <c r="R18" i="1"/>
  <c r="R26" i="1" s="1"/>
  <c r="Q61" i="1"/>
  <c r="Q66" i="1"/>
  <c r="Q50" i="1"/>
  <c r="P67" i="1"/>
  <c r="Q56" i="1"/>
  <c r="P68" i="1"/>
  <c r="P84" i="1"/>
  <c r="Q52" i="1"/>
  <c r="Q63" i="1"/>
  <c r="Q58" i="1"/>
  <c r="Q57" i="1"/>
  <c r="Q76" i="1"/>
  <c r="Q77" i="1" s="1"/>
  <c r="P85" i="1"/>
  <c r="Q22" i="1"/>
  <c r="Q23" i="1" s="1"/>
  <c r="Q78" i="1"/>
  <c r="Q79" i="1" s="1"/>
  <c r="Q26" i="1"/>
  <c r="Q19" i="1"/>
  <c r="Q51" i="1"/>
  <c r="Q53" i="1"/>
  <c r="Q64" i="1"/>
  <c r="Q80" i="1"/>
  <c r="Q81" i="1" s="1"/>
  <c r="Q55" i="1"/>
  <c r="Q43" i="1"/>
  <c r="Q41" i="1"/>
  <c r="Q40" i="1"/>
  <c r="Q35" i="1"/>
  <c r="Q37" i="1"/>
  <c r="Q36" i="1"/>
  <c r="Q34" i="1"/>
  <c r="R62" i="1" l="1"/>
  <c r="R65" i="1"/>
  <c r="R66" i="1"/>
  <c r="R19" i="1"/>
  <c r="R80" i="1"/>
  <c r="R81" i="1" s="1"/>
  <c r="R78" i="1"/>
  <c r="R79" i="1" s="1"/>
  <c r="R76" i="1"/>
  <c r="R77" i="1" s="1"/>
  <c r="R57" i="1"/>
  <c r="R74" i="1"/>
  <c r="R75" i="1" s="1"/>
  <c r="R60" i="1"/>
  <c r="R52" i="1"/>
  <c r="R50" i="1"/>
  <c r="R49" i="1"/>
  <c r="R58" i="1"/>
  <c r="R64" i="1"/>
  <c r="R32" i="1"/>
  <c r="R51" i="1"/>
  <c r="R59" i="1"/>
  <c r="R63" i="1"/>
  <c r="R72" i="1"/>
  <c r="R73" i="1" s="1"/>
  <c r="R56" i="1"/>
  <c r="R61" i="1"/>
  <c r="R55" i="1"/>
  <c r="R54" i="1"/>
  <c r="S18" i="1"/>
  <c r="S32" i="1" s="1"/>
  <c r="R53" i="1"/>
  <c r="R82" i="1"/>
  <c r="R22" i="1"/>
  <c r="R23" i="1" s="1"/>
  <c r="Q68" i="1"/>
  <c r="Q24" i="1"/>
  <c r="Q67" i="1"/>
  <c r="Q84" i="1"/>
  <c r="Q85" i="1"/>
  <c r="R40" i="1"/>
  <c r="R41" i="1"/>
  <c r="R35" i="1"/>
  <c r="R37" i="1"/>
  <c r="R34" i="1"/>
  <c r="R36" i="1"/>
  <c r="S22" i="1" l="1"/>
  <c r="S19" i="1"/>
  <c r="S55" i="1"/>
  <c r="S78" i="1"/>
  <c r="S79" i="1" s="1"/>
  <c r="S82" i="1"/>
  <c r="R85" i="1"/>
  <c r="R84" i="1"/>
  <c r="R68" i="1"/>
  <c r="R67" i="1"/>
  <c r="S52" i="1"/>
  <c r="S54" i="1"/>
  <c r="S62" i="1"/>
  <c r="S49" i="1"/>
  <c r="T18" i="1"/>
  <c r="T26" i="1" s="1"/>
  <c r="S63" i="1"/>
  <c r="S76" i="1"/>
  <c r="S77" i="1" s="1"/>
  <c r="S72" i="1"/>
  <c r="S73" i="1" s="1"/>
  <c r="S65" i="1"/>
  <c r="S74" i="1"/>
  <c r="S75" i="1" s="1"/>
  <c r="S60" i="1"/>
  <c r="S56" i="1"/>
  <c r="S61" i="1"/>
  <c r="S51" i="1"/>
  <c r="S26" i="1"/>
  <c r="S59" i="1"/>
  <c r="S57" i="1"/>
  <c r="S50" i="1"/>
  <c r="S66" i="1"/>
  <c r="S58" i="1"/>
  <c r="S80" i="1"/>
  <c r="S81" i="1" s="1"/>
  <c r="S64" i="1"/>
  <c r="S53" i="1"/>
  <c r="R24" i="1"/>
  <c r="S23" i="1"/>
  <c r="S24" i="1"/>
  <c r="S43" i="1"/>
  <c r="S41" i="1"/>
  <c r="S40" i="1"/>
  <c r="S36" i="1"/>
  <c r="S37" i="1"/>
  <c r="S34" i="1"/>
  <c r="S35" i="1"/>
  <c r="T54" i="1" l="1"/>
  <c r="T59" i="1"/>
  <c r="T57" i="1"/>
  <c r="T74" i="1"/>
  <c r="T75" i="1" s="1"/>
  <c r="T61" i="1"/>
  <c r="S67" i="1"/>
  <c r="T65" i="1"/>
  <c r="T72" i="1"/>
  <c r="T73" i="1" s="1"/>
  <c r="T51" i="1"/>
  <c r="T58" i="1"/>
  <c r="T32" i="1"/>
  <c r="T76" i="1"/>
  <c r="T77" i="1" s="1"/>
  <c r="T63" i="1"/>
  <c r="T60" i="1"/>
  <c r="T66" i="1"/>
  <c r="T52" i="1"/>
  <c r="T56" i="1"/>
  <c r="T78" i="1"/>
  <c r="T79" i="1" s="1"/>
  <c r="T64" i="1"/>
  <c r="U18" i="1"/>
  <c r="U19" i="1" s="1"/>
  <c r="T49" i="1"/>
  <c r="T22" i="1"/>
  <c r="T24" i="1" s="1"/>
  <c r="S68" i="1"/>
  <c r="T62" i="1"/>
  <c r="T55" i="1"/>
  <c r="T80" i="1"/>
  <c r="T81" i="1" s="1"/>
  <c r="T50" i="1"/>
  <c r="T53" i="1"/>
  <c r="T82" i="1"/>
  <c r="T19" i="1"/>
  <c r="S84" i="1"/>
  <c r="S85" i="1"/>
  <c r="T43" i="1"/>
  <c r="T41" i="1"/>
  <c r="T40" i="1"/>
  <c r="T23" i="1"/>
  <c r="T37" i="1"/>
  <c r="T34" i="1"/>
  <c r="T36" i="1"/>
  <c r="T35" i="1"/>
  <c r="U63" i="1"/>
  <c r="U76" i="1" l="1"/>
  <c r="U77" i="1" s="1"/>
  <c r="U61" i="1"/>
  <c r="U54" i="1"/>
  <c r="U80" i="1"/>
  <c r="U81" i="1" s="1"/>
  <c r="U82" i="1"/>
  <c r="U66" i="1"/>
  <c r="U56" i="1"/>
  <c r="U57" i="1"/>
  <c r="U55" i="1"/>
  <c r="U52" i="1"/>
  <c r="U65" i="1"/>
  <c r="U49" i="1"/>
  <c r="T84" i="1"/>
  <c r="T67" i="1"/>
  <c r="U59" i="1"/>
  <c r="U64" i="1"/>
  <c r="U32" i="1"/>
  <c r="U62" i="1"/>
  <c r="U26" i="1"/>
  <c r="U53" i="1"/>
  <c r="U51" i="1"/>
  <c r="V18" i="1"/>
  <c r="V26" i="1" s="1"/>
  <c r="U50" i="1"/>
  <c r="U22" i="1"/>
  <c r="U24" i="1" s="1"/>
  <c r="U60" i="1"/>
  <c r="U78" i="1"/>
  <c r="U79" i="1" s="1"/>
  <c r="U58" i="1"/>
  <c r="T68" i="1"/>
  <c r="T85" i="1"/>
  <c r="U74" i="1"/>
  <c r="U75" i="1" s="1"/>
  <c r="U72" i="1"/>
  <c r="U73" i="1" s="1"/>
  <c r="U41" i="1"/>
  <c r="U43" i="1"/>
  <c r="U34" i="1"/>
  <c r="U36" i="1"/>
  <c r="U40" i="1"/>
  <c r="U35" i="1"/>
  <c r="U37" i="1"/>
  <c r="V63" i="1"/>
  <c r="V74" i="1"/>
  <c r="V75" i="1" s="1"/>
  <c r="V56" i="1" l="1"/>
  <c r="V53" i="1"/>
  <c r="V59" i="1"/>
  <c r="V82" i="1"/>
  <c r="V19" i="1"/>
  <c r="V76" i="1"/>
  <c r="V77" i="1" s="1"/>
  <c r="V52" i="1"/>
  <c r="V22" i="1"/>
  <c r="V23" i="1" s="1"/>
  <c r="U68" i="1"/>
  <c r="V60" i="1"/>
  <c r="V57" i="1"/>
  <c r="U67" i="1"/>
  <c r="V49" i="1"/>
  <c r="V50" i="1"/>
  <c r="V58" i="1"/>
  <c r="V54" i="1"/>
  <c r="V51" i="1"/>
  <c r="V61" i="1"/>
  <c r="V78" i="1"/>
  <c r="V79" i="1" s="1"/>
  <c r="V64" i="1"/>
  <c r="V55" i="1"/>
  <c r="V67" i="1" s="1"/>
  <c r="U23" i="1"/>
  <c r="V65" i="1"/>
  <c r="W18" i="1"/>
  <c r="W26" i="1" s="1"/>
  <c r="V80" i="1"/>
  <c r="V81" i="1" s="1"/>
  <c r="U84" i="1"/>
  <c r="V72" i="1"/>
  <c r="V73" i="1" s="1"/>
  <c r="V62" i="1"/>
  <c r="V66" i="1"/>
  <c r="V32" i="1"/>
  <c r="U85" i="1"/>
  <c r="V41" i="1"/>
  <c r="V43" i="1"/>
  <c r="V34" i="1"/>
  <c r="V36" i="1"/>
  <c r="V37" i="1"/>
  <c r="V40" i="1"/>
  <c r="V35" i="1"/>
  <c r="V24" i="1" l="1"/>
  <c r="W55" i="1"/>
  <c r="V85" i="1"/>
  <c r="W53" i="1"/>
  <c r="W59" i="1"/>
  <c r="W54" i="1"/>
  <c r="X18" i="1"/>
  <c r="X66" i="1" s="1"/>
  <c r="W22" i="1"/>
  <c r="W24" i="1" s="1"/>
  <c r="W76" i="1"/>
  <c r="W77" i="1" s="1"/>
  <c r="W61" i="1"/>
  <c r="W32" i="1"/>
  <c r="W62" i="1"/>
  <c r="W56" i="1"/>
  <c r="W65" i="1"/>
  <c r="W51" i="1"/>
  <c r="W63" i="1"/>
  <c r="V68" i="1"/>
  <c r="W52" i="1"/>
  <c r="W74" i="1"/>
  <c r="W75" i="1" s="1"/>
  <c r="W19" i="1"/>
  <c r="W66" i="1"/>
  <c r="W49" i="1"/>
  <c r="W60" i="1"/>
  <c r="W82" i="1"/>
  <c r="W50" i="1"/>
  <c r="W58" i="1"/>
  <c r="V84" i="1"/>
  <c r="W72" i="1"/>
  <c r="W57" i="1"/>
  <c r="W64" i="1"/>
  <c r="W80" i="1"/>
  <c r="W81" i="1" s="1"/>
  <c r="W78" i="1"/>
  <c r="W79" i="1" s="1"/>
  <c r="W41" i="1"/>
  <c r="W43" i="1"/>
  <c r="X22" i="1"/>
  <c r="X26" i="1"/>
  <c r="W37" i="1"/>
  <c r="W36" i="1"/>
  <c r="W34" i="1"/>
  <c r="W40" i="1"/>
  <c r="W35" i="1"/>
  <c r="Y18" i="1"/>
  <c r="X52" i="1"/>
  <c r="X55" i="1"/>
  <c r="X57" i="1"/>
  <c r="X56" i="1"/>
  <c r="X53" i="1"/>
  <c r="X74" i="1"/>
  <c r="X75" i="1" s="1"/>
  <c r="X58" i="1"/>
  <c r="X76" i="1"/>
  <c r="X77" i="1" s="1"/>
  <c r="X62" i="1"/>
  <c r="X82" i="1"/>
  <c r="X50" i="1"/>
  <c r="X60" i="1"/>
  <c r="X51" i="1"/>
  <c r="X49" i="1"/>
  <c r="X65" i="1"/>
  <c r="X64" i="1"/>
  <c r="X61" i="1"/>
  <c r="W23" i="1" l="1"/>
  <c r="W68" i="1"/>
  <c r="L28" i="1"/>
  <c r="L29" i="1" s="1"/>
  <c r="M30" i="1"/>
  <c r="M31" i="1" s="1"/>
  <c r="M25" i="1"/>
  <c r="M28" i="1"/>
  <c r="M29" i="1" s="1"/>
  <c r="N25" i="1"/>
  <c r="N30" i="1"/>
  <c r="N31" i="1" s="1"/>
  <c r="O25" i="1"/>
  <c r="O30" i="1"/>
  <c r="O31" i="1" s="1"/>
  <c r="P30" i="1"/>
  <c r="P31" i="1" s="1"/>
  <c r="P25" i="1"/>
  <c r="Q25" i="1"/>
  <c r="Q30" i="1"/>
  <c r="Q31" i="1" s="1"/>
  <c r="R33" i="1"/>
  <c r="S33" i="1"/>
  <c r="T33" i="1"/>
  <c r="U33" i="1"/>
  <c r="V33" i="1"/>
  <c r="W33" i="1"/>
  <c r="X33" i="1"/>
  <c r="M27" i="1"/>
  <c r="N27" i="1"/>
  <c r="O27" i="1"/>
  <c r="P27" i="1"/>
  <c r="Q27" i="1"/>
  <c r="W84" i="1"/>
  <c r="W67" i="1"/>
  <c r="X19" i="1"/>
  <c r="X63" i="1"/>
  <c r="W73" i="1"/>
  <c r="W85" i="1" s="1"/>
  <c r="X54" i="1"/>
  <c r="X59" i="1"/>
  <c r="X32" i="1"/>
  <c r="X72" i="1"/>
  <c r="X73" i="1" s="1"/>
  <c r="X78" i="1"/>
  <c r="X79" i="1" s="1"/>
  <c r="X80" i="1"/>
  <c r="X81" i="1" s="1"/>
  <c r="S25" i="1"/>
  <c r="T25" i="1"/>
  <c r="R25" i="1"/>
  <c r="U25" i="1"/>
  <c r="V25" i="1"/>
  <c r="W25" i="1"/>
  <c r="N28" i="1"/>
  <c r="L20" i="1"/>
  <c r="L21" i="1" s="1"/>
  <c r="T27" i="1"/>
  <c r="O28" i="1"/>
  <c r="O29" i="1" s="1"/>
  <c r="T30" i="1"/>
  <c r="T31" i="1" s="1"/>
  <c r="T29" i="1" s="1"/>
  <c r="R27" i="1"/>
  <c r="S28" i="1"/>
  <c r="S29" i="1" s="1"/>
  <c r="S30" i="1"/>
  <c r="S31" i="1" s="1"/>
  <c r="Q28" i="1"/>
  <c r="Q29" i="1" s="1"/>
  <c r="S27" i="1"/>
  <c r="R30" i="1"/>
  <c r="R31" i="1" s="1"/>
  <c r="R28" i="1"/>
  <c r="R29" i="1" s="1"/>
  <c r="P28" i="1"/>
  <c r="P29" i="1" s="1"/>
  <c r="T28" i="1"/>
  <c r="Y22" i="1"/>
  <c r="Y26" i="1"/>
  <c r="X41" i="1"/>
  <c r="X43" i="1"/>
  <c r="X23" i="1"/>
  <c r="X24" i="1"/>
  <c r="X25" i="1" s="1"/>
  <c r="X37" i="1"/>
  <c r="X34" i="1"/>
  <c r="X36" i="1"/>
  <c r="X40" i="1"/>
  <c r="X35" i="1"/>
  <c r="Y32" i="1"/>
  <c r="X68" i="1"/>
  <c r="X67" i="1"/>
  <c r="Z18" i="1"/>
  <c r="Y76" i="1"/>
  <c r="Y77" i="1" s="1"/>
  <c r="Y54" i="1"/>
  <c r="Y50" i="1"/>
  <c r="Y59" i="1"/>
  <c r="Y80" i="1"/>
  <c r="Y81" i="1" s="1"/>
  <c r="Y52" i="1"/>
  <c r="Y78" i="1"/>
  <c r="Y79" i="1" s="1"/>
  <c r="Y58" i="1"/>
  <c r="Y51" i="1"/>
  <c r="Y56" i="1"/>
  <c r="Y72" i="1"/>
  <c r="Y55" i="1"/>
  <c r="Y60" i="1"/>
  <c r="Y62" i="1"/>
  <c r="Y19" i="1"/>
  <c r="Y74" i="1"/>
  <c r="Y75" i="1" s="1"/>
  <c r="Y65" i="1"/>
  <c r="Y53" i="1"/>
  <c r="Y66" i="1"/>
  <c r="Y49" i="1"/>
  <c r="Y64" i="1"/>
  <c r="Y63" i="1"/>
  <c r="Y57" i="1"/>
  <c r="Y82" i="1"/>
  <c r="Y61" i="1"/>
  <c r="X84" i="1" l="1"/>
  <c r="M20" i="1"/>
  <c r="M21" i="1" s="1"/>
  <c r="X85" i="1"/>
  <c r="N29" i="1"/>
  <c r="N20" i="1" s="1"/>
  <c r="N21" i="1" s="1"/>
  <c r="S20" i="1"/>
  <c r="S21" i="1" s="1"/>
  <c r="T20" i="1"/>
  <c r="T21" i="1" s="1"/>
  <c r="O20" i="1"/>
  <c r="O21" i="1" s="1"/>
  <c r="P20" i="1"/>
  <c r="P21" i="1" s="1"/>
  <c r="R20" i="1"/>
  <c r="R21" i="1" s="1"/>
  <c r="Q20" i="1"/>
  <c r="Q21" i="1" s="1"/>
  <c r="Y43" i="1"/>
  <c r="Y41" i="1"/>
  <c r="Z22" i="1"/>
  <c r="Z26" i="1"/>
  <c r="Y23" i="1"/>
  <c r="Y24" i="1"/>
  <c r="Y34" i="1"/>
  <c r="Y36" i="1"/>
  <c r="Y40" i="1"/>
  <c r="Y35" i="1"/>
  <c r="Y37" i="1"/>
  <c r="Z32" i="1"/>
  <c r="AA18" i="1"/>
  <c r="Y67" i="1"/>
  <c r="Y68" i="1"/>
  <c r="Y73" i="1"/>
  <c r="Y85" i="1" s="1"/>
  <c r="Y84" i="1"/>
  <c r="Z55" i="1"/>
  <c r="Z61" i="1"/>
  <c r="Z58" i="1"/>
  <c r="Z50" i="1"/>
  <c r="Z52" i="1"/>
  <c r="Z49" i="1"/>
  <c r="Z82" i="1"/>
  <c r="Z59" i="1"/>
  <c r="Z80" i="1"/>
  <c r="Z81" i="1" s="1"/>
  <c r="Z53" i="1"/>
  <c r="Z62" i="1"/>
  <c r="Z56" i="1"/>
  <c r="Z64" i="1"/>
  <c r="Z78" i="1"/>
  <c r="Z79" i="1" s="1"/>
  <c r="Z74" i="1"/>
  <c r="Z75" i="1" s="1"/>
  <c r="Z72" i="1"/>
  <c r="Z51" i="1"/>
  <c r="Z65" i="1"/>
  <c r="Z66" i="1"/>
  <c r="Z63" i="1"/>
  <c r="Z76" i="1"/>
  <c r="Z77" i="1" s="1"/>
  <c r="Z57" i="1"/>
  <c r="Z60" i="1"/>
  <c r="Z54" i="1"/>
  <c r="Z19" i="1"/>
  <c r="AA22" i="1" l="1"/>
  <c r="AA24" i="1" s="1"/>
  <c r="AA26" i="1"/>
  <c r="Z43" i="1"/>
  <c r="Z41" i="1"/>
  <c r="Z23" i="1"/>
  <c r="Z24" i="1"/>
  <c r="Z40" i="1"/>
  <c r="Z35" i="1"/>
  <c r="Z34" i="1"/>
  <c r="Z36" i="1"/>
  <c r="Z37" i="1"/>
  <c r="AA32" i="1"/>
  <c r="AB18" i="1"/>
  <c r="AA72" i="1"/>
  <c r="AA78" i="1"/>
  <c r="AA79" i="1" s="1"/>
  <c r="AA74" i="1"/>
  <c r="AA75" i="1" s="1"/>
  <c r="AA19" i="1"/>
  <c r="AA80" i="1"/>
  <c r="AA81" i="1" s="1"/>
  <c r="AA76" i="1"/>
  <c r="AA77" i="1" s="1"/>
  <c r="AA82" i="1"/>
  <c r="AA51" i="1"/>
  <c r="AA52" i="1"/>
  <c r="AA58" i="1"/>
  <c r="AA53" i="1"/>
  <c r="AA66" i="1"/>
  <c r="AA57" i="1"/>
  <c r="AA65" i="1"/>
  <c r="AA63" i="1"/>
  <c r="AA49" i="1"/>
  <c r="AA54" i="1"/>
  <c r="AA64" i="1"/>
  <c r="AA59" i="1"/>
  <c r="AA50" i="1"/>
  <c r="AA60" i="1"/>
  <c r="AA61" i="1"/>
  <c r="AA55" i="1"/>
  <c r="AA62" i="1"/>
  <c r="AA56" i="1"/>
  <c r="Z67" i="1"/>
  <c r="Z73" i="1"/>
  <c r="Z85" i="1" s="1"/>
  <c r="Z84" i="1"/>
  <c r="Z68" i="1"/>
  <c r="Y25" i="1" l="1"/>
  <c r="Z25" i="1"/>
  <c r="AA25" i="1"/>
  <c r="V27" i="1"/>
  <c r="W27" i="1"/>
  <c r="X27" i="1"/>
  <c r="U27" i="1"/>
  <c r="U30" i="1"/>
  <c r="U31" i="1" s="1"/>
  <c r="U28" i="1"/>
  <c r="V28" i="1"/>
  <c r="V30" i="1"/>
  <c r="V31" i="1" s="1"/>
  <c r="W30" i="1"/>
  <c r="W31" i="1" s="1"/>
  <c r="W28" i="1"/>
  <c r="X30" i="1"/>
  <c r="X31" i="1" s="1"/>
  <c r="Y30" i="1"/>
  <c r="Y31" i="1" s="1"/>
  <c r="Y33" i="1"/>
  <c r="Z33" i="1"/>
  <c r="AB22" i="1"/>
  <c r="AB24" i="1" s="1"/>
  <c r="AB26" i="1"/>
  <c r="AA41" i="1"/>
  <c r="AA43" i="1"/>
  <c r="AA23" i="1"/>
  <c r="AA35" i="1"/>
  <c r="AA36" i="1"/>
  <c r="AA34" i="1"/>
  <c r="AA37" i="1"/>
  <c r="AA40" i="1"/>
  <c r="AB32" i="1"/>
  <c r="AA73" i="1"/>
  <c r="AA85" i="1" s="1"/>
  <c r="AA84" i="1"/>
  <c r="AA67" i="1"/>
  <c r="AA68" i="1"/>
  <c r="AB72" i="1"/>
  <c r="AB78" i="1"/>
  <c r="AB79" i="1" s="1"/>
  <c r="AB80" i="1"/>
  <c r="AB81" i="1" s="1"/>
  <c r="AB76" i="1"/>
  <c r="AB77" i="1" s="1"/>
  <c r="AB82" i="1"/>
  <c r="AB74" i="1"/>
  <c r="AB75" i="1" s="1"/>
  <c r="AB52" i="1"/>
  <c r="AC18" i="1"/>
  <c r="AC22" i="1" s="1"/>
  <c r="AC24" i="1" s="1"/>
  <c r="AB19" i="1"/>
  <c r="AB51" i="1"/>
  <c r="AB57" i="1"/>
  <c r="AB53" i="1"/>
  <c r="AB66" i="1"/>
  <c r="AB50" i="1"/>
  <c r="AB58" i="1"/>
  <c r="AB54" i="1"/>
  <c r="AB60" i="1"/>
  <c r="AB65" i="1"/>
  <c r="AB56" i="1"/>
  <c r="AB49" i="1"/>
  <c r="AB59" i="1"/>
  <c r="AB61" i="1"/>
  <c r="AB55" i="1"/>
  <c r="AB64" i="1"/>
  <c r="AB63" i="1"/>
  <c r="AB62" i="1"/>
  <c r="V29" i="1" l="1"/>
  <c r="U29" i="1"/>
  <c r="U20" i="1" s="1"/>
  <c r="U21" i="1" s="1"/>
  <c r="W29" i="1"/>
  <c r="W20" i="1" s="1"/>
  <c r="W21" i="1" s="1"/>
  <c r="AC23" i="1"/>
  <c r="AC61" i="1"/>
  <c r="AD18" i="1"/>
  <c r="Y27" i="1"/>
  <c r="V20" i="1"/>
  <c r="V21" i="1" s="1"/>
  <c r="AB41" i="1"/>
  <c r="AB43" i="1"/>
  <c r="AC32" i="1"/>
  <c r="AC26" i="1"/>
  <c r="AB23" i="1"/>
  <c r="AB36" i="1"/>
  <c r="AB35" i="1"/>
  <c r="AB34" i="1"/>
  <c r="AB37" i="1"/>
  <c r="AB40" i="1"/>
  <c r="AB68" i="1"/>
  <c r="AB84" i="1"/>
  <c r="AB73" i="1"/>
  <c r="AB85" i="1" s="1"/>
  <c r="AB67" i="1"/>
  <c r="AC76" i="1"/>
  <c r="AC77" i="1" s="1"/>
  <c r="AC72" i="1"/>
  <c r="AC78" i="1"/>
  <c r="AC79" i="1" s="1"/>
  <c r="AC74" i="1"/>
  <c r="AC75" i="1" s="1"/>
  <c r="AC80" i="1"/>
  <c r="AC81" i="1" s="1"/>
  <c r="AC82" i="1"/>
  <c r="AC52" i="1"/>
  <c r="AC51" i="1"/>
  <c r="AC62" i="1"/>
  <c r="AC56" i="1"/>
  <c r="AC59" i="1"/>
  <c r="AC50" i="1"/>
  <c r="AC57" i="1"/>
  <c r="AC55" i="1"/>
  <c r="AC63" i="1"/>
  <c r="AC60" i="1"/>
  <c r="AC65" i="1"/>
  <c r="AC58" i="1"/>
  <c r="AC53" i="1"/>
  <c r="AC19" i="1"/>
  <c r="AC49" i="1"/>
  <c r="AC66" i="1"/>
  <c r="AC54" i="1"/>
  <c r="AC64" i="1"/>
  <c r="AG28" i="1" l="1"/>
  <c r="AB25" i="1"/>
  <c r="AC25" i="1"/>
  <c r="AD22" i="1"/>
  <c r="AD24" i="1" s="1"/>
  <c r="AD76" i="1"/>
  <c r="AD77" i="1" s="1"/>
  <c r="AD80" i="1"/>
  <c r="AD81" i="1" s="1"/>
  <c r="AD49" i="1"/>
  <c r="AD51" i="1"/>
  <c r="AD53" i="1"/>
  <c r="AD55" i="1"/>
  <c r="AD57" i="1"/>
  <c r="AD59" i="1"/>
  <c r="AD61" i="1"/>
  <c r="AD63" i="1"/>
  <c r="AD65" i="1"/>
  <c r="AD74" i="1"/>
  <c r="AD75" i="1" s="1"/>
  <c r="AD72" i="1"/>
  <c r="AD78" i="1"/>
  <c r="AD79" i="1" s="1"/>
  <c r="AD82" i="1"/>
  <c r="AD50" i="1"/>
  <c r="AD52" i="1"/>
  <c r="AD54" i="1"/>
  <c r="AD56" i="1"/>
  <c r="AD58" i="1"/>
  <c r="AD60" i="1"/>
  <c r="AD62" i="1"/>
  <c r="AD64" i="1"/>
  <c r="AD66" i="1"/>
  <c r="D14" i="1"/>
  <c r="AD33" i="1"/>
  <c r="AE18" i="1"/>
  <c r="AD19" i="1"/>
  <c r="AD26" i="1"/>
  <c r="AD32" i="1"/>
  <c r="AI33" i="1"/>
  <c r="AC41" i="1"/>
  <c r="AD25" i="1" s="1"/>
  <c r="AC43" i="1"/>
  <c r="AC37" i="1"/>
  <c r="AC34" i="1"/>
  <c r="AC40" i="1"/>
  <c r="AC35" i="1"/>
  <c r="AC36" i="1"/>
  <c r="AC68" i="1"/>
  <c r="AC67" i="1"/>
  <c r="AC73" i="1"/>
  <c r="AC85" i="1" s="1"/>
  <c r="AC84" i="1"/>
  <c r="AI30" i="1" l="1"/>
  <c r="AI31" i="1" s="1"/>
  <c r="AG30" i="1"/>
  <c r="AG31" i="1" s="1"/>
  <c r="AG29" i="1" s="1"/>
  <c r="AF28" i="1"/>
  <c r="AD67" i="1"/>
  <c r="AD68" i="1"/>
  <c r="AE82" i="1"/>
  <c r="AE50" i="1"/>
  <c r="AE52" i="1"/>
  <c r="AE54" i="1"/>
  <c r="AE56" i="1"/>
  <c r="AE58" i="1"/>
  <c r="AE60" i="1"/>
  <c r="AE62" i="1"/>
  <c r="AE64" i="1"/>
  <c r="AE66" i="1"/>
  <c r="AE22" i="1"/>
  <c r="AE76" i="1"/>
  <c r="AE77" i="1" s="1"/>
  <c r="AE80" i="1"/>
  <c r="AE81" i="1" s="1"/>
  <c r="AE49" i="1"/>
  <c r="AE51" i="1"/>
  <c r="AE53" i="1"/>
  <c r="AE55" i="1"/>
  <c r="AE57" i="1"/>
  <c r="AE59" i="1"/>
  <c r="AE61" i="1"/>
  <c r="AE63" i="1"/>
  <c r="AE65" i="1"/>
  <c r="AE74" i="1"/>
  <c r="AE75" i="1" s="1"/>
  <c r="AE72" i="1"/>
  <c r="AE78" i="1"/>
  <c r="AE79" i="1" s="1"/>
  <c r="AD73" i="1"/>
  <c r="AD85" i="1" s="1"/>
  <c r="AD84" i="1"/>
  <c r="AD23" i="1"/>
  <c r="AD27" i="1"/>
  <c r="AD30" i="1"/>
  <c r="AD31" i="1" s="1"/>
  <c r="AE33" i="1"/>
  <c r="AG33" i="1"/>
  <c r="AF33" i="1"/>
  <c r="AE19" i="1"/>
  <c r="AE32" i="1"/>
  <c r="AE26" i="1"/>
  <c r="AE27" i="1" s="1"/>
  <c r="AF18" i="1"/>
  <c r="AF30" i="1"/>
  <c r="AF31" i="1" s="1"/>
  <c r="AD28" i="1"/>
  <c r="AE30" i="1"/>
  <c r="AE31" i="1" s="1"/>
  <c r="AE28" i="1"/>
  <c r="X28" i="1"/>
  <c r="X29" i="1" s="1"/>
  <c r="AA33" i="1"/>
  <c r="AB33" i="1"/>
  <c r="AC33" i="1"/>
  <c r="AC28" i="1"/>
  <c r="AJ41" i="1"/>
  <c r="AJ25" i="1" s="1"/>
  <c r="AJ43" i="1"/>
  <c r="AJ28" i="1" s="1"/>
  <c r="AJ37" i="1"/>
  <c r="AJ34" i="1"/>
  <c r="AK17" i="1"/>
  <c r="AJ36" i="1"/>
  <c r="AJ35" i="1"/>
  <c r="AF29" i="1" l="1"/>
  <c r="AE68" i="1"/>
  <c r="AE67" i="1"/>
  <c r="AE73" i="1"/>
  <c r="AE85" i="1" s="1"/>
  <c r="AE84" i="1"/>
  <c r="AF72" i="1"/>
  <c r="AF78" i="1"/>
  <c r="AF79" i="1" s="1"/>
  <c r="AF63" i="1"/>
  <c r="AF82" i="1"/>
  <c r="AF50" i="1"/>
  <c r="AF52" i="1"/>
  <c r="AF54" i="1"/>
  <c r="AF56" i="1"/>
  <c r="AF58" i="1"/>
  <c r="AF60" i="1"/>
  <c r="AF62" i="1"/>
  <c r="AF64" i="1"/>
  <c r="AF66" i="1"/>
  <c r="AF53" i="1"/>
  <c r="AF65" i="1"/>
  <c r="AF49" i="1"/>
  <c r="AF57" i="1"/>
  <c r="AF76" i="1"/>
  <c r="AF77" i="1" s="1"/>
  <c r="AF80" i="1"/>
  <c r="AF81" i="1" s="1"/>
  <c r="AF55" i="1"/>
  <c r="AF51" i="1"/>
  <c r="AF74" i="1"/>
  <c r="AF75" i="1" s="1"/>
  <c r="AF61" i="1"/>
  <c r="AF59" i="1"/>
  <c r="AE23" i="1"/>
  <c r="AE24" i="1"/>
  <c r="AE25" i="1" s="1"/>
  <c r="AD29" i="1"/>
  <c r="AD20" i="1" s="1"/>
  <c r="AD21" i="1" s="1"/>
  <c r="X20" i="1"/>
  <c r="X21" i="1" s="1"/>
  <c r="AB27" i="1"/>
  <c r="AE29" i="1"/>
  <c r="AE20" i="1" s="1"/>
  <c r="AE21" i="1" s="1"/>
  <c r="AF19" i="1"/>
  <c r="AF26" i="1"/>
  <c r="AF32" i="1"/>
  <c r="AG18" i="1"/>
  <c r="AH18" i="1" s="1"/>
  <c r="AC30" i="1"/>
  <c r="AC31" i="1" s="1"/>
  <c r="AC29" i="1" s="1"/>
  <c r="AA28" i="1"/>
  <c r="AJ33" i="1"/>
  <c r="Y28" i="1"/>
  <c r="Y29" i="1" s="1"/>
  <c r="AA27" i="1"/>
  <c r="AC27" i="1"/>
  <c r="Z28" i="1"/>
  <c r="AB30" i="1"/>
  <c r="AB31" i="1" s="1"/>
  <c r="Z30" i="1"/>
  <c r="Z31" i="1" s="1"/>
  <c r="Z27" i="1"/>
  <c r="AB28" i="1"/>
  <c r="AA30" i="1"/>
  <c r="AA31" i="1" s="1"/>
  <c r="AJ27" i="1"/>
  <c r="AJ30" i="1"/>
  <c r="AJ31" i="1" s="1"/>
  <c r="AJ29" i="1" s="1"/>
  <c r="AK41" i="1"/>
  <c r="AI28" i="1" s="1"/>
  <c r="AI29" i="1" s="1"/>
  <c r="AK40" i="1"/>
  <c r="AK43" i="1"/>
  <c r="AK33" i="1" s="1"/>
  <c r="AI18" i="1" l="1"/>
  <c r="AH19" i="1"/>
  <c r="AH26" i="1"/>
  <c r="AH27" i="1" s="1"/>
  <c r="AH20" i="1" s="1"/>
  <c r="AH21" i="1" s="1"/>
  <c r="AH32" i="1"/>
  <c r="AF67" i="1"/>
  <c r="AF68" i="1"/>
  <c r="AF73" i="1"/>
  <c r="AF85" i="1" s="1"/>
  <c r="AF84" i="1"/>
  <c r="AF24" i="1"/>
  <c r="AF25" i="1" s="1"/>
  <c r="AG72" i="1"/>
  <c r="AG78" i="1"/>
  <c r="AG79" i="1" s="1"/>
  <c r="AG76" i="1"/>
  <c r="AG77" i="1" s="1"/>
  <c r="AG82" i="1"/>
  <c r="AG50" i="1"/>
  <c r="AG52" i="1"/>
  <c r="AG54" i="1"/>
  <c r="AG56" i="1"/>
  <c r="AG58" i="1"/>
  <c r="AG60" i="1"/>
  <c r="AG62" i="1"/>
  <c r="AG64" i="1"/>
  <c r="AG66" i="1"/>
  <c r="AG80" i="1"/>
  <c r="AG81" i="1" s="1"/>
  <c r="AG49" i="1"/>
  <c r="AG51" i="1"/>
  <c r="AG53" i="1"/>
  <c r="AG55" i="1"/>
  <c r="AG57" i="1"/>
  <c r="AG59" i="1"/>
  <c r="AG61" i="1"/>
  <c r="AG63" i="1"/>
  <c r="AG65" i="1"/>
  <c r="AG74" i="1"/>
  <c r="AG75" i="1" s="1"/>
  <c r="Y20" i="1"/>
  <c r="Y21" i="1" s="1"/>
  <c r="AJ20" i="1"/>
  <c r="AJ21" i="1" s="1"/>
  <c r="AG19" i="1"/>
  <c r="AG32" i="1"/>
  <c r="AG26" i="1"/>
  <c r="AG27" i="1" s="1"/>
  <c r="AG20" i="1" s="1"/>
  <c r="AG21" i="1" s="1"/>
  <c r="AF27" i="1"/>
  <c r="AF20" i="1" s="1"/>
  <c r="AF21" i="1" s="1"/>
  <c r="AA29" i="1"/>
  <c r="AA20" i="1" s="1"/>
  <c r="AA21" i="1" s="1"/>
  <c r="Z29" i="1"/>
  <c r="Z20" i="1" s="1"/>
  <c r="Z21" i="1" s="1"/>
  <c r="AB29" i="1"/>
  <c r="AB20" i="1" s="1"/>
  <c r="AB21" i="1" s="1"/>
  <c r="AC20" i="1"/>
  <c r="AC21" i="1" s="1"/>
  <c r="AG68" i="1" l="1"/>
  <c r="AI74" i="1"/>
  <c r="AI75" i="1" s="1"/>
  <c r="AI72" i="1"/>
  <c r="AI78" i="1"/>
  <c r="AI79" i="1" s="1"/>
  <c r="AI82" i="1"/>
  <c r="AI50" i="1"/>
  <c r="AI52" i="1"/>
  <c r="AI54" i="1"/>
  <c r="AI56" i="1"/>
  <c r="AI58" i="1"/>
  <c r="AI60" i="1"/>
  <c r="AI62" i="1"/>
  <c r="AI64" i="1"/>
  <c r="AI66" i="1"/>
  <c r="AI76" i="1"/>
  <c r="AI77" i="1" s="1"/>
  <c r="AI80" i="1"/>
  <c r="AI81" i="1" s="1"/>
  <c r="AI49" i="1"/>
  <c r="AI51" i="1"/>
  <c r="AI53" i="1"/>
  <c r="AI55" i="1"/>
  <c r="AI57" i="1"/>
  <c r="AI59" i="1"/>
  <c r="AI61" i="1"/>
  <c r="AI63" i="1"/>
  <c r="AI65" i="1"/>
  <c r="AG24" i="1"/>
  <c r="AG25" i="1" s="1"/>
  <c r="AG23" i="1"/>
  <c r="AG73" i="1"/>
  <c r="AG85" i="1" s="1"/>
  <c r="AG84" i="1"/>
  <c r="AG67" i="1"/>
  <c r="AI32" i="1"/>
  <c r="AI19" i="1"/>
  <c r="AI26" i="1"/>
  <c r="AI27" i="1" s="1"/>
  <c r="AI20" i="1" s="1"/>
  <c r="AI21" i="1" s="1"/>
  <c r="AI67" i="1" l="1"/>
  <c r="AI68" i="1"/>
  <c r="AI23" i="1"/>
  <c r="AI24" i="1"/>
  <c r="AI25" i="1" s="1"/>
  <c r="AI73" i="1"/>
  <c r="AI85" i="1" s="1"/>
  <c r="AI84" i="1"/>
</calcChain>
</file>

<file path=xl/sharedStrings.xml><?xml version="1.0" encoding="utf-8"?>
<sst xmlns="http://schemas.openxmlformats.org/spreadsheetml/2006/main" count="276" uniqueCount="203">
  <si>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</si>
  <si>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</si>
  <si>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</si>
  <si>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</si>
  <si>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</si>
  <si>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</si>
  <si>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</si>
  <si>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</si>
  <si>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</si>
  <si>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</si>
  <si>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</si>
  <si>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</si>
  <si>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</si>
  <si>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</si>
  <si>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</si>
  <si>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</si>
  <si>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</si>
  <si>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</si>
  <si>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</si>
  <si>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</si>
  <si>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</si>
  <si>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</si>
  <si>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</si>
  <si>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</si>
  <si>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</si>
  <si>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</si>
  <si>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</si>
  <si>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</si>
  <si>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</si>
  <si>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</si>
  <si>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</si>
  <si>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</si>
  <si>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</si>
  <si>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</si>
  <si>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</si>
  <si>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</si>
  <si>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</si>
  <si>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</si>
  <si>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</si>
  <si>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</si>
  <si>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</si>
  <si>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</si>
  <si>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</si>
  <si>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</si>
  <si>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</si>
  <si>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</si>
  <si>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</si>
  <si>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</si>
  <si>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</si>
  <si>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</si>
  <si>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</si>
  <si>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</si>
  <si>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</si>
  <si>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</si>
  <si>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</si>
  <si>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</si>
  <si>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</si>
  <si>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</si>
  <si>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</si>
  <si>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</si>
  <si>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</si>
  <si>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</si>
  <si>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</si>
  <si>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</si>
  <si>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</si>
  <si>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</si>
  <si>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</si>
  <si>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</si>
  <si>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</si>
  <si>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</si>
  <si>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</si>
  <si>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</si>
  <si>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</si>
  <si>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</si>
  <si>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</si>
  <si>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</si>
  <si>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</si>
  <si>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</si>
  <si>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</si>
  <si>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</si>
  <si>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</si>
  <si>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</si>
  <si>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</si>
  <si>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</si>
  <si>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</si>
  <si>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</si>
  <si>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</si>
  <si>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</si>
  <si>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</si>
  <si>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</si>
  <si>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</si>
  <si>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</si>
  <si>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</si>
  <si>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</si>
  <si>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</si>
  <si>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</si>
  <si>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</si>
  <si>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</si>
  <si>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</si>
  <si>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</si>
  <si>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</si>
  <si>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</si>
  <si>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</si>
  <si>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</si>
  <si>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</si>
  <si>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</si>
  <si>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</si>
  <si>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</si>
  <si>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</si>
  <si>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</si>
  <si>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</si>
  <si>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</si>
  <si>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</si>
  <si>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</si>
  <si>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</si>
  <si>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</si>
  <si>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</si>
  <si>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</si>
  <si>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</si>
  <si>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</si>
  <si>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</si>
  <si>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</si>
  <si>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</si>
  <si>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</si>
  <si>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</si>
  <si>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</si>
  <si>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</si>
  <si>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</si>
  <si>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</si>
  <si>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</si>
  <si>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</si>
  <si>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</si>
  <si>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</si>
  <si>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</si>
  <si>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</si>
  <si>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</si>
  <si>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</si>
  <si>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</si>
  <si>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</si>
  <si>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</si>
  <si>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</si>
  <si>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</si>
  <si>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</si>
  <si>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</si>
  <si>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</si>
  <si>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</si>
  <si>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</si>
  <si>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</si>
  <si>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</si>
  <si>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</si>
  <si>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</si>
  <si>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</si>
  <si>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</si>
  <si>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</si>
  <si>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</si>
  <si>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</si>
  <si>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</si>
  <si>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</si>
  <si>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</si>
  <si>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</si>
  <si>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</si>
  <si>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</si>
  <si>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</si>
  <si>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</si>
  <si>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</si>
  <si>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</si>
  <si>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</si>
  <si>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</si>
  <si>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</si>
  <si>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</si>
  <si>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</si>
  <si>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</si>
  <si>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</si>
  <si>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</si>
  <si>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</si>
  <si>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</si>
  <si>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</si>
  <si>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</si>
  <si>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</si>
  <si>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</si>
  <si>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</si>
  <si>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</si>
  <si>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</si>
  <si>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</si>
  <si>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</si>
  <si>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</si>
  <si>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</si>
  <si>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</si>
  <si>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</si>
  <si>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</si>
  <si>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</si>
  <si>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International borders closed</t>
  </si>
  <si>
    <t>Suspended all visas for individuals yet to arrive in India</t>
  </si>
  <si>
    <t>Internal and external travel lockdown</t>
  </si>
  <si>
    <t>India plans on lifting restrictions</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</si>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</sst>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89">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3" xfId="0" applyNumberForma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14" fontId="0" fillId="4" borderId="14" xfId="0" applyNumberFormat="1" applyFill="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10" borderId="14"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3" xfId="0" applyNumberFormat="1" applyFill="1" applyBorder="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14" fontId="0" fillId="4" borderId="13" xfId="0" applyNumberFormat="1" applyFill="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Projections!$J$17:$R$17</c:f>
              <c:numCache>
                <c:formatCode>m/d/yyyy</c:formatCode>
                <c:ptCount val="9"/>
                <c:pt idx="0">
                  <c:v>43895</c:v>
                </c:pt>
                <c:pt idx="1">
                  <c:v>43900</c:v>
                </c:pt>
                <c:pt idx="2">
                  <c:v>43905</c:v>
                </c:pt>
                <c:pt idx="3">
                  <c:v>43910</c:v>
                </c:pt>
                <c:pt idx="4">
                  <c:v>43914</c:v>
                </c:pt>
                <c:pt idx="5">
                  <c:v>43918</c:v>
                </c:pt>
                <c:pt idx="6">
                  <c:v>43922</c:v>
                </c:pt>
                <c:pt idx="7">
                  <c:v>43926</c:v>
                </c:pt>
                <c:pt idx="8">
                  <c:v>43931</c:v>
                </c:pt>
              </c:numCache>
            </c:numRef>
          </c:cat>
          <c:val>
            <c:numRef>
              <c:extLst>
                <c:ext xmlns:c15="http://schemas.microsoft.com/office/drawing/2012/chart" uri="{02D57815-91ED-43cb-92C2-25804820EDAC}">
                  <c15:fullRef>
                    <c15:sqref>Projections!$J$18:$AJ$18</c15:sqref>
                  </c15:fullRef>
                </c:ext>
              </c:extLst>
              <c:f>Projections!$J$18:$R$18</c:f>
              <c:numCache>
                <c:formatCode>#,##0_ ;[Red]\-#,##0\ </c:formatCode>
                <c:ptCount val="9"/>
                <c:pt idx="0">
                  <c:v>30</c:v>
                </c:pt>
                <c:pt idx="1">
                  <c:v>60</c:v>
                </c:pt>
                <c:pt idx="2">
                  <c:v>120</c:v>
                </c:pt>
                <c:pt idx="3">
                  <c:v>240</c:v>
                </c:pt>
                <c:pt idx="4">
                  <c:v>480</c:v>
                </c:pt>
                <c:pt idx="5">
                  <c:v>960</c:v>
                </c:pt>
                <c:pt idx="6">
                  <c:v>1920</c:v>
                </c:pt>
                <c:pt idx="7">
                  <c:v>3840</c:v>
                </c:pt>
                <c:pt idx="8">
                  <c:v>7680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Projections!$J$17:$R$17</c:f>
              <c:numCache>
                <c:formatCode>m/d/yyyy</c:formatCode>
                <c:ptCount val="9"/>
                <c:pt idx="0">
                  <c:v>43895</c:v>
                </c:pt>
                <c:pt idx="1">
                  <c:v>43900</c:v>
                </c:pt>
                <c:pt idx="2">
                  <c:v>43905</c:v>
                </c:pt>
                <c:pt idx="3">
                  <c:v>43910</c:v>
                </c:pt>
                <c:pt idx="4">
                  <c:v>43914</c:v>
                </c:pt>
                <c:pt idx="5">
                  <c:v>43918</c:v>
                </c:pt>
                <c:pt idx="6">
                  <c:v>43922</c:v>
                </c:pt>
                <c:pt idx="7">
                  <c:v>43926</c:v>
                </c:pt>
                <c:pt idx="8">
                  <c:v>43931</c:v>
                </c:pt>
              </c:numCache>
            </c:numRef>
          </c:cat>
          <c:val>
            <c:numRef>
              <c:extLst>
                <c:ext xmlns:c15="http://schemas.microsoft.com/office/drawing/2012/chart" uri="{02D57815-91ED-43cb-92C2-25804820EDAC}">
                  <c15:fullRef>
                    <c15:sqref>Projections!$J$42:$AJ$42</c15:sqref>
                  </c15:fullRef>
                </c:ext>
              </c:extLst>
              <c:f>Projections!$J$42:$R$42</c:f>
              <c:numCache>
                <c:formatCode>General</c:formatCode>
                <c:ptCount val="9"/>
                <c:pt idx="0">
                  <c:v>30</c:v>
                </c:pt>
                <c:pt idx="1">
                  <c:v>62</c:v>
                </c:pt>
                <c:pt idx="2" formatCode="#,##0">
                  <c:v>114</c:v>
                </c:pt>
                <c:pt idx="3" formatCode="#,##0">
                  <c:v>249</c:v>
                </c:pt>
                <c:pt idx="4" formatCode="#,##0">
                  <c:v>536</c:v>
                </c:pt>
                <c:pt idx="5" formatCode="#,##0">
                  <c:v>987</c:v>
                </c:pt>
                <c:pt idx="6" formatCode="#,##0">
                  <c:v>1998</c:v>
                </c:pt>
                <c:pt idx="7" formatCode="#,##0">
                  <c:v>4289</c:v>
                </c:pt>
                <c:pt idx="8" formatCode="#,##0">
                  <c:v>7600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Projections!$J$17:$R$17</c:f>
              <c:numCache>
                <c:formatCode>m/d/yyyy</c:formatCode>
                <c:ptCount val="9"/>
                <c:pt idx="0">
                  <c:v>43895</c:v>
                </c:pt>
                <c:pt idx="1">
                  <c:v>43900</c:v>
                </c:pt>
                <c:pt idx="2">
                  <c:v>43905</c:v>
                </c:pt>
                <c:pt idx="3">
                  <c:v>43910</c:v>
                </c:pt>
                <c:pt idx="4">
                  <c:v>43914</c:v>
                </c:pt>
                <c:pt idx="5">
                  <c:v>43918</c:v>
                </c:pt>
                <c:pt idx="6">
                  <c:v>43922</c:v>
                </c:pt>
                <c:pt idx="7">
                  <c:v>43926</c:v>
                </c:pt>
                <c:pt idx="8">
                  <c:v>43931</c:v>
                </c:pt>
              </c:numCache>
            </c:numRef>
          </c:cat>
          <c:val>
            <c:numRef>
              <c:extLst>
                <c:ext xmlns:c15="http://schemas.microsoft.com/office/drawing/2012/chart" uri="{02D57815-91ED-43cb-92C2-25804820EDAC}">
                  <c15:fullRef>
                    <c15:sqref>Projections!$J$32:$AJ$32</c15:sqref>
                  </c15:fullRef>
                </c:ext>
              </c:extLst>
              <c:f>Projections!$J$32:$R$32</c:f>
              <c:numCache>
                <c:formatCode>#,##0_ ;[Red]\-#,##0\ </c:formatCode>
                <c:ptCount val="9"/>
                <c:pt idx="0">
                  <c:v>1.05</c:v>
                </c:pt>
                <c:pt idx="1">
                  <c:v>2.1</c:v>
                </c:pt>
                <c:pt idx="2">
                  <c:v>4.2</c:v>
                </c:pt>
                <c:pt idx="3">
                  <c:v>8.4</c:v>
                </c:pt>
                <c:pt idx="4">
                  <c:v>16.8</c:v>
                </c:pt>
                <c:pt idx="5">
                  <c:v>33.6</c:v>
                </c:pt>
                <c:pt idx="6">
                  <c:v>67.2</c:v>
                </c:pt>
                <c:pt idx="7">
                  <c:v>134.4</c:v>
                </c:pt>
                <c:pt idx="8">
                  <c:v>268.8</c:v>
                </c:pt>
              </c:numCache>
            </c:numRef>
          </c:val>
          <c:smooth val="0"/>
          <c:extLst>
            <c:ext xmlns:c16="http://schemas.microsoft.com/office/drawing/2014/chart" uri="{C3380CC4-5D6E-409C-BE32-E72D297353CC}">
              <c16:uniqueId val="{00000000-50BE-40C1-B679-81AF0BCE3FCD}"/>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Projections!$J$17:$R$17</c:f>
              <c:numCache>
                <c:formatCode>m/d/yyyy</c:formatCode>
                <c:ptCount val="9"/>
                <c:pt idx="0">
                  <c:v>43895</c:v>
                </c:pt>
                <c:pt idx="1">
                  <c:v>43900</c:v>
                </c:pt>
                <c:pt idx="2">
                  <c:v>43905</c:v>
                </c:pt>
                <c:pt idx="3">
                  <c:v>43910</c:v>
                </c:pt>
                <c:pt idx="4">
                  <c:v>43914</c:v>
                </c:pt>
                <c:pt idx="5">
                  <c:v>43918</c:v>
                </c:pt>
                <c:pt idx="6">
                  <c:v>43922</c:v>
                </c:pt>
                <c:pt idx="7">
                  <c:v>43926</c:v>
                </c:pt>
                <c:pt idx="8">
                  <c:v>43931</c:v>
                </c:pt>
              </c:numCache>
            </c:numRef>
          </c:cat>
          <c:val>
            <c:numRef>
              <c:extLst>
                <c:ext xmlns:c15="http://schemas.microsoft.com/office/drawing/2012/chart" uri="{02D57815-91ED-43cb-92C2-25804820EDAC}">
                  <c15:fullRef>
                    <c15:sqref>Projections!$J$45:$AJ$45</c15:sqref>
                  </c15:fullRef>
                </c:ext>
              </c:extLst>
              <c:f>Projections!$J$45:$R$45</c:f>
              <c:numCache>
                <c:formatCode>General</c:formatCode>
                <c:ptCount val="9"/>
                <c:pt idx="0">
                  <c:v>0</c:v>
                </c:pt>
                <c:pt idx="1">
                  <c:v>0</c:v>
                </c:pt>
                <c:pt idx="2" formatCode="#,##0">
                  <c:v>2</c:v>
                </c:pt>
                <c:pt idx="3" formatCode="#,##0">
                  <c:v>5</c:v>
                </c:pt>
                <c:pt idx="4" formatCode="#,##0">
                  <c:v>10</c:v>
                </c:pt>
                <c:pt idx="5" formatCode="#,##0">
                  <c:v>24</c:v>
                </c:pt>
                <c:pt idx="6" formatCode="#,##0">
                  <c:v>58</c:v>
                </c:pt>
                <c:pt idx="7" formatCode="#,##0">
                  <c:v>118</c:v>
                </c:pt>
                <c:pt idx="8" formatCode="#,##0">
                  <c:v>249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7.6293097732504354</c:v>
                </c:pt>
                <c:pt idx="3">
                  <c:v>18.209899599690996</c:v>
                </c:pt>
                <c:pt idx="4">
                  <c:v>28.288842102845866</c:v>
                </c:pt>
                <c:pt idx="5">
                  <c:v>54.478459806176602</c:v>
                </c:pt>
                <c:pt idx="6">
                  <c:v>118.52648870310574</c:v>
                </c:pt>
                <c:pt idx="7">
                  <c:v>218.2909810369388</c:v>
                </c:pt>
                <c:pt idx="8">
                  <c:v>518.10913545725089</c:v>
                </c:pt>
                <c:pt idx="9">
                  <c:v>1317.2880620783847</c:v>
                </c:pt>
                <c:pt idx="10">
                  <c:v>2290.207792474991</c:v>
                </c:pt>
                <c:pt idx="11">
                  <c:v>4555.1606808569022</c:v>
                </c:pt>
                <c:pt idx="12">
                  <c:v>9070.9862860883222</c:v>
                </c:pt>
                <c:pt idx="13">
                  <c:v>18078.974306517997</c:v>
                </c:pt>
                <c:pt idx="14">
                  <c:v>36054.778836534009</c:v>
                </c:pt>
                <c:pt idx="15">
                  <c:v>71937.496233682541</c:v>
                </c:pt>
                <c:pt idx="16">
                  <c:v>143583.65341983963</c:v>
                </c:pt>
                <c:pt idx="17">
                  <c:v>286667.63849319791</c:v>
                </c:pt>
                <c:pt idx="18">
                  <c:v>572468.84276837856</c:v>
                </c:pt>
                <c:pt idx="19">
                  <c:v>1143420.9053552516</c:v>
                </c:pt>
                <c:pt idx="20">
                  <c:v>2284164.3350888845</c:v>
                </c:pt>
                <c:pt idx="21">
                  <c:v>4563567.4494079296</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7.6293097732504354</c:v>
                </c:pt>
                <c:pt idx="3">
                  <c:v>18.209899599690996</c:v>
                </c:pt>
                <c:pt idx="4">
                  <c:v>28.288842102845866</c:v>
                </c:pt>
                <c:pt idx="5">
                  <c:v>54.478459806176602</c:v>
                </c:pt>
                <c:pt idx="6">
                  <c:v>118.52648870310574</c:v>
                </c:pt>
                <c:pt idx="7">
                  <c:v>218.2909810369388</c:v>
                </c:pt>
                <c:pt idx="8">
                  <c:v>518.10913545725089</c:v>
                </c:pt>
                <c:pt idx="9">
                  <c:v>1317.2880620783847</c:v>
                </c:pt>
                <c:pt idx="10">
                  <c:v>2038.8459554037113</c:v>
                </c:pt>
                <c:pt idx="11">
                  <c:v>4110.830561879191</c:v>
                </c:pt>
                <c:pt idx="12">
                  <c:v>8195.3921946894116</c:v>
                </c:pt>
                <c:pt idx="13">
                  <c:v>16314.976158439815</c:v>
                </c:pt>
                <c:pt idx="14">
                  <c:v>32578.888811751553</c:v>
                </c:pt>
                <c:pt idx="15">
                  <c:v>64883.463748918424</c:v>
                </c:pt>
                <c:pt idx="16">
                  <c:v>129279.71165951193</c:v>
                </c:pt>
                <c:pt idx="17">
                  <c:v>258332.53837159384</c:v>
                </c:pt>
                <c:pt idx="18">
                  <c:v>515849.94458134612</c:v>
                </c:pt>
                <c:pt idx="19">
                  <c:v>1030268.8448259534</c:v>
                </c:pt>
                <c:pt idx="20">
                  <c:v>2058006.0781005754</c:v>
                </c:pt>
                <c:pt idx="21">
                  <c:v>4111502.6441415697</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1.6530832427405393</c:v>
                </c:pt>
                <c:pt idx="4">
                  <c:v>3.0999999999999996</c:v>
                </c:pt>
                <c:pt idx="5">
                  <c:v>5.5408710309150333</c:v>
                </c:pt>
                <c:pt idx="6">
                  <c:v>8.5076562626629748</c:v>
                </c:pt>
                <c:pt idx="7">
                  <c:v>16.508708422906025</c:v>
                </c:pt>
                <c:pt idx="8">
                  <c:v>42.24991878842863</c:v>
                </c:pt>
                <c:pt idx="9">
                  <c:v>99.899999999999991</c:v>
                </c:pt>
                <c:pt idx="10">
                  <c:v>251.68060747583965</c:v>
                </c:pt>
                <c:pt idx="11">
                  <c:v>443.15211688224855</c:v>
                </c:pt>
                <c:pt idx="12">
                  <c:v>884.67230081334606</c:v>
                </c:pt>
                <c:pt idx="13">
                  <c:v>1766.7944643614733</c:v>
                </c:pt>
                <c:pt idx="14">
                  <c:v>3529.4940387552356</c:v>
                </c:pt>
                <c:pt idx="15">
                  <c:v>7052.2678586377169</c:v>
                </c:pt>
                <c:pt idx="16">
                  <c:v>14093.308451427838</c:v>
                </c:pt>
                <c:pt idx="17">
                  <c:v>28167.578590306723</c:v>
                </c:pt>
                <c:pt idx="18">
                  <c:v>56302.464001137865</c:v>
                </c:pt>
                <c:pt idx="19">
                  <c:v>112548.17589744378</c:v>
                </c:pt>
                <c:pt idx="20">
                  <c:v>224996.90749929595</c:v>
                </c:pt>
                <c:pt idx="21">
                  <c:v>449818.12612365105</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1.6530832427405393</c:v>
                </c:pt>
                <c:pt idx="4">
                  <c:v>3.0999999999999996</c:v>
                </c:pt>
                <c:pt idx="5">
                  <c:v>5.5408710309150333</c:v>
                </c:pt>
                <c:pt idx="6">
                  <c:v>8.5076562626629748</c:v>
                </c:pt>
                <c:pt idx="7">
                  <c:v>16.508708422906025</c:v>
                </c:pt>
                <c:pt idx="8">
                  <c:v>40.596835545688094</c:v>
                </c:pt>
                <c:pt idx="9">
                  <c:v>96.315605677184138</c:v>
                </c:pt>
                <c:pt idx="10">
                  <c:v>245.16652556399137</c:v>
                </c:pt>
                <c:pt idx="11">
                  <c:v>428.81568009114943</c:v>
                </c:pt>
                <c:pt idx="12">
                  <c:v>848.37044308944621</c:v>
                </c:pt>
                <c:pt idx="13">
                  <c:v>1688.9581480781826</c:v>
                </c:pt>
                <c:pt idx="14">
                  <c:v>3315.0440387552358</c:v>
                </c:pt>
                <c:pt idx="15">
                  <c:v>6672.2678586377169</c:v>
                </c:pt>
                <c:pt idx="16">
                  <c:v>13333.308451427838</c:v>
                </c:pt>
                <c:pt idx="17">
                  <c:v>26647.578590306723</c:v>
                </c:pt>
                <c:pt idx="18">
                  <c:v>53262.464001137865</c:v>
                </c:pt>
                <c:pt idx="19">
                  <c:v>106468.17589744378</c:v>
                </c:pt>
                <c:pt idx="20">
                  <c:v>212836.90749929595</c:v>
                </c:pt>
                <c:pt idx="21">
                  <c:v>425498.12612365105</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1.05</c:v>
                </c:pt>
                <c:pt idx="1">
                  <c:v>2.1</c:v>
                </c:pt>
                <c:pt idx="2">
                  <c:v>4.2</c:v>
                </c:pt>
                <c:pt idx="3">
                  <c:v>8.4</c:v>
                </c:pt>
                <c:pt idx="4">
                  <c:v>16.8</c:v>
                </c:pt>
                <c:pt idx="5">
                  <c:v>33.6</c:v>
                </c:pt>
                <c:pt idx="6">
                  <c:v>67.2</c:v>
                </c:pt>
                <c:pt idx="7">
                  <c:v>134.4</c:v>
                </c:pt>
                <c:pt idx="8">
                  <c:v>268.8</c:v>
                </c:pt>
                <c:pt idx="9">
                  <c:v>537.6</c:v>
                </c:pt>
                <c:pt idx="10">
                  <c:v>1075.2</c:v>
                </c:pt>
                <c:pt idx="11">
                  <c:v>2150.4</c:v>
                </c:pt>
                <c:pt idx="12">
                  <c:v>4300.8</c:v>
                </c:pt>
                <c:pt idx="13">
                  <c:v>8601.6</c:v>
                </c:pt>
                <c:pt idx="14">
                  <c:v>17203.2</c:v>
                </c:pt>
                <c:pt idx="15">
                  <c:v>34406.400000000001</c:v>
                </c:pt>
                <c:pt idx="16">
                  <c:v>68812.800000000003</c:v>
                </c:pt>
                <c:pt idx="17">
                  <c:v>137625.60000000001</c:v>
                </c:pt>
                <c:pt idx="18">
                  <c:v>275251.20000000001</c:v>
                </c:pt>
                <c:pt idx="19">
                  <c:v>550502.40000000002</c:v>
                </c:pt>
                <c:pt idx="20">
                  <c:v>1101004.8</c:v>
                </c:pt>
                <c:pt idx="21">
                  <c:v>2202009.6000000001</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Projections!$J$49:$AJ$49</c15:sqref>
                  </c15:fullRef>
                </c:ext>
              </c:extLst>
              <c:f>Projections!$J$49:$AE$49</c:f>
              <c:numCache>
                <c:formatCode>#,##0</c:formatCode>
                <c:ptCount val="22"/>
                <c:pt idx="0">
                  <c:v>0.3</c:v>
                </c:pt>
                <c:pt idx="1">
                  <c:v>0.6</c:v>
                </c:pt>
                <c:pt idx="2">
                  <c:v>1.2</c:v>
                </c:pt>
                <c:pt idx="3">
                  <c:v>2.4</c:v>
                </c:pt>
                <c:pt idx="4">
                  <c:v>4.8</c:v>
                </c:pt>
                <c:pt idx="5">
                  <c:v>9.6</c:v>
                </c:pt>
                <c:pt idx="6">
                  <c:v>19.2</c:v>
                </c:pt>
                <c:pt idx="7">
                  <c:v>38.4</c:v>
                </c:pt>
                <c:pt idx="8">
                  <c:v>76.8</c:v>
                </c:pt>
                <c:pt idx="9">
                  <c:v>153.6</c:v>
                </c:pt>
                <c:pt idx="10">
                  <c:v>307.2</c:v>
                </c:pt>
                <c:pt idx="11">
                  <c:v>614.4</c:v>
                </c:pt>
                <c:pt idx="12">
                  <c:v>1228.8</c:v>
                </c:pt>
                <c:pt idx="13">
                  <c:v>2457.6</c:v>
                </c:pt>
                <c:pt idx="14">
                  <c:v>4915.2</c:v>
                </c:pt>
                <c:pt idx="15">
                  <c:v>9830.4</c:v>
                </c:pt>
                <c:pt idx="16">
                  <c:v>19660.8</c:v>
                </c:pt>
                <c:pt idx="17">
                  <c:v>39321.599999999999</c:v>
                </c:pt>
                <c:pt idx="18">
                  <c:v>78643.199999999997</c:v>
                </c:pt>
                <c:pt idx="19">
                  <c:v>157286.39999999999</c:v>
                </c:pt>
                <c:pt idx="20">
                  <c:v>314572.79999999999</c:v>
                </c:pt>
                <c:pt idx="21">
                  <c:v>629145.59999999998</c:v>
                </c:pt>
              </c:numCache>
            </c:numRef>
          </c:val>
          <c:smooth val="0"/>
          <c:extLst>
            <c:ext xmlns:c16="http://schemas.microsoft.com/office/drawing/2014/chart" uri="{C3380CC4-5D6E-409C-BE32-E72D297353CC}">
              <c16:uniqueId val="{00000000-7972-43AB-83E8-C2C99B4277B0}"/>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0.87</c:v>
                </c:pt>
                <c:pt idx="1">
                  <c:v>1.74</c:v>
                </c:pt>
                <c:pt idx="2">
                  <c:v>3.48</c:v>
                </c:pt>
                <c:pt idx="3">
                  <c:v>6.96</c:v>
                </c:pt>
                <c:pt idx="4">
                  <c:v>13.92</c:v>
                </c:pt>
                <c:pt idx="5">
                  <c:v>27.84</c:v>
                </c:pt>
                <c:pt idx="6">
                  <c:v>55.68</c:v>
                </c:pt>
                <c:pt idx="7">
                  <c:v>111.36</c:v>
                </c:pt>
                <c:pt idx="8">
                  <c:v>222.72</c:v>
                </c:pt>
                <c:pt idx="9">
                  <c:v>445.44</c:v>
                </c:pt>
                <c:pt idx="10">
                  <c:v>890.88</c:v>
                </c:pt>
                <c:pt idx="11">
                  <c:v>1781.76</c:v>
                </c:pt>
                <c:pt idx="12">
                  <c:v>3563.52</c:v>
                </c:pt>
                <c:pt idx="13">
                  <c:v>7127.04</c:v>
                </c:pt>
                <c:pt idx="14">
                  <c:v>14254.08</c:v>
                </c:pt>
                <c:pt idx="15">
                  <c:v>28508.16</c:v>
                </c:pt>
                <c:pt idx="16">
                  <c:v>57016.32</c:v>
                </c:pt>
                <c:pt idx="17">
                  <c:v>114032.64</c:v>
                </c:pt>
                <c:pt idx="18">
                  <c:v>228065.28</c:v>
                </c:pt>
                <c:pt idx="19">
                  <c:v>456130.56</c:v>
                </c:pt>
                <c:pt idx="20">
                  <c:v>912261.12</c:v>
                </c:pt>
                <c:pt idx="21">
                  <c:v>1824522.24</c:v>
                </c:pt>
              </c:numCache>
            </c:numRef>
          </c:val>
          <c:smooth val="0"/>
          <c:extLst>
            <c:ext xmlns:c16="http://schemas.microsoft.com/office/drawing/2014/chart" uri="{C3380CC4-5D6E-409C-BE32-E72D297353CC}">
              <c16:uniqueId val="{00000001-7972-43AB-83E8-C2C99B4277B0}"/>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3.63</c:v>
                </c:pt>
                <c:pt idx="1">
                  <c:v>7.26</c:v>
                </c:pt>
                <c:pt idx="2">
                  <c:v>14.52</c:v>
                </c:pt>
                <c:pt idx="3">
                  <c:v>29.04</c:v>
                </c:pt>
                <c:pt idx="4">
                  <c:v>58.08</c:v>
                </c:pt>
                <c:pt idx="5">
                  <c:v>116.16</c:v>
                </c:pt>
                <c:pt idx="6">
                  <c:v>232.32</c:v>
                </c:pt>
                <c:pt idx="7">
                  <c:v>464.64</c:v>
                </c:pt>
                <c:pt idx="8">
                  <c:v>929.28</c:v>
                </c:pt>
                <c:pt idx="9">
                  <c:v>1858.56</c:v>
                </c:pt>
                <c:pt idx="10">
                  <c:v>3717.12</c:v>
                </c:pt>
                <c:pt idx="11">
                  <c:v>7434.24</c:v>
                </c:pt>
                <c:pt idx="12">
                  <c:v>14868.48</c:v>
                </c:pt>
                <c:pt idx="13">
                  <c:v>29736.959999999999</c:v>
                </c:pt>
                <c:pt idx="14">
                  <c:v>59473.919999999998</c:v>
                </c:pt>
                <c:pt idx="15">
                  <c:v>118947.84</c:v>
                </c:pt>
                <c:pt idx="16">
                  <c:v>237895.67999999999</c:v>
                </c:pt>
                <c:pt idx="17">
                  <c:v>475791.35999999999</c:v>
                </c:pt>
                <c:pt idx="18">
                  <c:v>951582.71999999997</c:v>
                </c:pt>
                <c:pt idx="19">
                  <c:v>1903165.4399999999</c:v>
                </c:pt>
                <c:pt idx="20">
                  <c:v>3806330.8799999999</c:v>
                </c:pt>
                <c:pt idx="21">
                  <c:v>7612661.7599999998</c:v>
                </c:pt>
              </c:numCache>
            </c:numRef>
          </c:val>
          <c:smooth val="0"/>
          <c:extLst>
            <c:ext xmlns:c16="http://schemas.microsoft.com/office/drawing/2014/chart" uri="{C3380CC4-5D6E-409C-BE32-E72D297353CC}">
              <c16:uniqueId val="{00000002-7972-43AB-83E8-C2C99B4277B0}"/>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4.7700000000000005</c:v>
                </c:pt>
                <c:pt idx="1">
                  <c:v>9.5400000000000009</c:v>
                </c:pt>
                <c:pt idx="2">
                  <c:v>19.080000000000002</c:v>
                </c:pt>
                <c:pt idx="3">
                  <c:v>38.160000000000004</c:v>
                </c:pt>
                <c:pt idx="4">
                  <c:v>76.320000000000007</c:v>
                </c:pt>
                <c:pt idx="5">
                  <c:v>152.64000000000001</c:v>
                </c:pt>
                <c:pt idx="6">
                  <c:v>305.28000000000003</c:v>
                </c:pt>
                <c:pt idx="7">
                  <c:v>610.56000000000006</c:v>
                </c:pt>
                <c:pt idx="8">
                  <c:v>1221.1200000000001</c:v>
                </c:pt>
                <c:pt idx="9">
                  <c:v>2442.2400000000002</c:v>
                </c:pt>
                <c:pt idx="10">
                  <c:v>4884.4800000000005</c:v>
                </c:pt>
                <c:pt idx="11">
                  <c:v>9768.9600000000009</c:v>
                </c:pt>
                <c:pt idx="12">
                  <c:v>19537.920000000002</c:v>
                </c:pt>
                <c:pt idx="13">
                  <c:v>39075.840000000004</c:v>
                </c:pt>
                <c:pt idx="14">
                  <c:v>78151.680000000008</c:v>
                </c:pt>
                <c:pt idx="15">
                  <c:v>156303.36000000002</c:v>
                </c:pt>
                <c:pt idx="16">
                  <c:v>312606.72000000003</c:v>
                </c:pt>
                <c:pt idx="17">
                  <c:v>625213.44000000006</c:v>
                </c:pt>
                <c:pt idx="18">
                  <c:v>1250426.8800000001</c:v>
                </c:pt>
                <c:pt idx="19">
                  <c:v>2500853.7600000002</c:v>
                </c:pt>
                <c:pt idx="20">
                  <c:v>5001707.5200000005</c:v>
                </c:pt>
                <c:pt idx="21">
                  <c:v>10003415.040000001</c:v>
                </c:pt>
              </c:numCache>
            </c:numRef>
          </c:val>
          <c:smooth val="0"/>
          <c:extLst>
            <c:ext xmlns:c16="http://schemas.microsoft.com/office/drawing/2014/chart" uri="{C3380CC4-5D6E-409C-BE32-E72D297353CC}">
              <c16:uniqueId val="{00000003-7972-43AB-83E8-C2C99B4277B0}"/>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5.1300000000000008</c:v>
                </c:pt>
                <c:pt idx="1">
                  <c:v>10.260000000000002</c:v>
                </c:pt>
                <c:pt idx="2">
                  <c:v>20.520000000000003</c:v>
                </c:pt>
                <c:pt idx="3">
                  <c:v>41.040000000000006</c:v>
                </c:pt>
                <c:pt idx="4">
                  <c:v>82.080000000000013</c:v>
                </c:pt>
                <c:pt idx="5">
                  <c:v>164.16000000000003</c:v>
                </c:pt>
                <c:pt idx="6">
                  <c:v>328.32000000000005</c:v>
                </c:pt>
                <c:pt idx="7">
                  <c:v>656.6400000000001</c:v>
                </c:pt>
                <c:pt idx="8">
                  <c:v>1313.2800000000002</c:v>
                </c:pt>
                <c:pt idx="9">
                  <c:v>2626.5600000000004</c:v>
                </c:pt>
                <c:pt idx="10">
                  <c:v>5253.1200000000008</c:v>
                </c:pt>
                <c:pt idx="11">
                  <c:v>10506.240000000002</c:v>
                </c:pt>
                <c:pt idx="12">
                  <c:v>21012.480000000003</c:v>
                </c:pt>
                <c:pt idx="13">
                  <c:v>42024.960000000006</c:v>
                </c:pt>
                <c:pt idx="14">
                  <c:v>84049.920000000013</c:v>
                </c:pt>
                <c:pt idx="15">
                  <c:v>168099.84000000003</c:v>
                </c:pt>
                <c:pt idx="16">
                  <c:v>336199.68000000005</c:v>
                </c:pt>
                <c:pt idx="17">
                  <c:v>672399.3600000001</c:v>
                </c:pt>
                <c:pt idx="18">
                  <c:v>1344798.7200000002</c:v>
                </c:pt>
                <c:pt idx="19">
                  <c:v>2689597.4400000004</c:v>
                </c:pt>
                <c:pt idx="20">
                  <c:v>5379194.8800000008</c:v>
                </c:pt>
                <c:pt idx="21">
                  <c:v>10758389.760000002</c:v>
                </c:pt>
              </c:numCache>
            </c:numRef>
          </c:val>
          <c:smooth val="0"/>
          <c:extLst>
            <c:ext xmlns:c16="http://schemas.microsoft.com/office/drawing/2014/chart" uri="{C3380CC4-5D6E-409C-BE32-E72D297353CC}">
              <c16:uniqueId val="{00000004-7972-43AB-83E8-C2C99B4277B0}"/>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6.57</c:v>
                </c:pt>
                <c:pt idx="1">
                  <c:v>13.14</c:v>
                </c:pt>
                <c:pt idx="2">
                  <c:v>26.28</c:v>
                </c:pt>
                <c:pt idx="3">
                  <c:v>52.56</c:v>
                </c:pt>
                <c:pt idx="4">
                  <c:v>105.12</c:v>
                </c:pt>
                <c:pt idx="5">
                  <c:v>210.24</c:v>
                </c:pt>
                <c:pt idx="6">
                  <c:v>420.48</c:v>
                </c:pt>
                <c:pt idx="7">
                  <c:v>840.96</c:v>
                </c:pt>
                <c:pt idx="8">
                  <c:v>1681.92</c:v>
                </c:pt>
                <c:pt idx="9">
                  <c:v>3363.84</c:v>
                </c:pt>
                <c:pt idx="10">
                  <c:v>6727.68</c:v>
                </c:pt>
                <c:pt idx="11">
                  <c:v>13455.36</c:v>
                </c:pt>
                <c:pt idx="12">
                  <c:v>26910.720000000001</c:v>
                </c:pt>
                <c:pt idx="13">
                  <c:v>53821.440000000002</c:v>
                </c:pt>
                <c:pt idx="14">
                  <c:v>107642.88</c:v>
                </c:pt>
                <c:pt idx="15">
                  <c:v>215285.76000000001</c:v>
                </c:pt>
                <c:pt idx="16">
                  <c:v>430571.52000000002</c:v>
                </c:pt>
                <c:pt idx="17">
                  <c:v>861143.04000000004</c:v>
                </c:pt>
                <c:pt idx="18">
                  <c:v>1722286.0800000001</c:v>
                </c:pt>
                <c:pt idx="19">
                  <c:v>3444572.1600000001</c:v>
                </c:pt>
                <c:pt idx="20">
                  <c:v>6889144.3200000003</c:v>
                </c:pt>
                <c:pt idx="21">
                  <c:v>13778288.640000001</c:v>
                </c:pt>
              </c:numCache>
            </c:numRef>
          </c:val>
          <c:smooth val="0"/>
          <c:extLst>
            <c:ext xmlns:c16="http://schemas.microsoft.com/office/drawing/2014/chart" uri="{C3380CC4-5D6E-409C-BE32-E72D297353CC}">
              <c16:uniqueId val="{00000005-7972-43AB-83E8-C2C99B4277B0}"/>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6.96</c:v>
                </c:pt>
                <c:pt idx="1">
                  <c:v>13.92</c:v>
                </c:pt>
                <c:pt idx="2">
                  <c:v>27.84</c:v>
                </c:pt>
                <c:pt idx="3">
                  <c:v>55.68</c:v>
                </c:pt>
                <c:pt idx="4">
                  <c:v>111.36</c:v>
                </c:pt>
                <c:pt idx="5">
                  <c:v>222.72</c:v>
                </c:pt>
                <c:pt idx="6">
                  <c:v>445.44</c:v>
                </c:pt>
                <c:pt idx="7">
                  <c:v>890.88</c:v>
                </c:pt>
                <c:pt idx="8">
                  <c:v>1781.76</c:v>
                </c:pt>
                <c:pt idx="9">
                  <c:v>3563.52</c:v>
                </c:pt>
                <c:pt idx="10">
                  <c:v>7127.04</c:v>
                </c:pt>
                <c:pt idx="11">
                  <c:v>14254.08</c:v>
                </c:pt>
                <c:pt idx="12">
                  <c:v>28508.16</c:v>
                </c:pt>
                <c:pt idx="13">
                  <c:v>57016.32</c:v>
                </c:pt>
                <c:pt idx="14">
                  <c:v>114032.64</c:v>
                </c:pt>
                <c:pt idx="15">
                  <c:v>228065.28</c:v>
                </c:pt>
                <c:pt idx="16">
                  <c:v>456130.56</c:v>
                </c:pt>
                <c:pt idx="17">
                  <c:v>912261.12</c:v>
                </c:pt>
                <c:pt idx="18">
                  <c:v>1824522.24</c:v>
                </c:pt>
                <c:pt idx="19">
                  <c:v>3649044.48</c:v>
                </c:pt>
                <c:pt idx="20">
                  <c:v>7298088.96</c:v>
                </c:pt>
                <c:pt idx="21">
                  <c:v>14596177.92</c:v>
                </c:pt>
              </c:numCache>
            </c:numRef>
          </c:val>
          <c:smooth val="0"/>
          <c:extLst>
            <c:ext xmlns:c16="http://schemas.microsoft.com/office/drawing/2014/chart" uri="{C3380CC4-5D6E-409C-BE32-E72D297353CC}">
              <c16:uniqueId val="{00000006-7972-43AB-83E8-C2C99B4277B0}"/>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1.1399999999999999</c:v>
                </c:pt>
                <c:pt idx="1">
                  <c:v>2.2799999999999998</c:v>
                </c:pt>
                <c:pt idx="2">
                  <c:v>4.5599999999999996</c:v>
                </c:pt>
                <c:pt idx="3">
                  <c:v>9.1199999999999992</c:v>
                </c:pt>
                <c:pt idx="4">
                  <c:v>18.239999999999998</c:v>
                </c:pt>
                <c:pt idx="5">
                  <c:v>36.479999999999997</c:v>
                </c:pt>
                <c:pt idx="6">
                  <c:v>72.959999999999994</c:v>
                </c:pt>
                <c:pt idx="7">
                  <c:v>145.91999999999999</c:v>
                </c:pt>
                <c:pt idx="8">
                  <c:v>291.83999999999997</c:v>
                </c:pt>
                <c:pt idx="9">
                  <c:v>583.67999999999995</c:v>
                </c:pt>
                <c:pt idx="10">
                  <c:v>1167.3599999999999</c:v>
                </c:pt>
                <c:pt idx="11">
                  <c:v>2334.7199999999998</c:v>
                </c:pt>
                <c:pt idx="12">
                  <c:v>4669.4399999999996</c:v>
                </c:pt>
                <c:pt idx="13">
                  <c:v>9338.8799999999992</c:v>
                </c:pt>
                <c:pt idx="14">
                  <c:v>18677.759999999998</c:v>
                </c:pt>
                <c:pt idx="15">
                  <c:v>37355.519999999997</c:v>
                </c:pt>
                <c:pt idx="16">
                  <c:v>74711.039999999994</c:v>
                </c:pt>
                <c:pt idx="17">
                  <c:v>149422.07999999999</c:v>
                </c:pt>
                <c:pt idx="18">
                  <c:v>298844.15999999997</c:v>
                </c:pt>
                <c:pt idx="19">
                  <c:v>597688.31999999995</c:v>
                </c:pt>
                <c:pt idx="20">
                  <c:v>1195376.6399999999</c:v>
                </c:pt>
                <c:pt idx="21">
                  <c:v>2390753.2799999998</c:v>
                </c:pt>
              </c:numCache>
            </c:numRef>
          </c:val>
          <c:smooth val="0"/>
          <c:extLst>
            <c:ext xmlns:c16="http://schemas.microsoft.com/office/drawing/2014/chart" uri="{C3380CC4-5D6E-409C-BE32-E72D297353CC}">
              <c16:uniqueId val="{00000007-7972-43AB-83E8-C2C99B4277B0}"/>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0.63</c:v>
                </c:pt>
                <c:pt idx="1">
                  <c:v>1.26</c:v>
                </c:pt>
                <c:pt idx="2">
                  <c:v>2.52</c:v>
                </c:pt>
                <c:pt idx="3">
                  <c:v>5.04</c:v>
                </c:pt>
                <c:pt idx="4">
                  <c:v>10.08</c:v>
                </c:pt>
                <c:pt idx="5">
                  <c:v>20.16</c:v>
                </c:pt>
                <c:pt idx="6">
                  <c:v>40.32</c:v>
                </c:pt>
                <c:pt idx="7">
                  <c:v>80.64</c:v>
                </c:pt>
                <c:pt idx="8">
                  <c:v>161.28</c:v>
                </c:pt>
                <c:pt idx="9">
                  <c:v>322.56</c:v>
                </c:pt>
                <c:pt idx="10">
                  <c:v>645.12</c:v>
                </c:pt>
                <c:pt idx="11">
                  <c:v>1290.24</c:v>
                </c:pt>
                <c:pt idx="12">
                  <c:v>2580.48</c:v>
                </c:pt>
                <c:pt idx="13">
                  <c:v>5160.96</c:v>
                </c:pt>
                <c:pt idx="14">
                  <c:v>10321.92</c:v>
                </c:pt>
                <c:pt idx="15">
                  <c:v>20643.84</c:v>
                </c:pt>
                <c:pt idx="16">
                  <c:v>41287.68</c:v>
                </c:pt>
                <c:pt idx="17">
                  <c:v>82575.360000000001</c:v>
                </c:pt>
                <c:pt idx="18">
                  <c:v>165150.72</c:v>
                </c:pt>
                <c:pt idx="19">
                  <c:v>330301.44</c:v>
                </c:pt>
                <c:pt idx="20">
                  <c:v>660602.88</c:v>
                </c:pt>
                <c:pt idx="21">
                  <c:v>1321205.76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4.4399999999999995E-2</c:v>
                </c:pt>
                <c:pt idx="1">
                  <c:v>8.879999999999999E-2</c:v>
                </c:pt>
                <c:pt idx="2">
                  <c:v>0.17759999999999998</c:v>
                </c:pt>
                <c:pt idx="3">
                  <c:v>0.35519999999999996</c:v>
                </c:pt>
                <c:pt idx="4">
                  <c:v>0.71039999999999992</c:v>
                </c:pt>
                <c:pt idx="5">
                  <c:v>1.4207999999999998</c:v>
                </c:pt>
                <c:pt idx="6">
                  <c:v>2.8415999999999997</c:v>
                </c:pt>
                <c:pt idx="7">
                  <c:v>5.6831999999999994</c:v>
                </c:pt>
                <c:pt idx="8">
                  <c:v>11.366399999999999</c:v>
                </c:pt>
                <c:pt idx="9">
                  <c:v>22.732799999999997</c:v>
                </c:pt>
                <c:pt idx="10">
                  <c:v>45.465599999999995</c:v>
                </c:pt>
                <c:pt idx="11">
                  <c:v>90.93119999999999</c:v>
                </c:pt>
                <c:pt idx="12">
                  <c:v>181.86239999999998</c:v>
                </c:pt>
                <c:pt idx="13">
                  <c:v>363.72479999999996</c:v>
                </c:pt>
                <c:pt idx="14">
                  <c:v>727.44959999999992</c:v>
                </c:pt>
                <c:pt idx="15">
                  <c:v>1454.8991999999998</c:v>
                </c:pt>
                <c:pt idx="16">
                  <c:v>2909.7983999999997</c:v>
                </c:pt>
                <c:pt idx="17">
                  <c:v>5819.5967999999993</c:v>
                </c:pt>
                <c:pt idx="18">
                  <c:v>11639.193599999999</c:v>
                </c:pt>
                <c:pt idx="19">
                  <c:v>23278.387199999997</c:v>
                </c:pt>
                <c:pt idx="20">
                  <c:v>46556.774399999995</c:v>
                </c:pt>
                <c:pt idx="21">
                  <c:v>93113.54879999999</c:v>
                </c:pt>
              </c:numCache>
            </c:numRef>
          </c:val>
          <c:smooth val="0"/>
          <c:extLst>
            <c:ext xmlns:c16="http://schemas.microsoft.com/office/drawing/2014/chart" uri="{C3380CC4-5D6E-409C-BE32-E72D297353CC}">
              <c16:uniqueId val="{00000000-FE50-482D-905D-7C3B099138E4}"/>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6.9599999999999995E-2</c:v>
                </c:pt>
                <c:pt idx="1">
                  <c:v>0.13919999999999999</c:v>
                </c:pt>
                <c:pt idx="2">
                  <c:v>0.27839999999999998</c:v>
                </c:pt>
                <c:pt idx="3">
                  <c:v>0.55679999999999996</c:v>
                </c:pt>
                <c:pt idx="4">
                  <c:v>1.1135999999999999</c:v>
                </c:pt>
                <c:pt idx="5">
                  <c:v>2.2271999999999998</c:v>
                </c:pt>
                <c:pt idx="6">
                  <c:v>4.4543999999999997</c:v>
                </c:pt>
                <c:pt idx="7">
                  <c:v>8.9087999999999994</c:v>
                </c:pt>
                <c:pt idx="8">
                  <c:v>17.817599999999999</c:v>
                </c:pt>
                <c:pt idx="9">
                  <c:v>35.635199999999998</c:v>
                </c:pt>
                <c:pt idx="10">
                  <c:v>71.270399999999995</c:v>
                </c:pt>
                <c:pt idx="11">
                  <c:v>142.54079999999999</c:v>
                </c:pt>
                <c:pt idx="12">
                  <c:v>285.08159999999998</c:v>
                </c:pt>
                <c:pt idx="13">
                  <c:v>570.16319999999996</c:v>
                </c:pt>
                <c:pt idx="14">
                  <c:v>1140.3263999999999</c:v>
                </c:pt>
                <c:pt idx="15">
                  <c:v>2280.6527999999998</c:v>
                </c:pt>
                <c:pt idx="16">
                  <c:v>4561.3055999999997</c:v>
                </c:pt>
                <c:pt idx="17">
                  <c:v>9122.6111999999994</c:v>
                </c:pt>
                <c:pt idx="18">
                  <c:v>18245.222399999999</c:v>
                </c:pt>
                <c:pt idx="19">
                  <c:v>36490.444799999997</c:v>
                </c:pt>
                <c:pt idx="20">
                  <c:v>72980.889599999995</c:v>
                </c:pt>
                <c:pt idx="21">
                  <c:v>145961.77919999999</c:v>
                </c:pt>
              </c:numCache>
            </c:numRef>
          </c:val>
          <c:smooth val="0"/>
          <c:extLst>
            <c:ext xmlns:c16="http://schemas.microsoft.com/office/drawing/2014/chart" uri="{C3380CC4-5D6E-409C-BE32-E72D297353CC}">
              <c16:uniqueId val="{00000001-FE50-482D-905D-7C3B099138E4}"/>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0.13067999999999999</c:v>
                </c:pt>
                <c:pt idx="1">
                  <c:v>0.26135999999999998</c:v>
                </c:pt>
                <c:pt idx="2">
                  <c:v>0.52271999999999996</c:v>
                </c:pt>
                <c:pt idx="3">
                  <c:v>1.0454399999999999</c:v>
                </c:pt>
                <c:pt idx="4">
                  <c:v>2.0908799999999998</c:v>
                </c:pt>
                <c:pt idx="5">
                  <c:v>4.1817599999999997</c:v>
                </c:pt>
                <c:pt idx="6">
                  <c:v>8.3635199999999994</c:v>
                </c:pt>
                <c:pt idx="7">
                  <c:v>16.727039999999999</c:v>
                </c:pt>
                <c:pt idx="8">
                  <c:v>33.454079999999998</c:v>
                </c:pt>
                <c:pt idx="9">
                  <c:v>66.908159999999995</c:v>
                </c:pt>
                <c:pt idx="10">
                  <c:v>133.81631999999999</c:v>
                </c:pt>
                <c:pt idx="11">
                  <c:v>267.63263999999998</c:v>
                </c:pt>
                <c:pt idx="12">
                  <c:v>535.26527999999996</c:v>
                </c:pt>
                <c:pt idx="13">
                  <c:v>1070.5305599999999</c:v>
                </c:pt>
                <c:pt idx="14">
                  <c:v>2141.0611199999998</c:v>
                </c:pt>
                <c:pt idx="15">
                  <c:v>4282.1222399999997</c:v>
                </c:pt>
                <c:pt idx="16">
                  <c:v>8564.2444799999994</c:v>
                </c:pt>
                <c:pt idx="17">
                  <c:v>17128.488959999999</c:v>
                </c:pt>
                <c:pt idx="18">
                  <c:v>34256.977919999998</c:v>
                </c:pt>
                <c:pt idx="19">
                  <c:v>68513.955839999995</c:v>
                </c:pt>
                <c:pt idx="20">
                  <c:v>137027.91167999999</c:v>
                </c:pt>
                <c:pt idx="21">
                  <c:v>274055.82335999998</c:v>
                </c:pt>
              </c:numCache>
            </c:numRef>
          </c:val>
          <c:smooth val="0"/>
          <c:extLst>
            <c:ext xmlns:c16="http://schemas.microsoft.com/office/drawing/2014/chart" uri="{C3380CC4-5D6E-409C-BE32-E72D297353CC}">
              <c16:uniqueId val="{00000002-FE50-482D-905D-7C3B099138E4}"/>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6.2010000000000003E-2</c:v>
                </c:pt>
                <c:pt idx="1">
                  <c:v>0.12402000000000001</c:v>
                </c:pt>
                <c:pt idx="2">
                  <c:v>0.24804000000000001</c:v>
                </c:pt>
                <c:pt idx="3">
                  <c:v>0.49608000000000002</c:v>
                </c:pt>
                <c:pt idx="4">
                  <c:v>0.99216000000000004</c:v>
                </c:pt>
                <c:pt idx="5">
                  <c:v>1.9843200000000001</c:v>
                </c:pt>
                <c:pt idx="6">
                  <c:v>3.9686400000000002</c:v>
                </c:pt>
                <c:pt idx="7">
                  <c:v>7.9372800000000003</c:v>
                </c:pt>
                <c:pt idx="8">
                  <c:v>15.874560000000001</c:v>
                </c:pt>
                <c:pt idx="9">
                  <c:v>31.749120000000001</c:v>
                </c:pt>
                <c:pt idx="10">
                  <c:v>63.498240000000003</c:v>
                </c:pt>
                <c:pt idx="11">
                  <c:v>126.99648000000001</c:v>
                </c:pt>
                <c:pt idx="12">
                  <c:v>253.99296000000001</c:v>
                </c:pt>
                <c:pt idx="13">
                  <c:v>507.98592000000002</c:v>
                </c:pt>
                <c:pt idx="14">
                  <c:v>1015.97184</c:v>
                </c:pt>
                <c:pt idx="15">
                  <c:v>2031.9436800000001</c:v>
                </c:pt>
                <c:pt idx="16">
                  <c:v>4063.8873600000002</c:v>
                </c:pt>
                <c:pt idx="17">
                  <c:v>8127.7747200000003</c:v>
                </c:pt>
                <c:pt idx="18">
                  <c:v>16255.549440000001</c:v>
                </c:pt>
                <c:pt idx="19">
                  <c:v>32511.098880000001</c:v>
                </c:pt>
                <c:pt idx="20">
                  <c:v>65022.197760000003</c:v>
                </c:pt>
                <c:pt idx="21">
                  <c:v>130044.39552000001</c:v>
                </c:pt>
              </c:numCache>
            </c:numRef>
          </c:val>
          <c:smooth val="0"/>
          <c:extLst>
            <c:ext xmlns:c16="http://schemas.microsoft.com/office/drawing/2014/chart" uri="{C3380CC4-5D6E-409C-BE32-E72D297353CC}">
              <c16:uniqueId val="{00000003-FE50-482D-905D-7C3B099138E4}"/>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2.0520000000000004E-2</c:v>
                </c:pt>
                <c:pt idx="1">
                  <c:v>4.1040000000000007E-2</c:v>
                </c:pt>
                <c:pt idx="2">
                  <c:v>8.2080000000000014E-2</c:v>
                </c:pt>
                <c:pt idx="3">
                  <c:v>0.16416000000000003</c:v>
                </c:pt>
                <c:pt idx="4">
                  <c:v>0.32832000000000006</c:v>
                </c:pt>
                <c:pt idx="5">
                  <c:v>0.65664000000000011</c:v>
                </c:pt>
                <c:pt idx="6">
                  <c:v>1.3132800000000002</c:v>
                </c:pt>
                <c:pt idx="7">
                  <c:v>2.6265600000000004</c:v>
                </c:pt>
                <c:pt idx="8">
                  <c:v>5.2531200000000009</c:v>
                </c:pt>
                <c:pt idx="9">
                  <c:v>10.506240000000002</c:v>
                </c:pt>
                <c:pt idx="10">
                  <c:v>21.012480000000004</c:v>
                </c:pt>
                <c:pt idx="11">
                  <c:v>42.024960000000007</c:v>
                </c:pt>
                <c:pt idx="12">
                  <c:v>84.049920000000014</c:v>
                </c:pt>
                <c:pt idx="13">
                  <c:v>168.09984000000003</c:v>
                </c:pt>
                <c:pt idx="14">
                  <c:v>336.19968000000006</c:v>
                </c:pt>
                <c:pt idx="15">
                  <c:v>672.39936000000012</c:v>
                </c:pt>
                <c:pt idx="16">
                  <c:v>1344.7987200000002</c:v>
                </c:pt>
                <c:pt idx="17">
                  <c:v>2689.5974400000005</c:v>
                </c:pt>
                <c:pt idx="18">
                  <c:v>5379.1948800000009</c:v>
                </c:pt>
                <c:pt idx="19">
                  <c:v>10758.389760000002</c:v>
                </c:pt>
                <c:pt idx="20">
                  <c:v>21516.779520000004</c:v>
                </c:pt>
                <c:pt idx="21">
                  <c:v>43033.559040000007</c:v>
                </c:pt>
              </c:numCache>
            </c:numRef>
          </c:val>
          <c:smooth val="0"/>
          <c:extLst>
            <c:ext xmlns:c16="http://schemas.microsoft.com/office/drawing/2014/chart" uri="{C3380CC4-5D6E-409C-BE32-E72D297353CC}">
              <c16:uniqueId val="{00000004-FE50-482D-905D-7C3B099138E4}"/>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1.3140000000000001E-2</c:v>
                </c:pt>
                <c:pt idx="1">
                  <c:v>2.6280000000000001E-2</c:v>
                </c:pt>
                <c:pt idx="2">
                  <c:v>5.2560000000000003E-2</c:v>
                </c:pt>
                <c:pt idx="3">
                  <c:v>0.10512000000000001</c:v>
                </c:pt>
                <c:pt idx="4">
                  <c:v>0.21024000000000001</c:v>
                </c:pt>
                <c:pt idx="5">
                  <c:v>0.42048000000000002</c:v>
                </c:pt>
                <c:pt idx="6">
                  <c:v>0.84096000000000004</c:v>
                </c:pt>
                <c:pt idx="7">
                  <c:v>1.6819200000000001</c:v>
                </c:pt>
                <c:pt idx="8">
                  <c:v>3.3638400000000002</c:v>
                </c:pt>
                <c:pt idx="9">
                  <c:v>6.7276800000000003</c:v>
                </c:pt>
                <c:pt idx="10">
                  <c:v>13.455360000000001</c:v>
                </c:pt>
                <c:pt idx="11">
                  <c:v>26.910720000000001</c:v>
                </c:pt>
                <c:pt idx="12">
                  <c:v>53.821440000000003</c:v>
                </c:pt>
                <c:pt idx="13">
                  <c:v>107.64288000000001</c:v>
                </c:pt>
                <c:pt idx="14">
                  <c:v>215.28576000000001</c:v>
                </c:pt>
                <c:pt idx="15">
                  <c:v>430.57152000000002</c:v>
                </c:pt>
                <c:pt idx="16">
                  <c:v>861.14304000000004</c:v>
                </c:pt>
                <c:pt idx="17">
                  <c:v>1722.2860800000001</c:v>
                </c:pt>
                <c:pt idx="18">
                  <c:v>3444.5721600000002</c:v>
                </c:pt>
                <c:pt idx="19">
                  <c:v>6889.1443200000003</c:v>
                </c:pt>
                <c:pt idx="20">
                  <c:v>13778.288640000001</c:v>
                </c:pt>
                <c:pt idx="21">
                  <c:v>27556.577280000001</c:v>
                </c:pt>
              </c:numCache>
            </c:numRef>
          </c:val>
          <c:smooth val="0"/>
          <c:extLst>
            <c:ext xmlns:c16="http://schemas.microsoft.com/office/drawing/2014/chart" uri="{C3380CC4-5D6E-409C-BE32-E72D297353CC}">
              <c16:uniqueId val="{00000005-FE50-482D-905D-7C3B099138E4}"/>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1.392E-2</c:v>
                </c:pt>
                <c:pt idx="1">
                  <c:v>2.784E-2</c:v>
                </c:pt>
                <c:pt idx="2">
                  <c:v>5.568E-2</c:v>
                </c:pt>
                <c:pt idx="3">
                  <c:v>0.11136</c:v>
                </c:pt>
                <c:pt idx="4">
                  <c:v>0.22272</c:v>
                </c:pt>
                <c:pt idx="5">
                  <c:v>0.44544</c:v>
                </c:pt>
                <c:pt idx="6">
                  <c:v>0.89088000000000001</c:v>
                </c:pt>
                <c:pt idx="7">
                  <c:v>1.78176</c:v>
                </c:pt>
                <c:pt idx="8">
                  <c:v>3.56352</c:v>
                </c:pt>
                <c:pt idx="9">
                  <c:v>7.12704</c:v>
                </c:pt>
                <c:pt idx="10">
                  <c:v>14.25408</c:v>
                </c:pt>
                <c:pt idx="11">
                  <c:v>28.50816</c:v>
                </c:pt>
                <c:pt idx="12">
                  <c:v>57.01632</c:v>
                </c:pt>
                <c:pt idx="13">
                  <c:v>114.03264</c:v>
                </c:pt>
                <c:pt idx="14">
                  <c:v>228.06528</c:v>
                </c:pt>
                <c:pt idx="15">
                  <c:v>456.13056</c:v>
                </c:pt>
                <c:pt idx="16">
                  <c:v>912.26112000000001</c:v>
                </c:pt>
                <c:pt idx="17">
                  <c:v>1824.52224</c:v>
                </c:pt>
                <c:pt idx="18">
                  <c:v>3649.04448</c:v>
                </c:pt>
                <c:pt idx="19">
                  <c:v>7298.08896</c:v>
                </c:pt>
                <c:pt idx="20">
                  <c:v>14596.17792</c:v>
                </c:pt>
                <c:pt idx="21">
                  <c:v>29192.35584</c:v>
                </c:pt>
              </c:numCache>
            </c:numRef>
          </c:val>
          <c:smooth val="0"/>
          <c:extLst>
            <c:ext xmlns:c16="http://schemas.microsoft.com/office/drawing/2014/chart" uri="{C3380CC4-5D6E-409C-BE32-E72D297353CC}">
              <c16:uniqueId val="{00000006-FE50-482D-905D-7C3B099138E4}"/>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2.2799999999999999E-3</c:v>
                </c:pt>
                <c:pt idx="1">
                  <c:v>4.5599999999999998E-3</c:v>
                </c:pt>
                <c:pt idx="2">
                  <c:v>9.1199999999999996E-3</c:v>
                </c:pt>
                <c:pt idx="3">
                  <c:v>1.8239999999999999E-2</c:v>
                </c:pt>
                <c:pt idx="4">
                  <c:v>3.6479999999999999E-2</c:v>
                </c:pt>
                <c:pt idx="5">
                  <c:v>7.2959999999999997E-2</c:v>
                </c:pt>
                <c:pt idx="6">
                  <c:v>0.14591999999999999</c:v>
                </c:pt>
                <c:pt idx="7">
                  <c:v>0.29183999999999999</c:v>
                </c:pt>
                <c:pt idx="8">
                  <c:v>0.58367999999999998</c:v>
                </c:pt>
                <c:pt idx="9">
                  <c:v>1.16736</c:v>
                </c:pt>
                <c:pt idx="10">
                  <c:v>2.3347199999999999</c:v>
                </c:pt>
                <c:pt idx="11">
                  <c:v>4.6694399999999998</c:v>
                </c:pt>
                <c:pt idx="12">
                  <c:v>9.3388799999999996</c:v>
                </c:pt>
                <c:pt idx="13">
                  <c:v>18.677759999999999</c:v>
                </c:pt>
                <c:pt idx="14">
                  <c:v>37.355519999999999</c:v>
                </c:pt>
                <c:pt idx="15">
                  <c:v>74.711039999999997</c:v>
                </c:pt>
                <c:pt idx="16">
                  <c:v>149.42207999999999</c:v>
                </c:pt>
                <c:pt idx="17">
                  <c:v>298.84415999999999</c:v>
                </c:pt>
                <c:pt idx="18">
                  <c:v>597.68831999999998</c:v>
                </c:pt>
                <c:pt idx="19">
                  <c:v>1195.37664</c:v>
                </c:pt>
                <c:pt idx="20">
                  <c:v>2390.7532799999999</c:v>
                </c:pt>
                <c:pt idx="21">
                  <c:v>4781.5065599999998</c:v>
                </c:pt>
              </c:numCache>
            </c:numRef>
          </c:val>
          <c:smooth val="0"/>
          <c:extLst>
            <c:ext xmlns:c16="http://schemas.microsoft.com/office/drawing/2014/chart" uri="{C3380CC4-5D6E-409C-BE32-E72D297353CC}">
              <c16:uniqueId val="{00000007-FE50-482D-905D-7C3B099138E4}"/>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8.94</c:v>
                </c:pt>
                <c:pt idx="1">
                  <c:v>17.88</c:v>
                </c:pt>
                <c:pt idx="2">
                  <c:v>35.76</c:v>
                </c:pt>
                <c:pt idx="3">
                  <c:v>71.52</c:v>
                </c:pt>
                <c:pt idx="4">
                  <c:v>143.04</c:v>
                </c:pt>
                <c:pt idx="5">
                  <c:v>286.08</c:v>
                </c:pt>
                <c:pt idx="6">
                  <c:v>572.16</c:v>
                </c:pt>
                <c:pt idx="7">
                  <c:v>1144.32</c:v>
                </c:pt>
                <c:pt idx="8">
                  <c:v>2288.64</c:v>
                </c:pt>
                <c:pt idx="9">
                  <c:v>4577.28</c:v>
                </c:pt>
                <c:pt idx="10">
                  <c:v>9154.56</c:v>
                </c:pt>
                <c:pt idx="11">
                  <c:v>18309.12</c:v>
                </c:pt>
                <c:pt idx="12">
                  <c:v>36618.239999999998</c:v>
                </c:pt>
                <c:pt idx="13">
                  <c:v>73236.479999999996</c:v>
                </c:pt>
                <c:pt idx="14">
                  <c:v>146472.95999999999</c:v>
                </c:pt>
                <c:pt idx="15">
                  <c:v>292945.91999999998</c:v>
                </c:pt>
                <c:pt idx="16">
                  <c:v>585891.83999999997</c:v>
                </c:pt>
                <c:pt idx="17">
                  <c:v>1171783.6799999999</c:v>
                </c:pt>
                <c:pt idx="18">
                  <c:v>2343567.3599999999</c:v>
                </c:pt>
                <c:pt idx="19">
                  <c:v>4687134.7199999997</c:v>
                </c:pt>
                <c:pt idx="20">
                  <c:v>9374269.4399999995</c:v>
                </c:pt>
                <c:pt idx="21">
                  <c:v>18748538.879999999</c:v>
                </c:pt>
              </c:numCache>
            </c:numRef>
          </c:val>
          <c:smooth val="0"/>
          <c:extLst>
            <c:ext xmlns:c16="http://schemas.microsoft.com/office/drawing/2014/chart" uri="{C3380CC4-5D6E-409C-BE32-E72D297353CC}">
              <c16:uniqueId val="{00000000-C5BA-4495-93D4-AC4CA8674604}"/>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6</c:v>
                </c:pt>
                <c:pt idx="1">
                  <c:v>12</c:v>
                </c:pt>
                <c:pt idx="2">
                  <c:v>24</c:v>
                </c:pt>
                <c:pt idx="3">
                  <c:v>48</c:v>
                </c:pt>
                <c:pt idx="4">
                  <c:v>96</c:v>
                </c:pt>
                <c:pt idx="5">
                  <c:v>192</c:v>
                </c:pt>
                <c:pt idx="6">
                  <c:v>384</c:v>
                </c:pt>
                <c:pt idx="7">
                  <c:v>768</c:v>
                </c:pt>
                <c:pt idx="8">
                  <c:v>1536</c:v>
                </c:pt>
                <c:pt idx="9">
                  <c:v>3072</c:v>
                </c:pt>
                <c:pt idx="10">
                  <c:v>6144</c:v>
                </c:pt>
                <c:pt idx="11">
                  <c:v>12288</c:v>
                </c:pt>
                <c:pt idx="12">
                  <c:v>24576</c:v>
                </c:pt>
                <c:pt idx="13">
                  <c:v>49152</c:v>
                </c:pt>
                <c:pt idx="14">
                  <c:v>98304</c:v>
                </c:pt>
                <c:pt idx="15">
                  <c:v>196608</c:v>
                </c:pt>
                <c:pt idx="16">
                  <c:v>393216</c:v>
                </c:pt>
                <c:pt idx="17">
                  <c:v>786432</c:v>
                </c:pt>
                <c:pt idx="18">
                  <c:v>1572864</c:v>
                </c:pt>
                <c:pt idx="19">
                  <c:v>3145728</c:v>
                </c:pt>
                <c:pt idx="20">
                  <c:v>6291456</c:v>
                </c:pt>
                <c:pt idx="21">
                  <c:v>12582912</c:v>
                </c:pt>
              </c:numCache>
            </c:numRef>
          </c:val>
          <c:smooth val="0"/>
          <c:extLst>
            <c:ext xmlns:c16="http://schemas.microsoft.com/office/drawing/2014/chart" uri="{C3380CC4-5D6E-409C-BE32-E72D297353CC}">
              <c16:uniqueId val="{00000001-C5BA-4495-93D4-AC4CA8674604}"/>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4.2</c:v>
                </c:pt>
                <c:pt idx="1">
                  <c:v>8.4</c:v>
                </c:pt>
                <c:pt idx="2">
                  <c:v>16.8</c:v>
                </c:pt>
                <c:pt idx="3">
                  <c:v>33.6</c:v>
                </c:pt>
                <c:pt idx="4">
                  <c:v>67.2</c:v>
                </c:pt>
                <c:pt idx="5">
                  <c:v>134.4</c:v>
                </c:pt>
                <c:pt idx="6">
                  <c:v>268.8</c:v>
                </c:pt>
                <c:pt idx="7">
                  <c:v>537.6</c:v>
                </c:pt>
                <c:pt idx="8">
                  <c:v>1075.2</c:v>
                </c:pt>
                <c:pt idx="9">
                  <c:v>2150.4</c:v>
                </c:pt>
                <c:pt idx="10">
                  <c:v>4300.8</c:v>
                </c:pt>
                <c:pt idx="11">
                  <c:v>8601.6</c:v>
                </c:pt>
                <c:pt idx="12">
                  <c:v>17203.2</c:v>
                </c:pt>
                <c:pt idx="13">
                  <c:v>34406.400000000001</c:v>
                </c:pt>
                <c:pt idx="14">
                  <c:v>68812.800000000003</c:v>
                </c:pt>
                <c:pt idx="15">
                  <c:v>137625.60000000001</c:v>
                </c:pt>
                <c:pt idx="16">
                  <c:v>275251.20000000001</c:v>
                </c:pt>
                <c:pt idx="17">
                  <c:v>550502.40000000002</c:v>
                </c:pt>
                <c:pt idx="18">
                  <c:v>1101004.8</c:v>
                </c:pt>
                <c:pt idx="19">
                  <c:v>2202009.6000000001</c:v>
                </c:pt>
                <c:pt idx="20">
                  <c:v>4404019.2000000002</c:v>
                </c:pt>
                <c:pt idx="21">
                  <c:v>8808038.4000000004</c:v>
                </c:pt>
              </c:numCache>
            </c:numRef>
          </c:val>
          <c:smooth val="0"/>
          <c:extLst>
            <c:ext xmlns:c16="http://schemas.microsoft.com/office/drawing/2014/chart" uri="{C3380CC4-5D6E-409C-BE32-E72D297353CC}">
              <c16:uniqueId val="{00000002-C5BA-4495-93D4-AC4CA8674604}"/>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Projections!$J$72:$AJ$72</c15:sqref>
                  </c15:fullRef>
                </c:ext>
              </c:extLst>
              <c:f>Projections!$J$72:$AE$72</c:f>
              <c:numCache>
                <c:formatCode>#,##0</c:formatCode>
                <c:ptCount val="22"/>
                <c:pt idx="0">
                  <c:v>1.17</c:v>
                </c:pt>
                <c:pt idx="1">
                  <c:v>2.34</c:v>
                </c:pt>
                <c:pt idx="2">
                  <c:v>4.68</c:v>
                </c:pt>
                <c:pt idx="3">
                  <c:v>9.36</c:v>
                </c:pt>
                <c:pt idx="4">
                  <c:v>18.72</c:v>
                </c:pt>
                <c:pt idx="5">
                  <c:v>37.44</c:v>
                </c:pt>
                <c:pt idx="6">
                  <c:v>74.88</c:v>
                </c:pt>
                <c:pt idx="7">
                  <c:v>149.76</c:v>
                </c:pt>
                <c:pt idx="8">
                  <c:v>299.52</c:v>
                </c:pt>
                <c:pt idx="9">
                  <c:v>599.04</c:v>
                </c:pt>
                <c:pt idx="10">
                  <c:v>1198.08</c:v>
                </c:pt>
                <c:pt idx="11">
                  <c:v>2396.16</c:v>
                </c:pt>
                <c:pt idx="12">
                  <c:v>4792.32</c:v>
                </c:pt>
                <c:pt idx="13">
                  <c:v>9584.64</c:v>
                </c:pt>
                <c:pt idx="14">
                  <c:v>19169.28</c:v>
                </c:pt>
                <c:pt idx="15">
                  <c:v>38338.559999999998</c:v>
                </c:pt>
                <c:pt idx="16">
                  <c:v>76677.119999999995</c:v>
                </c:pt>
                <c:pt idx="17">
                  <c:v>153354.23999999999</c:v>
                </c:pt>
                <c:pt idx="18">
                  <c:v>306708.47999999998</c:v>
                </c:pt>
                <c:pt idx="19">
                  <c:v>613416.95999999996</c:v>
                </c:pt>
                <c:pt idx="20">
                  <c:v>1226833.9199999999</c:v>
                </c:pt>
                <c:pt idx="21">
                  <c:v>2453667.8399999999</c:v>
                </c:pt>
              </c:numCache>
            </c:numRef>
          </c:val>
          <c:smooth val="0"/>
          <c:extLst>
            <c:ext xmlns:c16="http://schemas.microsoft.com/office/drawing/2014/chart" uri="{C3380CC4-5D6E-409C-BE32-E72D297353CC}">
              <c16:uniqueId val="{00000003-C5BA-4495-93D4-AC4CA8674604}"/>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2.67</c:v>
                </c:pt>
                <c:pt idx="1">
                  <c:v>5.34</c:v>
                </c:pt>
                <c:pt idx="2">
                  <c:v>10.68</c:v>
                </c:pt>
                <c:pt idx="3">
                  <c:v>21.36</c:v>
                </c:pt>
                <c:pt idx="4">
                  <c:v>42.72</c:v>
                </c:pt>
                <c:pt idx="5">
                  <c:v>85.44</c:v>
                </c:pt>
                <c:pt idx="6">
                  <c:v>170.88</c:v>
                </c:pt>
                <c:pt idx="7">
                  <c:v>341.76</c:v>
                </c:pt>
                <c:pt idx="8">
                  <c:v>683.52</c:v>
                </c:pt>
                <c:pt idx="9">
                  <c:v>1367.04</c:v>
                </c:pt>
                <c:pt idx="10">
                  <c:v>2734.08</c:v>
                </c:pt>
                <c:pt idx="11">
                  <c:v>5468.16</c:v>
                </c:pt>
                <c:pt idx="12">
                  <c:v>10936.32</c:v>
                </c:pt>
                <c:pt idx="13">
                  <c:v>21872.639999999999</c:v>
                </c:pt>
                <c:pt idx="14">
                  <c:v>43745.279999999999</c:v>
                </c:pt>
                <c:pt idx="15">
                  <c:v>87490.559999999998</c:v>
                </c:pt>
                <c:pt idx="16">
                  <c:v>174981.12</c:v>
                </c:pt>
                <c:pt idx="17">
                  <c:v>349962.23999999999</c:v>
                </c:pt>
                <c:pt idx="18">
                  <c:v>699924.47999999998</c:v>
                </c:pt>
                <c:pt idx="19">
                  <c:v>1399848.96</c:v>
                </c:pt>
                <c:pt idx="20">
                  <c:v>2799697.9199999999</c:v>
                </c:pt>
                <c:pt idx="21">
                  <c:v>5599395.8399999999</c:v>
                </c:pt>
              </c:numCache>
            </c:numRef>
          </c:val>
          <c:smooth val="0"/>
          <c:extLst>
            <c:ext xmlns:c16="http://schemas.microsoft.com/office/drawing/2014/chart" uri="{C3380CC4-5D6E-409C-BE32-E72D297353CC}">
              <c16:uniqueId val="{00000004-C5BA-4495-93D4-AC4CA8674604}"/>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2.8500000000000001E-2</c:v>
                </c:pt>
                <c:pt idx="1">
                  <c:v>5.7000000000000002E-2</c:v>
                </c:pt>
                <c:pt idx="2">
                  <c:v>0.114</c:v>
                </c:pt>
                <c:pt idx="3">
                  <c:v>0.22800000000000001</c:v>
                </c:pt>
                <c:pt idx="4">
                  <c:v>0.45600000000000002</c:v>
                </c:pt>
                <c:pt idx="5">
                  <c:v>0.91200000000000003</c:v>
                </c:pt>
                <c:pt idx="6">
                  <c:v>1.8240000000000001</c:v>
                </c:pt>
                <c:pt idx="7">
                  <c:v>3.6480000000000001</c:v>
                </c:pt>
                <c:pt idx="8">
                  <c:v>7.2960000000000003</c:v>
                </c:pt>
                <c:pt idx="9">
                  <c:v>14.592000000000001</c:v>
                </c:pt>
                <c:pt idx="10">
                  <c:v>29.184000000000001</c:v>
                </c:pt>
                <c:pt idx="11">
                  <c:v>58.368000000000002</c:v>
                </c:pt>
                <c:pt idx="12">
                  <c:v>116.736</c:v>
                </c:pt>
                <c:pt idx="13">
                  <c:v>233.47200000000001</c:v>
                </c:pt>
                <c:pt idx="14">
                  <c:v>466.94400000000002</c:v>
                </c:pt>
                <c:pt idx="15">
                  <c:v>933.88800000000003</c:v>
                </c:pt>
                <c:pt idx="16">
                  <c:v>1867.7760000000001</c:v>
                </c:pt>
                <c:pt idx="17">
                  <c:v>3735.5520000000001</c:v>
                </c:pt>
                <c:pt idx="18">
                  <c:v>7471.1040000000003</c:v>
                </c:pt>
                <c:pt idx="19">
                  <c:v>14942.208000000001</c:v>
                </c:pt>
                <c:pt idx="20">
                  <c:v>29884.416000000001</c:v>
                </c:pt>
                <c:pt idx="21">
                  <c:v>59768.832000000002</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0.53639999999999999</c:v>
                </c:pt>
                <c:pt idx="1">
                  <c:v>1.0728</c:v>
                </c:pt>
                <c:pt idx="2">
                  <c:v>2.1456</c:v>
                </c:pt>
                <c:pt idx="3">
                  <c:v>4.2911999999999999</c:v>
                </c:pt>
                <c:pt idx="4">
                  <c:v>8.5823999999999998</c:v>
                </c:pt>
                <c:pt idx="5">
                  <c:v>17.1648</c:v>
                </c:pt>
                <c:pt idx="6">
                  <c:v>34.329599999999999</c:v>
                </c:pt>
                <c:pt idx="7">
                  <c:v>68.659199999999998</c:v>
                </c:pt>
                <c:pt idx="8">
                  <c:v>137.3184</c:v>
                </c:pt>
                <c:pt idx="9">
                  <c:v>274.63679999999999</c:v>
                </c:pt>
                <c:pt idx="10">
                  <c:v>549.27359999999999</c:v>
                </c:pt>
                <c:pt idx="11">
                  <c:v>1098.5472</c:v>
                </c:pt>
                <c:pt idx="12">
                  <c:v>2197.0944</c:v>
                </c:pt>
                <c:pt idx="13">
                  <c:v>4394.1887999999999</c:v>
                </c:pt>
                <c:pt idx="14">
                  <c:v>8788.3775999999998</c:v>
                </c:pt>
                <c:pt idx="15">
                  <c:v>17576.7552</c:v>
                </c:pt>
                <c:pt idx="16">
                  <c:v>35153.510399999999</c:v>
                </c:pt>
                <c:pt idx="17">
                  <c:v>70307.020799999998</c:v>
                </c:pt>
                <c:pt idx="18">
                  <c:v>140614.0416</c:v>
                </c:pt>
                <c:pt idx="19">
                  <c:v>281228.08319999999</c:v>
                </c:pt>
                <c:pt idx="20">
                  <c:v>562456.16639999999</c:v>
                </c:pt>
                <c:pt idx="21">
                  <c:v>1124912.3328</c:v>
                </c:pt>
              </c:numCache>
            </c:numRef>
          </c:val>
          <c:smooth val="0"/>
          <c:extLst>
            <c:ext xmlns:c16="http://schemas.microsoft.com/office/drawing/2014/chart" uri="{C3380CC4-5D6E-409C-BE32-E72D297353CC}">
              <c16:uniqueId val="{00000000-5E66-4AF0-A3CA-7CF12153AA8E}"/>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0.378</c:v>
                </c:pt>
                <c:pt idx="1">
                  <c:v>0.75600000000000001</c:v>
                </c:pt>
                <c:pt idx="2">
                  <c:v>1.512</c:v>
                </c:pt>
                <c:pt idx="3">
                  <c:v>3.024</c:v>
                </c:pt>
                <c:pt idx="4">
                  <c:v>6.048</c:v>
                </c:pt>
                <c:pt idx="5">
                  <c:v>12.096</c:v>
                </c:pt>
                <c:pt idx="6">
                  <c:v>24.192</c:v>
                </c:pt>
                <c:pt idx="7">
                  <c:v>48.384</c:v>
                </c:pt>
                <c:pt idx="8">
                  <c:v>96.768000000000001</c:v>
                </c:pt>
                <c:pt idx="9">
                  <c:v>193.536</c:v>
                </c:pt>
                <c:pt idx="10">
                  <c:v>387.072</c:v>
                </c:pt>
                <c:pt idx="11">
                  <c:v>774.14400000000001</c:v>
                </c:pt>
                <c:pt idx="12">
                  <c:v>1548.288</c:v>
                </c:pt>
                <c:pt idx="13">
                  <c:v>3096.576</c:v>
                </c:pt>
                <c:pt idx="14">
                  <c:v>6193.152</c:v>
                </c:pt>
                <c:pt idx="15">
                  <c:v>12386.304</c:v>
                </c:pt>
                <c:pt idx="16">
                  <c:v>24772.608</c:v>
                </c:pt>
                <c:pt idx="17">
                  <c:v>49545.216</c:v>
                </c:pt>
                <c:pt idx="18">
                  <c:v>99090.432000000001</c:v>
                </c:pt>
                <c:pt idx="19">
                  <c:v>198180.864</c:v>
                </c:pt>
                <c:pt idx="20">
                  <c:v>396361.728</c:v>
                </c:pt>
                <c:pt idx="21">
                  <c:v>792723.45600000001</c:v>
                </c:pt>
              </c:numCache>
            </c:numRef>
          </c:val>
          <c:smooth val="0"/>
          <c:extLst>
            <c:ext xmlns:c16="http://schemas.microsoft.com/office/drawing/2014/chart" uri="{C3380CC4-5D6E-409C-BE32-E72D297353CC}">
              <c16:uniqueId val="{00000001-5E66-4AF0-A3CA-7CF12153AA8E}"/>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0.12284999999999999</c:v>
                </c:pt>
                <c:pt idx="1">
                  <c:v>0.24569999999999997</c:v>
                </c:pt>
                <c:pt idx="2">
                  <c:v>0.49139999999999995</c:v>
                </c:pt>
                <c:pt idx="3">
                  <c:v>0.9827999999999999</c:v>
                </c:pt>
                <c:pt idx="4">
                  <c:v>1.9655999999999998</c:v>
                </c:pt>
                <c:pt idx="5">
                  <c:v>3.9311999999999996</c:v>
                </c:pt>
                <c:pt idx="6">
                  <c:v>7.8623999999999992</c:v>
                </c:pt>
                <c:pt idx="7">
                  <c:v>15.724799999999998</c:v>
                </c:pt>
                <c:pt idx="8">
                  <c:v>31.449599999999997</c:v>
                </c:pt>
                <c:pt idx="9">
                  <c:v>62.899199999999993</c:v>
                </c:pt>
                <c:pt idx="10">
                  <c:v>125.79839999999999</c:v>
                </c:pt>
                <c:pt idx="11">
                  <c:v>251.59679999999997</c:v>
                </c:pt>
                <c:pt idx="12">
                  <c:v>503.19359999999995</c:v>
                </c:pt>
                <c:pt idx="13">
                  <c:v>1006.3871999999999</c:v>
                </c:pt>
                <c:pt idx="14">
                  <c:v>2012.7743999999998</c:v>
                </c:pt>
                <c:pt idx="15">
                  <c:v>4025.5487999999996</c:v>
                </c:pt>
                <c:pt idx="16">
                  <c:v>8051.0975999999991</c:v>
                </c:pt>
                <c:pt idx="17">
                  <c:v>16102.195199999998</c:v>
                </c:pt>
                <c:pt idx="18">
                  <c:v>32204.390399999997</c:v>
                </c:pt>
                <c:pt idx="19">
                  <c:v>64408.780799999993</c:v>
                </c:pt>
                <c:pt idx="20">
                  <c:v>128817.56159999999</c:v>
                </c:pt>
                <c:pt idx="21">
                  <c:v>257635.12319999997</c:v>
                </c:pt>
              </c:numCache>
            </c:numRef>
          </c:val>
          <c:smooth val="0"/>
          <c:extLst>
            <c:ext xmlns:c16="http://schemas.microsoft.com/office/drawing/2014/chart" uri="{C3380CC4-5D6E-409C-BE32-E72D297353CC}">
              <c16:uniqueId val="{00000002-5E66-4AF0-A3CA-7CF12153AA8E}"/>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0.19490999999999997</c:v>
                </c:pt>
                <c:pt idx="1">
                  <c:v>0.38981999999999994</c:v>
                </c:pt>
                <c:pt idx="2">
                  <c:v>0.77963999999999989</c:v>
                </c:pt>
                <c:pt idx="3">
                  <c:v>1.5592799999999998</c:v>
                </c:pt>
                <c:pt idx="4">
                  <c:v>3.1185599999999996</c:v>
                </c:pt>
                <c:pt idx="5">
                  <c:v>6.2371199999999991</c:v>
                </c:pt>
                <c:pt idx="6">
                  <c:v>12.474239999999998</c:v>
                </c:pt>
                <c:pt idx="7">
                  <c:v>24.948479999999996</c:v>
                </c:pt>
                <c:pt idx="8">
                  <c:v>49.896959999999993</c:v>
                </c:pt>
                <c:pt idx="9">
                  <c:v>99.793919999999986</c:v>
                </c:pt>
                <c:pt idx="10">
                  <c:v>199.58783999999997</c:v>
                </c:pt>
                <c:pt idx="11">
                  <c:v>399.17567999999994</c:v>
                </c:pt>
                <c:pt idx="12">
                  <c:v>798.35135999999989</c:v>
                </c:pt>
                <c:pt idx="13">
                  <c:v>1596.7027199999998</c:v>
                </c:pt>
                <c:pt idx="14">
                  <c:v>3193.4054399999995</c:v>
                </c:pt>
                <c:pt idx="15">
                  <c:v>6386.8108799999991</c:v>
                </c:pt>
                <c:pt idx="16">
                  <c:v>12773.621759999998</c:v>
                </c:pt>
                <c:pt idx="17">
                  <c:v>25547.243519999996</c:v>
                </c:pt>
                <c:pt idx="18">
                  <c:v>51094.487039999993</c:v>
                </c:pt>
                <c:pt idx="19">
                  <c:v>102188.97407999999</c:v>
                </c:pt>
                <c:pt idx="20">
                  <c:v>204377.94815999997</c:v>
                </c:pt>
                <c:pt idx="21">
                  <c:v>408755.89631999994</c:v>
                </c:pt>
              </c:numCache>
            </c:numRef>
          </c:val>
          <c:smooth val="0"/>
          <c:extLst>
            <c:ext xmlns:c16="http://schemas.microsoft.com/office/drawing/2014/chart" uri="{C3380CC4-5D6E-409C-BE32-E72D297353CC}">
              <c16:uniqueId val="{00000003-5E66-4AF0-A3CA-7CF12153AA8E}"/>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1.5960000000000002E-3</c:v>
                </c:pt>
                <c:pt idx="1">
                  <c:v>3.1920000000000004E-3</c:v>
                </c:pt>
                <c:pt idx="2">
                  <c:v>6.3840000000000008E-3</c:v>
                </c:pt>
                <c:pt idx="3">
                  <c:v>1.2768000000000002E-2</c:v>
                </c:pt>
                <c:pt idx="4">
                  <c:v>2.5536000000000003E-2</c:v>
                </c:pt>
                <c:pt idx="5">
                  <c:v>5.1072000000000006E-2</c:v>
                </c:pt>
                <c:pt idx="6">
                  <c:v>0.10214400000000001</c:v>
                </c:pt>
                <c:pt idx="7">
                  <c:v>0.20428800000000003</c:v>
                </c:pt>
                <c:pt idx="8">
                  <c:v>0.40857600000000005</c:v>
                </c:pt>
                <c:pt idx="9">
                  <c:v>0.8171520000000001</c:v>
                </c:pt>
                <c:pt idx="10">
                  <c:v>1.6343040000000002</c:v>
                </c:pt>
                <c:pt idx="11">
                  <c:v>3.2686080000000004</c:v>
                </c:pt>
                <c:pt idx="12">
                  <c:v>6.5372160000000008</c:v>
                </c:pt>
                <c:pt idx="13">
                  <c:v>13.074432000000002</c:v>
                </c:pt>
                <c:pt idx="14">
                  <c:v>26.148864000000003</c:v>
                </c:pt>
                <c:pt idx="15">
                  <c:v>52.297728000000006</c:v>
                </c:pt>
                <c:pt idx="16">
                  <c:v>104.59545600000001</c:v>
                </c:pt>
                <c:pt idx="17">
                  <c:v>209.19091200000003</c:v>
                </c:pt>
                <c:pt idx="18">
                  <c:v>418.38182400000005</c:v>
                </c:pt>
                <c:pt idx="19">
                  <c:v>836.7636480000001</c:v>
                </c:pt>
                <c:pt idx="20">
                  <c:v>1673.5272960000002</c:v>
                </c:pt>
                <c:pt idx="21">
                  <c:v>3347.0545920000004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Projections!$J$17:$R$17</c:f>
              <c:numCache>
                <c:formatCode>m/d/yyyy</c:formatCode>
                <c:ptCount val="9"/>
                <c:pt idx="0">
                  <c:v>43895</c:v>
                </c:pt>
                <c:pt idx="1">
                  <c:v>43900</c:v>
                </c:pt>
                <c:pt idx="2">
                  <c:v>43905</c:v>
                </c:pt>
                <c:pt idx="3">
                  <c:v>43910</c:v>
                </c:pt>
                <c:pt idx="4">
                  <c:v>43914</c:v>
                </c:pt>
                <c:pt idx="5">
                  <c:v>43918</c:v>
                </c:pt>
                <c:pt idx="6">
                  <c:v>43922</c:v>
                </c:pt>
                <c:pt idx="7">
                  <c:v>43926</c:v>
                </c:pt>
                <c:pt idx="8">
                  <c:v>43931</c:v>
                </c:pt>
              </c:numCache>
            </c:numRef>
          </c:cat>
          <c:val>
            <c:numRef>
              <c:extLst>
                <c:ext xmlns:c15="http://schemas.microsoft.com/office/drawing/2012/chart" uri="{02D57815-91ED-43cb-92C2-25804820EDAC}">
                  <c15:fullRef>
                    <c15:sqref>Projections!$J$18:$AJ$18</c15:sqref>
                  </c15:fullRef>
                </c:ext>
              </c:extLst>
              <c:f>Projections!$J$18:$R$18</c:f>
              <c:numCache>
                <c:formatCode>#,##0_ ;[Red]\-#,##0\ </c:formatCode>
                <c:ptCount val="9"/>
                <c:pt idx="0">
                  <c:v>30</c:v>
                </c:pt>
                <c:pt idx="1">
                  <c:v>60</c:v>
                </c:pt>
                <c:pt idx="2">
                  <c:v>120</c:v>
                </c:pt>
                <c:pt idx="3">
                  <c:v>240</c:v>
                </c:pt>
                <c:pt idx="4">
                  <c:v>480</c:v>
                </c:pt>
                <c:pt idx="5">
                  <c:v>960</c:v>
                </c:pt>
                <c:pt idx="6">
                  <c:v>1920</c:v>
                </c:pt>
                <c:pt idx="7">
                  <c:v>3840</c:v>
                </c:pt>
                <c:pt idx="8">
                  <c:v>7680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Projections!$J$17:$R$17</c:f>
              <c:numCache>
                <c:formatCode>m/d/yyyy</c:formatCode>
                <c:ptCount val="9"/>
                <c:pt idx="0">
                  <c:v>43895</c:v>
                </c:pt>
                <c:pt idx="1">
                  <c:v>43900</c:v>
                </c:pt>
                <c:pt idx="2">
                  <c:v>43905</c:v>
                </c:pt>
                <c:pt idx="3">
                  <c:v>43910</c:v>
                </c:pt>
                <c:pt idx="4">
                  <c:v>43914</c:v>
                </c:pt>
                <c:pt idx="5">
                  <c:v>43918</c:v>
                </c:pt>
                <c:pt idx="6">
                  <c:v>43922</c:v>
                </c:pt>
                <c:pt idx="7">
                  <c:v>43926</c:v>
                </c:pt>
                <c:pt idx="8">
                  <c:v>43931</c:v>
                </c:pt>
              </c:numCache>
            </c:numRef>
          </c:cat>
          <c:val>
            <c:numRef>
              <c:extLst>
                <c:ext xmlns:c15="http://schemas.microsoft.com/office/drawing/2012/chart" uri="{02D57815-91ED-43cb-92C2-25804820EDAC}">
                  <c15:fullRef>
                    <c15:sqref>Projections!$J$42:$AJ$42</c15:sqref>
                  </c15:fullRef>
                </c:ext>
              </c:extLst>
              <c:f>Projections!$J$42:$R$42</c:f>
              <c:numCache>
                <c:formatCode>General</c:formatCode>
                <c:ptCount val="9"/>
                <c:pt idx="0">
                  <c:v>30</c:v>
                </c:pt>
                <c:pt idx="1">
                  <c:v>62</c:v>
                </c:pt>
                <c:pt idx="2" formatCode="#,##0">
                  <c:v>114</c:v>
                </c:pt>
                <c:pt idx="3" formatCode="#,##0">
                  <c:v>249</c:v>
                </c:pt>
                <c:pt idx="4" formatCode="#,##0">
                  <c:v>536</c:v>
                </c:pt>
                <c:pt idx="5" formatCode="#,##0">
                  <c:v>987</c:v>
                </c:pt>
                <c:pt idx="6" formatCode="#,##0">
                  <c:v>1998</c:v>
                </c:pt>
                <c:pt idx="7" formatCode="#,##0">
                  <c:v>4289</c:v>
                </c:pt>
                <c:pt idx="8" formatCode="#,##0">
                  <c:v>7600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Projections!$J$17:$R$17</c:f>
              <c:numCache>
                <c:formatCode>m/d/yyyy</c:formatCode>
                <c:ptCount val="9"/>
                <c:pt idx="0">
                  <c:v>43895</c:v>
                </c:pt>
                <c:pt idx="1">
                  <c:v>43900</c:v>
                </c:pt>
                <c:pt idx="2">
                  <c:v>43905</c:v>
                </c:pt>
                <c:pt idx="3">
                  <c:v>43910</c:v>
                </c:pt>
                <c:pt idx="4">
                  <c:v>43914</c:v>
                </c:pt>
                <c:pt idx="5">
                  <c:v>43918</c:v>
                </c:pt>
                <c:pt idx="6">
                  <c:v>43922</c:v>
                </c:pt>
                <c:pt idx="7">
                  <c:v>43926</c:v>
                </c:pt>
                <c:pt idx="8">
                  <c:v>43931</c:v>
                </c:pt>
              </c:numCache>
            </c:numRef>
          </c:cat>
          <c:val>
            <c:numRef>
              <c:extLst>
                <c:ext xmlns:c15="http://schemas.microsoft.com/office/drawing/2012/chart" uri="{02D57815-91ED-43cb-92C2-25804820EDAC}">
                  <c15:fullRef>
                    <c15:sqref>Projections!$J$32:$AJ$32</c15:sqref>
                  </c15:fullRef>
                </c:ext>
              </c:extLst>
              <c:f>Projections!$J$32:$R$32</c:f>
              <c:numCache>
                <c:formatCode>#,##0_ ;[Red]\-#,##0\ </c:formatCode>
                <c:ptCount val="9"/>
                <c:pt idx="0">
                  <c:v>1.05</c:v>
                </c:pt>
                <c:pt idx="1">
                  <c:v>2.1</c:v>
                </c:pt>
                <c:pt idx="2">
                  <c:v>4.2</c:v>
                </c:pt>
                <c:pt idx="3">
                  <c:v>8.4</c:v>
                </c:pt>
                <c:pt idx="4">
                  <c:v>16.8</c:v>
                </c:pt>
                <c:pt idx="5">
                  <c:v>33.6</c:v>
                </c:pt>
                <c:pt idx="6">
                  <c:v>67.2</c:v>
                </c:pt>
                <c:pt idx="7">
                  <c:v>134.4</c:v>
                </c:pt>
                <c:pt idx="8">
                  <c:v>268.8</c:v>
                </c:pt>
              </c:numCache>
            </c:numRef>
          </c:val>
          <c:smooth val="0"/>
          <c:extLst>
            <c:ext xmlns:c16="http://schemas.microsoft.com/office/drawing/2014/chart" uri="{C3380CC4-5D6E-409C-BE32-E72D297353CC}">
              <c16:uniqueId val="{00000000-FE1B-4946-A476-7952C5C71231}"/>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Projections!$J$17:$R$17</c:f>
              <c:numCache>
                <c:formatCode>m/d/yyyy</c:formatCode>
                <c:ptCount val="9"/>
                <c:pt idx="0">
                  <c:v>43895</c:v>
                </c:pt>
                <c:pt idx="1">
                  <c:v>43900</c:v>
                </c:pt>
                <c:pt idx="2">
                  <c:v>43905</c:v>
                </c:pt>
                <c:pt idx="3">
                  <c:v>43910</c:v>
                </c:pt>
                <c:pt idx="4">
                  <c:v>43914</c:v>
                </c:pt>
                <c:pt idx="5">
                  <c:v>43918</c:v>
                </c:pt>
                <c:pt idx="6">
                  <c:v>43922</c:v>
                </c:pt>
                <c:pt idx="7">
                  <c:v>43926</c:v>
                </c:pt>
                <c:pt idx="8">
                  <c:v>43931</c:v>
                </c:pt>
              </c:numCache>
            </c:numRef>
          </c:cat>
          <c:val>
            <c:numRef>
              <c:extLst>
                <c:ext xmlns:c15="http://schemas.microsoft.com/office/drawing/2012/chart" uri="{02D57815-91ED-43cb-92C2-25804820EDAC}">
                  <c15:fullRef>
                    <c15:sqref>Projections!$J$45:$AJ$45</c15:sqref>
                  </c15:fullRef>
                </c:ext>
              </c:extLst>
              <c:f>Projections!$J$45:$R$45</c:f>
              <c:numCache>
                <c:formatCode>General</c:formatCode>
                <c:ptCount val="9"/>
                <c:pt idx="0">
                  <c:v>0</c:v>
                </c:pt>
                <c:pt idx="1">
                  <c:v>0</c:v>
                </c:pt>
                <c:pt idx="2" formatCode="#,##0">
                  <c:v>2</c:v>
                </c:pt>
                <c:pt idx="3" formatCode="#,##0">
                  <c:v>5</c:v>
                </c:pt>
                <c:pt idx="4" formatCode="#,##0">
                  <c:v>10</c:v>
                </c:pt>
                <c:pt idx="5" formatCode="#,##0">
                  <c:v>24</c:v>
                </c:pt>
                <c:pt idx="6" formatCode="#,##0">
                  <c:v>58</c:v>
                </c:pt>
                <c:pt idx="7" formatCode="#,##0">
                  <c:v>118</c:v>
                </c:pt>
                <c:pt idx="8" formatCode="#,##0">
                  <c:v>249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43892.894120254627</c:v>
                </c:pt>
                <c:pt idx="1">
                  <c:v>43895.894120254627</c:v>
                </c:pt>
                <c:pt idx="2">
                  <c:v>43898.894120254627</c:v>
                </c:pt>
                <c:pt idx="3">
                  <c:v>43901.894120254627</c:v>
                </c:pt>
                <c:pt idx="4">
                  <c:v>43904.894120254627</c:v>
                </c:pt>
                <c:pt idx="5">
                  <c:v>43907.894120254627</c:v>
                </c:pt>
                <c:pt idx="6">
                  <c:v>43910.894120254627</c:v>
                </c:pt>
                <c:pt idx="7">
                  <c:v>43913.894120254627</c:v>
                </c:pt>
                <c:pt idx="8">
                  <c:v>43916.894120254627</c:v>
                </c:pt>
                <c:pt idx="9">
                  <c:v>43919.894120254627</c:v>
                </c:pt>
                <c:pt idx="10">
                  <c:v>43922.894120254627</c:v>
                </c:pt>
                <c:pt idx="11">
                  <c:v>43925.894120254627</c:v>
                </c:pt>
                <c:pt idx="12">
                  <c:v>43928.894120254627</c:v>
                </c:pt>
                <c:pt idx="13">
                  <c:v>43931.894120254627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7.6293097732504354</c:v>
                </c:pt>
                <c:pt idx="3">
                  <c:v>18.209899599690996</c:v>
                </c:pt>
                <c:pt idx="4">
                  <c:v>28.288842102845866</c:v>
                </c:pt>
                <c:pt idx="5">
                  <c:v>54.478459806176602</c:v>
                </c:pt>
                <c:pt idx="6">
                  <c:v>118.52648870310574</c:v>
                </c:pt>
                <c:pt idx="7">
                  <c:v>218.2909810369388</c:v>
                </c:pt>
                <c:pt idx="8">
                  <c:v>518.10913545725089</c:v>
                </c:pt>
                <c:pt idx="9">
                  <c:v>1317.2880620783847</c:v>
                </c:pt>
                <c:pt idx="10">
                  <c:v>2290.207792474991</c:v>
                </c:pt>
                <c:pt idx="11">
                  <c:v>4555.1606808569022</c:v>
                </c:pt>
                <c:pt idx="12">
                  <c:v>9070.9862860883222</c:v>
                </c:pt>
                <c:pt idx="13">
                  <c:v>18078.974306517997</c:v>
                </c:pt>
                <c:pt idx="14">
                  <c:v>36054.778836534009</c:v>
                </c:pt>
                <c:pt idx="15">
                  <c:v>71937.496233682541</c:v>
                </c:pt>
                <c:pt idx="16">
                  <c:v>143583.65341983963</c:v>
                </c:pt>
                <c:pt idx="17">
                  <c:v>286667.63849319791</c:v>
                </c:pt>
                <c:pt idx="18">
                  <c:v>572468.84276837856</c:v>
                </c:pt>
                <c:pt idx="19">
                  <c:v>1143420.9053552516</c:v>
                </c:pt>
                <c:pt idx="20">
                  <c:v>2284164.3350888845</c:v>
                </c:pt>
                <c:pt idx="21">
                  <c:v>4563567.4494079296</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7.6293097732504354</c:v>
                </c:pt>
                <c:pt idx="3">
                  <c:v>18.209899599690996</c:v>
                </c:pt>
                <c:pt idx="4">
                  <c:v>28.288842102845866</c:v>
                </c:pt>
                <c:pt idx="5">
                  <c:v>54.478459806176602</c:v>
                </c:pt>
                <c:pt idx="6">
                  <c:v>118.52648870310574</c:v>
                </c:pt>
                <c:pt idx="7">
                  <c:v>218.2909810369388</c:v>
                </c:pt>
                <c:pt idx="8">
                  <c:v>518.10913545725089</c:v>
                </c:pt>
                <c:pt idx="9">
                  <c:v>1317.2880620783847</c:v>
                </c:pt>
                <c:pt idx="10">
                  <c:v>2038.8459554037113</c:v>
                </c:pt>
                <c:pt idx="11">
                  <c:v>4110.830561879191</c:v>
                </c:pt>
                <c:pt idx="12">
                  <c:v>8195.3921946894116</c:v>
                </c:pt>
                <c:pt idx="13">
                  <c:v>16314.976158439815</c:v>
                </c:pt>
                <c:pt idx="14">
                  <c:v>32578.888811751553</c:v>
                </c:pt>
                <c:pt idx="15">
                  <c:v>64883.463748918424</c:v>
                </c:pt>
                <c:pt idx="16">
                  <c:v>129279.71165951193</c:v>
                </c:pt>
                <c:pt idx="17">
                  <c:v>258332.53837159384</c:v>
                </c:pt>
                <c:pt idx="18">
                  <c:v>515849.94458134612</c:v>
                </c:pt>
                <c:pt idx="19">
                  <c:v>1030268.8448259534</c:v>
                </c:pt>
                <c:pt idx="20">
                  <c:v>2058006.0781005754</c:v>
                </c:pt>
                <c:pt idx="21">
                  <c:v>4111502.6441415697</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1.6530832427405393</c:v>
                </c:pt>
                <c:pt idx="4">
                  <c:v>3.0999999999999996</c:v>
                </c:pt>
                <c:pt idx="5">
                  <c:v>5.5408710309150333</c:v>
                </c:pt>
                <c:pt idx="6">
                  <c:v>8.5076562626629748</c:v>
                </c:pt>
                <c:pt idx="7">
                  <c:v>16.508708422906025</c:v>
                </c:pt>
                <c:pt idx="8">
                  <c:v>42.24991878842863</c:v>
                </c:pt>
                <c:pt idx="9">
                  <c:v>99.899999999999991</c:v>
                </c:pt>
                <c:pt idx="10">
                  <c:v>251.68060747583965</c:v>
                </c:pt>
                <c:pt idx="11">
                  <c:v>443.15211688224855</c:v>
                </c:pt>
                <c:pt idx="12">
                  <c:v>884.67230081334606</c:v>
                </c:pt>
                <c:pt idx="13">
                  <c:v>1766.7944643614733</c:v>
                </c:pt>
                <c:pt idx="14">
                  <c:v>3529.4940387552356</c:v>
                </c:pt>
                <c:pt idx="15">
                  <c:v>7052.2678586377169</c:v>
                </c:pt>
                <c:pt idx="16">
                  <c:v>14093.308451427838</c:v>
                </c:pt>
                <c:pt idx="17">
                  <c:v>28167.578590306723</c:v>
                </c:pt>
                <c:pt idx="18">
                  <c:v>56302.464001137865</c:v>
                </c:pt>
                <c:pt idx="19">
                  <c:v>112548.17589744378</c:v>
                </c:pt>
                <c:pt idx="20">
                  <c:v>224996.90749929595</c:v>
                </c:pt>
                <c:pt idx="21">
                  <c:v>449818.12612365105</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1.6530832427405393</c:v>
                </c:pt>
                <c:pt idx="4">
                  <c:v>3.0999999999999996</c:v>
                </c:pt>
                <c:pt idx="5">
                  <c:v>5.5408710309150333</c:v>
                </c:pt>
                <c:pt idx="6">
                  <c:v>8.5076562626629748</c:v>
                </c:pt>
                <c:pt idx="7">
                  <c:v>16.508708422906025</c:v>
                </c:pt>
                <c:pt idx="8">
                  <c:v>40.596835545688094</c:v>
                </c:pt>
                <c:pt idx="9">
                  <c:v>96.315605677184138</c:v>
                </c:pt>
                <c:pt idx="10">
                  <c:v>245.16652556399137</c:v>
                </c:pt>
                <c:pt idx="11">
                  <c:v>428.81568009114943</c:v>
                </c:pt>
                <c:pt idx="12">
                  <c:v>848.37044308944621</c:v>
                </c:pt>
                <c:pt idx="13">
                  <c:v>1688.9581480781826</c:v>
                </c:pt>
                <c:pt idx="14">
                  <c:v>3315.0440387552358</c:v>
                </c:pt>
                <c:pt idx="15">
                  <c:v>6672.2678586377169</c:v>
                </c:pt>
                <c:pt idx="16">
                  <c:v>13333.308451427838</c:v>
                </c:pt>
                <c:pt idx="17">
                  <c:v>26647.578590306723</c:v>
                </c:pt>
                <c:pt idx="18">
                  <c:v>53262.464001137865</c:v>
                </c:pt>
                <c:pt idx="19">
                  <c:v>106468.17589744378</c:v>
                </c:pt>
                <c:pt idx="20">
                  <c:v>212836.90749929595</c:v>
                </c:pt>
                <c:pt idx="21">
                  <c:v>425498.12612365105</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1.05</c:v>
                </c:pt>
                <c:pt idx="1">
                  <c:v>2.1</c:v>
                </c:pt>
                <c:pt idx="2">
                  <c:v>4.2</c:v>
                </c:pt>
                <c:pt idx="3">
                  <c:v>8.4</c:v>
                </c:pt>
                <c:pt idx="4">
                  <c:v>16.8</c:v>
                </c:pt>
                <c:pt idx="5">
                  <c:v>33.6</c:v>
                </c:pt>
                <c:pt idx="6">
                  <c:v>67.2</c:v>
                </c:pt>
                <c:pt idx="7">
                  <c:v>134.4</c:v>
                </c:pt>
                <c:pt idx="8">
                  <c:v>268.8</c:v>
                </c:pt>
                <c:pt idx="9">
                  <c:v>537.6</c:v>
                </c:pt>
                <c:pt idx="10">
                  <c:v>1075.2</c:v>
                </c:pt>
                <c:pt idx="11">
                  <c:v>2150.4</c:v>
                </c:pt>
                <c:pt idx="12">
                  <c:v>4300.8</c:v>
                </c:pt>
                <c:pt idx="13">
                  <c:v>8601.6</c:v>
                </c:pt>
                <c:pt idx="14">
                  <c:v>17203.2</c:v>
                </c:pt>
                <c:pt idx="15">
                  <c:v>34406.400000000001</c:v>
                </c:pt>
                <c:pt idx="16">
                  <c:v>68812.800000000003</c:v>
                </c:pt>
                <c:pt idx="17">
                  <c:v>137625.60000000001</c:v>
                </c:pt>
                <c:pt idx="18">
                  <c:v>275251.20000000001</c:v>
                </c:pt>
                <c:pt idx="19">
                  <c:v>550502.40000000002</c:v>
                </c:pt>
                <c:pt idx="20">
                  <c:v>1101004.8</c:v>
                </c:pt>
                <c:pt idx="21">
                  <c:v>2202009.6000000001</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Projections!$J$49:$AJ$49</c15:sqref>
                  </c15:fullRef>
                </c:ext>
              </c:extLst>
              <c:f>Projections!$J$49:$AE$49</c:f>
              <c:numCache>
                <c:formatCode>#,##0</c:formatCode>
                <c:ptCount val="22"/>
                <c:pt idx="0">
                  <c:v>0.3</c:v>
                </c:pt>
                <c:pt idx="1">
                  <c:v>0.6</c:v>
                </c:pt>
                <c:pt idx="2">
                  <c:v>1.2</c:v>
                </c:pt>
                <c:pt idx="3">
                  <c:v>2.4</c:v>
                </c:pt>
                <c:pt idx="4">
                  <c:v>4.8</c:v>
                </c:pt>
                <c:pt idx="5">
                  <c:v>9.6</c:v>
                </c:pt>
                <c:pt idx="6">
                  <c:v>19.2</c:v>
                </c:pt>
                <c:pt idx="7">
                  <c:v>38.4</c:v>
                </c:pt>
                <c:pt idx="8">
                  <c:v>76.8</c:v>
                </c:pt>
                <c:pt idx="9">
                  <c:v>153.6</c:v>
                </c:pt>
                <c:pt idx="10">
                  <c:v>307.2</c:v>
                </c:pt>
                <c:pt idx="11">
                  <c:v>614.4</c:v>
                </c:pt>
                <c:pt idx="12">
                  <c:v>1228.8</c:v>
                </c:pt>
                <c:pt idx="13">
                  <c:v>2457.6</c:v>
                </c:pt>
                <c:pt idx="14">
                  <c:v>4915.2</c:v>
                </c:pt>
                <c:pt idx="15">
                  <c:v>9830.4</c:v>
                </c:pt>
                <c:pt idx="16">
                  <c:v>19660.8</c:v>
                </c:pt>
                <c:pt idx="17">
                  <c:v>39321.599999999999</c:v>
                </c:pt>
                <c:pt idx="18">
                  <c:v>78643.199999999997</c:v>
                </c:pt>
                <c:pt idx="19">
                  <c:v>157286.39999999999</c:v>
                </c:pt>
                <c:pt idx="20">
                  <c:v>314572.79999999999</c:v>
                </c:pt>
                <c:pt idx="21">
                  <c:v>629145.59999999998</c:v>
                </c:pt>
              </c:numCache>
            </c:numRef>
          </c:val>
          <c:smooth val="0"/>
          <c:extLst>
            <c:ext xmlns:c16="http://schemas.microsoft.com/office/drawing/2014/chart" uri="{C3380CC4-5D6E-409C-BE32-E72D297353CC}">
              <c16:uniqueId val="{00000000-04B6-450D-AD81-6BF382C059D1}"/>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0.87</c:v>
                </c:pt>
                <c:pt idx="1">
                  <c:v>1.74</c:v>
                </c:pt>
                <c:pt idx="2">
                  <c:v>3.48</c:v>
                </c:pt>
                <c:pt idx="3">
                  <c:v>6.96</c:v>
                </c:pt>
                <c:pt idx="4">
                  <c:v>13.92</c:v>
                </c:pt>
                <c:pt idx="5">
                  <c:v>27.84</c:v>
                </c:pt>
                <c:pt idx="6">
                  <c:v>55.68</c:v>
                </c:pt>
                <c:pt idx="7">
                  <c:v>111.36</c:v>
                </c:pt>
                <c:pt idx="8">
                  <c:v>222.72</c:v>
                </c:pt>
                <c:pt idx="9">
                  <c:v>445.44</c:v>
                </c:pt>
                <c:pt idx="10">
                  <c:v>890.88</c:v>
                </c:pt>
                <c:pt idx="11">
                  <c:v>1781.76</c:v>
                </c:pt>
                <c:pt idx="12">
                  <c:v>3563.52</c:v>
                </c:pt>
                <c:pt idx="13">
                  <c:v>7127.04</c:v>
                </c:pt>
                <c:pt idx="14">
                  <c:v>14254.08</c:v>
                </c:pt>
                <c:pt idx="15">
                  <c:v>28508.16</c:v>
                </c:pt>
                <c:pt idx="16">
                  <c:v>57016.32</c:v>
                </c:pt>
                <c:pt idx="17">
                  <c:v>114032.64</c:v>
                </c:pt>
                <c:pt idx="18">
                  <c:v>228065.28</c:v>
                </c:pt>
                <c:pt idx="19">
                  <c:v>456130.56</c:v>
                </c:pt>
                <c:pt idx="20">
                  <c:v>912261.12</c:v>
                </c:pt>
                <c:pt idx="21">
                  <c:v>1824522.24</c:v>
                </c:pt>
              </c:numCache>
            </c:numRef>
          </c:val>
          <c:smooth val="0"/>
          <c:extLst>
            <c:ext xmlns:c16="http://schemas.microsoft.com/office/drawing/2014/chart" uri="{C3380CC4-5D6E-409C-BE32-E72D297353CC}">
              <c16:uniqueId val="{00000002-04B6-450D-AD81-6BF382C059D1}"/>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3.63</c:v>
                </c:pt>
                <c:pt idx="1">
                  <c:v>7.26</c:v>
                </c:pt>
                <c:pt idx="2">
                  <c:v>14.52</c:v>
                </c:pt>
                <c:pt idx="3">
                  <c:v>29.04</c:v>
                </c:pt>
                <c:pt idx="4">
                  <c:v>58.08</c:v>
                </c:pt>
                <c:pt idx="5">
                  <c:v>116.16</c:v>
                </c:pt>
                <c:pt idx="6">
                  <c:v>232.32</c:v>
                </c:pt>
                <c:pt idx="7">
                  <c:v>464.64</c:v>
                </c:pt>
                <c:pt idx="8">
                  <c:v>929.28</c:v>
                </c:pt>
                <c:pt idx="9">
                  <c:v>1858.56</c:v>
                </c:pt>
                <c:pt idx="10">
                  <c:v>3717.12</c:v>
                </c:pt>
                <c:pt idx="11">
                  <c:v>7434.24</c:v>
                </c:pt>
                <c:pt idx="12">
                  <c:v>14868.48</c:v>
                </c:pt>
                <c:pt idx="13">
                  <c:v>29736.959999999999</c:v>
                </c:pt>
                <c:pt idx="14">
                  <c:v>59473.919999999998</c:v>
                </c:pt>
                <c:pt idx="15">
                  <c:v>118947.84</c:v>
                </c:pt>
                <c:pt idx="16">
                  <c:v>237895.67999999999</c:v>
                </c:pt>
                <c:pt idx="17">
                  <c:v>475791.35999999999</c:v>
                </c:pt>
                <c:pt idx="18">
                  <c:v>951582.71999999997</c:v>
                </c:pt>
                <c:pt idx="19">
                  <c:v>1903165.4399999999</c:v>
                </c:pt>
                <c:pt idx="20">
                  <c:v>3806330.8799999999</c:v>
                </c:pt>
                <c:pt idx="21">
                  <c:v>7612661.7599999998</c:v>
                </c:pt>
              </c:numCache>
            </c:numRef>
          </c:val>
          <c:smooth val="0"/>
          <c:extLst>
            <c:ext xmlns:c16="http://schemas.microsoft.com/office/drawing/2014/chart" uri="{C3380CC4-5D6E-409C-BE32-E72D297353CC}">
              <c16:uniqueId val="{00000004-04B6-450D-AD81-6BF382C059D1}"/>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4.7700000000000005</c:v>
                </c:pt>
                <c:pt idx="1">
                  <c:v>9.5400000000000009</c:v>
                </c:pt>
                <c:pt idx="2">
                  <c:v>19.080000000000002</c:v>
                </c:pt>
                <c:pt idx="3">
                  <c:v>38.160000000000004</c:v>
                </c:pt>
                <c:pt idx="4">
                  <c:v>76.320000000000007</c:v>
                </c:pt>
                <c:pt idx="5">
                  <c:v>152.64000000000001</c:v>
                </c:pt>
                <c:pt idx="6">
                  <c:v>305.28000000000003</c:v>
                </c:pt>
                <c:pt idx="7">
                  <c:v>610.56000000000006</c:v>
                </c:pt>
                <c:pt idx="8">
                  <c:v>1221.1200000000001</c:v>
                </c:pt>
                <c:pt idx="9">
                  <c:v>2442.2400000000002</c:v>
                </c:pt>
                <c:pt idx="10">
                  <c:v>4884.4800000000005</c:v>
                </c:pt>
                <c:pt idx="11">
                  <c:v>9768.9600000000009</c:v>
                </c:pt>
                <c:pt idx="12">
                  <c:v>19537.920000000002</c:v>
                </c:pt>
                <c:pt idx="13">
                  <c:v>39075.840000000004</c:v>
                </c:pt>
                <c:pt idx="14">
                  <c:v>78151.680000000008</c:v>
                </c:pt>
                <c:pt idx="15">
                  <c:v>156303.36000000002</c:v>
                </c:pt>
                <c:pt idx="16">
                  <c:v>312606.72000000003</c:v>
                </c:pt>
                <c:pt idx="17">
                  <c:v>625213.44000000006</c:v>
                </c:pt>
                <c:pt idx="18">
                  <c:v>1250426.8800000001</c:v>
                </c:pt>
                <c:pt idx="19">
                  <c:v>2500853.7600000002</c:v>
                </c:pt>
                <c:pt idx="20">
                  <c:v>5001707.5200000005</c:v>
                </c:pt>
                <c:pt idx="21">
                  <c:v>10003415.040000001</c:v>
                </c:pt>
              </c:numCache>
            </c:numRef>
          </c:val>
          <c:smooth val="0"/>
          <c:extLst>
            <c:ext xmlns:c16="http://schemas.microsoft.com/office/drawing/2014/chart" uri="{C3380CC4-5D6E-409C-BE32-E72D297353CC}">
              <c16:uniqueId val="{00000006-04B6-450D-AD81-6BF382C059D1}"/>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5.1300000000000008</c:v>
                </c:pt>
                <c:pt idx="1">
                  <c:v>10.260000000000002</c:v>
                </c:pt>
                <c:pt idx="2">
                  <c:v>20.520000000000003</c:v>
                </c:pt>
                <c:pt idx="3">
                  <c:v>41.040000000000006</c:v>
                </c:pt>
                <c:pt idx="4">
                  <c:v>82.080000000000013</c:v>
                </c:pt>
                <c:pt idx="5">
                  <c:v>164.16000000000003</c:v>
                </c:pt>
                <c:pt idx="6">
                  <c:v>328.32000000000005</c:v>
                </c:pt>
                <c:pt idx="7">
                  <c:v>656.6400000000001</c:v>
                </c:pt>
                <c:pt idx="8">
                  <c:v>1313.2800000000002</c:v>
                </c:pt>
                <c:pt idx="9">
                  <c:v>2626.5600000000004</c:v>
                </c:pt>
                <c:pt idx="10">
                  <c:v>5253.1200000000008</c:v>
                </c:pt>
                <c:pt idx="11">
                  <c:v>10506.240000000002</c:v>
                </c:pt>
                <c:pt idx="12">
                  <c:v>21012.480000000003</c:v>
                </c:pt>
                <c:pt idx="13">
                  <c:v>42024.960000000006</c:v>
                </c:pt>
                <c:pt idx="14">
                  <c:v>84049.920000000013</c:v>
                </c:pt>
                <c:pt idx="15">
                  <c:v>168099.84000000003</c:v>
                </c:pt>
                <c:pt idx="16">
                  <c:v>336199.68000000005</c:v>
                </c:pt>
                <c:pt idx="17">
                  <c:v>672399.3600000001</c:v>
                </c:pt>
                <c:pt idx="18">
                  <c:v>1344798.7200000002</c:v>
                </c:pt>
                <c:pt idx="19">
                  <c:v>2689597.4400000004</c:v>
                </c:pt>
                <c:pt idx="20">
                  <c:v>5379194.8800000008</c:v>
                </c:pt>
                <c:pt idx="21">
                  <c:v>10758389.760000002</c:v>
                </c:pt>
              </c:numCache>
            </c:numRef>
          </c:val>
          <c:smooth val="0"/>
          <c:extLst>
            <c:ext xmlns:c16="http://schemas.microsoft.com/office/drawing/2014/chart" uri="{C3380CC4-5D6E-409C-BE32-E72D297353CC}">
              <c16:uniqueId val="{00000008-04B6-450D-AD81-6BF382C059D1}"/>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6.57</c:v>
                </c:pt>
                <c:pt idx="1">
                  <c:v>13.14</c:v>
                </c:pt>
                <c:pt idx="2">
                  <c:v>26.28</c:v>
                </c:pt>
                <c:pt idx="3">
                  <c:v>52.56</c:v>
                </c:pt>
                <c:pt idx="4">
                  <c:v>105.12</c:v>
                </c:pt>
                <c:pt idx="5">
                  <c:v>210.24</c:v>
                </c:pt>
                <c:pt idx="6">
                  <c:v>420.48</c:v>
                </c:pt>
                <c:pt idx="7">
                  <c:v>840.96</c:v>
                </c:pt>
                <c:pt idx="8">
                  <c:v>1681.92</c:v>
                </c:pt>
                <c:pt idx="9">
                  <c:v>3363.84</c:v>
                </c:pt>
                <c:pt idx="10">
                  <c:v>6727.68</c:v>
                </c:pt>
                <c:pt idx="11">
                  <c:v>13455.36</c:v>
                </c:pt>
                <c:pt idx="12">
                  <c:v>26910.720000000001</c:v>
                </c:pt>
                <c:pt idx="13">
                  <c:v>53821.440000000002</c:v>
                </c:pt>
                <c:pt idx="14">
                  <c:v>107642.88</c:v>
                </c:pt>
                <c:pt idx="15">
                  <c:v>215285.76000000001</c:v>
                </c:pt>
                <c:pt idx="16">
                  <c:v>430571.52000000002</c:v>
                </c:pt>
                <c:pt idx="17">
                  <c:v>861143.04000000004</c:v>
                </c:pt>
                <c:pt idx="18">
                  <c:v>1722286.0800000001</c:v>
                </c:pt>
                <c:pt idx="19">
                  <c:v>3444572.1600000001</c:v>
                </c:pt>
                <c:pt idx="20">
                  <c:v>6889144.3200000003</c:v>
                </c:pt>
                <c:pt idx="21">
                  <c:v>13778288.640000001</c:v>
                </c:pt>
              </c:numCache>
            </c:numRef>
          </c:val>
          <c:smooth val="0"/>
          <c:extLst>
            <c:ext xmlns:c16="http://schemas.microsoft.com/office/drawing/2014/chart" uri="{C3380CC4-5D6E-409C-BE32-E72D297353CC}">
              <c16:uniqueId val="{0000000A-04B6-450D-AD81-6BF382C059D1}"/>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6.96</c:v>
                </c:pt>
                <c:pt idx="1">
                  <c:v>13.92</c:v>
                </c:pt>
                <c:pt idx="2">
                  <c:v>27.84</c:v>
                </c:pt>
                <c:pt idx="3">
                  <c:v>55.68</c:v>
                </c:pt>
                <c:pt idx="4">
                  <c:v>111.36</c:v>
                </c:pt>
                <c:pt idx="5">
                  <c:v>222.72</c:v>
                </c:pt>
                <c:pt idx="6">
                  <c:v>445.44</c:v>
                </c:pt>
                <c:pt idx="7">
                  <c:v>890.88</c:v>
                </c:pt>
                <c:pt idx="8">
                  <c:v>1781.76</c:v>
                </c:pt>
                <c:pt idx="9">
                  <c:v>3563.52</c:v>
                </c:pt>
                <c:pt idx="10">
                  <c:v>7127.04</c:v>
                </c:pt>
                <c:pt idx="11">
                  <c:v>14254.08</c:v>
                </c:pt>
                <c:pt idx="12">
                  <c:v>28508.16</c:v>
                </c:pt>
                <c:pt idx="13">
                  <c:v>57016.32</c:v>
                </c:pt>
                <c:pt idx="14">
                  <c:v>114032.64</c:v>
                </c:pt>
                <c:pt idx="15">
                  <c:v>228065.28</c:v>
                </c:pt>
                <c:pt idx="16">
                  <c:v>456130.56</c:v>
                </c:pt>
                <c:pt idx="17">
                  <c:v>912261.12</c:v>
                </c:pt>
                <c:pt idx="18">
                  <c:v>1824522.24</c:v>
                </c:pt>
                <c:pt idx="19">
                  <c:v>3649044.48</c:v>
                </c:pt>
                <c:pt idx="20">
                  <c:v>7298088.96</c:v>
                </c:pt>
                <c:pt idx="21">
                  <c:v>14596177.92</c:v>
                </c:pt>
              </c:numCache>
            </c:numRef>
          </c:val>
          <c:smooth val="0"/>
          <c:extLst>
            <c:ext xmlns:c16="http://schemas.microsoft.com/office/drawing/2014/chart" uri="{C3380CC4-5D6E-409C-BE32-E72D297353CC}">
              <c16:uniqueId val="{0000000C-04B6-450D-AD81-6BF382C059D1}"/>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1.1399999999999999</c:v>
                </c:pt>
                <c:pt idx="1">
                  <c:v>2.2799999999999998</c:v>
                </c:pt>
                <c:pt idx="2">
                  <c:v>4.5599999999999996</c:v>
                </c:pt>
                <c:pt idx="3">
                  <c:v>9.1199999999999992</c:v>
                </c:pt>
                <c:pt idx="4">
                  <c:v>18.239999999999998</c:v>
                </c:pt>
                <c:pt idx="5">
                  <c:v>36.479999999999997</c:v>
                </c:pt>
                <c:pt idx="6">
                  <c:v>72.959999999999994</c:v>
                </c:pt>
                <c:pt idx="7">
                  <c:v>145.91999999999999</c:v>
                </c:pt>
                <c:pt idx="8">
                  <c:v>291.83999999999997</c:v>
                </c:pt>
                <c:pt idx="9">
                  <c:v>583.67999999999995</c:v>
                </c:pt>
                <c:pt idx="10">
                  <c:v>1167.3599999999999</c:v>
                </c:pt>
                <c:pt idx="11">
                  <c:v>2334.7199999999998</c:v>
                </c:pt>
                <c:pt idx="12">
                  <c:v>4669.4399999999996</c:v>
                </c:pt>
                <c:pt idx="13">
                  <c:v>9338.8799999999992</c:v>
                </c:pt>
                <c:pt idx="14">
                  <c:v>18677.759999999998</c:v>
                </c:pt>
                <c:pt idx="15">
                  <c:v>37355.519999999997</c:v>
                </c:pt>
                <c:pt idx="16">
                  <c:v>74711.039999999994</c:v>
                </c:pt>
                <c:pt idx="17">
                  <c:v>149422.07999999999</c:v>
                </c:pt>
                <c:pt idx="18">
                  <c:v>298844.15999999997</c:v>
                </c:pt>
                <c:pt idx="19">
                  <c:v>597688.31999999995</c:v>
                </c:pt>
                <c:pt idx="20">
                  <c:v>1195376.6399999999</c:v>
                </c:pt>
                <c:pt idx="21">
                  <c:v>2390753.2799999998</c:v>
                </c:pt>
              </c:numCache>
            </c:numRef>
          </c:val>
          <c:smooth val="0"/>
          <c:extLst>
            <c:ext xmlns:c16="http://schemas.microsoft.com/office/drawing/2014/chart" uri="{C3380CC4-5D6E-409C-BE32-E72D297353CC}">
              <c16:uniqueId val="{0000000E-04B6-450D-AD81-6BF382C059D1}"/>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0.63</c:v>
                </c:pt>
                <c:pt idx="1">
                  <c:v>1.26</c:v>
                </c:pt>
                <c:pt idx="2">
                  <c:v>2.52</c:v>
                </c:pt>
                <c:pt idx="3">
                  <c:v>5.04</c:v>
                </c:pt>
                <c:pt idx="4">
                  <c:v>10.08</c:v>
                </c:pt>
                <c:pt idx="5">
                  <c:v>20.16</c:v>
                </c:pt>
                <c:pt idx="6">
                  <c:v>40.32</c:v>
                </c:pt>
                <c:pt idx="7">
                  <c:v>80.64</c:v>
                </c:pt>
                <c:pt idx="8">
                  <c:v>161.28</c:v>
                </c:pt>
                <c:pt idx="9">
                  <c:v>322.56</c:v>
                </c:pt>
                <c:pt idx="10">
                  <c:v>645.12</c:v>
                </c:pt>
                <c:pt idx="11">
                  <c:v>1290.24</c:v>
                </c:pt>
                <c:pt idx="12">
                  <c:v>2580.48</c:v>
                </c:pt>
                <c:pt idx="13">
                  <c:v>5160.96</c:v>
                </c:pt>
                <c:pt idx="14">
                  <c:v>10321.92</c:v>
                </c:pt>
                <c:pt idx="15">
                  <c:v>20643.84</c:v>
                </c:pt>
                <c:pt idx="16">
                  <c:v>41287.68</c:v>
                </c:pt>
                <c:pt idx="17">
                  <c:v>82575.360000000001</c:v>
                </c:pt>
                <c:pt idx="18">
                  <c:v>165150.72</c:v>
                </c:pt>
                <c:pt idx="19">
                  <c:v>330301.44</c:v>
                </c:pt>
                <c:pt idx="20">
                  <c:v>660602.88</c:v>
                </c:pt>
                <c:pt idx="21">
                  <c:v>1321205.76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4.4399999999999995E-2</c:v>
                </c:pt>
                <c:pt idx="1">
                  <c:v>8.879999999999999E-2</c:v>
                </c:pt>
                <c:pt idx="2">
                  <c:v>0.17759999999999998</c:v>
                </c:pt>
                <c:pt idx="3">
                  <c:v>0.35519999999999996</c:v>
                </c:pt>
                <c:pt idx="4">
                  <c:v>0.71039999999999992</c:v>
                </c:pt>
                <c:pt idx="5">
                  <c:v>1.4207999999999998</c:v>
                </c:pt>
                <c:pt idx="6">
                  <c:v>2.8415999999999997</c:v>
                </c:pt>
                <c:pt idx="7">
                  <c:v>5.6831999999999994</c:v>
                </c:pt>
                <c:pt idx="8">
                  <c:v>11.366399999999999</c:v>
                </c:pt>
                <c:pt idx="9">
                  <c:v>22.732799999999997</c:v>
                </c:pt>
                <c:pt idx="10">
                  <c:v>45.465599999999995</c:v>
                </c:pt>
                <c:pt idx="11">
                  <c:v>90.93119999999999</c:v>
                </c:pt>
                <c:pt idx="12">
                  <c:v>181.86239999999998</c:v>
                </c:pt>
                <c:pt idx="13">
                  <c:v>363.72479999999996</c:v>
                </c:pt>
                <c:pt idx="14">
                  <c:v>727.44959999999992</c:v>
                </c:pt>
                <c:pt idx="15">
                  <c:v>1454.8991999999998</c:v>
                </c:pt>
                <c:pt idx="16">
                  <c:v>2909.7983999999997</c:v>
                </c:pt>
                <c:pt idx="17">
                  <c:v>5819.5967999999993</c:v>
                </c:pt>
                <c:pt idx="18">
                  <c:v>11639.193599999999</c:v>
                </c:pt>
                <c:pt idx="19">
                  <c:v>23278.387199999997</c:v>
                </c:pt>
                <c:pt idx="20">
                  <c:v>46556.774399999995</c:v>
                </c:pt>
                <c:pt idx="21">
                  <c:v>93113.54879999999</c:v>
                </c:pt>
              </c:numCache>
            </c:numRef>
          </c:val>
          <c:smooth val="0"/>
          <c:extLst>
            <c:ext xmlns:c16="http://schemas.microsoft.com/office/drawing/2014/chart" uri="{C3380CC4-5D6E-409C-BE32-E72D297353CC}">
              <c16:uniqueId val="{00000001-EBAD-48A5-9277-83F388186C0C}"/>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6.9599999999999995E-2</c:v>
                </c:pt>
                <c:pt idx="1">
                  <c:v>0.13919999999999999</c:v>
                </c:pt>
                <c:pt idx="2">
                  <c:v>0.27839999999999998</c:v>
                </c:pt>
                <c:pt idx="3">
                  <c:v>0.55679999999999996</c:v>
                </c:pt>
                <c:pt idx="4">
                  <c:v>1.1135999999999999</c:v>
                </c:pt>
                <c:pt idx="5">
                  <c:v>2.2271999999999998</c:v>
                </c:pt>
                <c:pt idx="6">
                  <c:v>4.4543999999999997</c:v>
                </c:pt>
                <c:pt idx="7">
                  <c:v>8.9087999999999994</c:v>
                </c:pt>
                <c:pt idx="8">
                  <c:v>17.817599999999999</c:v>
                </c:pt>
                <c:pt idx="9">
                  <c:v>35.635199999999998</c:v>
                </c:pt>
                <c:pt idx="10">
                  <c:v>71.270399999999995</c:v>
                </c:pt>
                <c:pt idx="11">
                  <c:v>142.54079999999999</c:v>
                </c:pt>
                <c:pt idx="12">
                  <c:v>285.08159999999998</c:v>
                </c:pt>
                <c:pt idx="13">
                  <c:v>570.16319999999996</c:v>
                </c:pt>
                <c:pt idx="14">
                  <c:v>1140.3263999999999</c:v>
                </c:pt>
                <c:pt idx="15">
                  <c:v>2280.6527999999998</c:v>
                </c:pt>
                <c:pt idx="16">
                  <c:v>4561.3055999999997</c:v>
                </c:pt>
                <c:pt idx="17">
                  <c:v>9122.6111999999994</c:v>
                </c:pt>
                <c:pt idx="18">
                  <c:v>18245.222399999999</c:v>
                </c:pt>
                <c:pt idx="19">
                  <c:v>36490.444799999997</c:v>
                </c:pt>
                <c:pt idx="20">
                  <c:v>72980.889599999995</c:v>
                </c:pt>
                <c:pt idx="21">
                  <c:v>145961.77919999999</c:v>
                </c:pt>
              </c:numCache>
            </c:numRef>
          </c:val>
          <c:smooth val="0"/>
          <c:extLst>
            <c:ext xmlns:c16="http://schemas.microsoft.com/office/drawing/2014/chart" uri="{C3380CC4-5D6E-409C-BE32-E72D297353CC}">
              <c16:uniqueId val="{00000003-EBAD-48A5-9277-83F388186C0C}"/>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0.13067999999999999</c:v>
                </c:pt>
                <c:pt idx="1">
                  <c:v>0.26135999999999998</c:v>
                </c:pt>
                <c:pt idx="2">
                  <c:v>0.52271999999999996</c:v>
                </c:pt>
                <c:pt idx="3">
                  <c:v>1.0454399999999999</c:v>
                </c:pt>
                <c:pt idx="4">
                  <c:v>2.0908799999999998</c:v>
                </c:pt>
                <c:pt idx="5">
                  <c:v>4.1817599999999997</c:v>
                </c:pt>
                <c:pt idx="6">
                  <c:v>8.3635199999999994</c:v>
                </c:pt>
                <c:pt idx="7">
                  <c:v>16.727039999999999</c:v>
                </c:pt>
                <c:pt idx="8">
                  <c:v>33.454079999999998</c:v>
                </c:pt>
                <c:pt idx="9">
                  <c:v>66.908159999999995</c:v>
                </c:pt>
                <c:pt idx="10">
                  <c:v>133.81631999999999</c:v>
                </c:pt>
                <c:pt idx="11">
                  <c:v>267.63263999999998</c:v>
                </c:pt>
                <c:pt idx="12">
                  <c:v>535.26527999999996</c:v>
                </c:pt>
                <c:pt idx="13">
                  <c:v>1070.5305599999999</c:v>
                </c:pt>
                <c:pt idx="14">
                  <c:v>2141.0611199999998</c:v>
                </c:pt>
                <c:pt idx="15">
                  <c:v>4282.1222399999997</c:v>
                </c:pt>
                <c:pt idx="16">
                  <c:v>8564.2444799999994</c:v>
                </c:pt>
                <c:pt idx="17">
                  <c:v>17128.488959999999</c:v>
                </c:pt>
                <c:pt idx="18">
                  <c:v>34256.977919999998</c:v>
                </c:pt>
                <c:pt idx="19">
                  <c:v>68513.955839999995</c:v>
                </c:pt>
                <c:pt idx="20">
                  <c:v>137027.91167999999</c:v>
                </c:pt>
                <c:pt idx="21">
                  <c:v>274055.82335999998</c:v>
                </c:pt>
              </c:numCache>
            </c:numRef>
          </c:val>
          <c:smooth val="0"/>
          <c:extLst>
            <c:ext xmlns:c16="http://schemas.microsoft.com/office/drawing/2014/chart" uri="{C3380CC4-5D6E-409C-BE32-E72D297353CC}">
              <c16:uniqueId val="{00000005-EBAD-48A5-9277-83F388186C0C}"/>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6.2010000000000003E-2</c:v>
                </c:pt>
                <c:pt idx="1">
                  <c:v>0.12402000000000001</c:v>
                </c:pt>
                <c:pt idx="2">
                  <c:v>0.24804000000000001</c:v>
                </c:pt>
                <c:pt idx="3">
                  <c:v>0.49608000000000002</c:v>
                </c:pt>
                <c:pt idx="4">
                  <c:v>0.99216000000000004</c:v>
                </c:pt>
                <c:pt idx="5">
                  <c:v>1.9843200000000001</c:v>
                </c:pt>
                <c:pt idx="6">
                  <c:v>3.9686400000000002</c:v>
                </c:pt>
                <c:pt idx="7">
                  <c:v>7.9372800000000003</c:v>
                </c:pt>
                <c:pt idx="8">
                  <c:v>15.874560000000001</c:v>
                </c:pt>
                <c:pt idx="9">
                  <c:v>31.749120000000001</c:v>
                </c:pt>
                <c:pt idx="10">
                  <c:v>63.498240000000003</c:v>
                </c:pt>
                <c:pt idx="11">
                  <c:v>126.99648000000001</c:v>
                </c:pt>
                <c:pt idx="12">
                  <c:v>253.99296000000001</c:v>
                </c:pt>
                <c:pt idx="13">
                  <c:v>507.98592000000002</c:v>
                </c:pt>
                <c:pt idx="14">
                  <c:v>1015.97184</c:v>
                </c:pt>
                <c:pt idx="15">
                  <c:v>2031.9436800000001</c:v>
                </c:pt>
                <c:pt idx="16">
                  <c:v>4063.8873600000002</c:v>
                </c:pt>
                <c:pt idx="17">
                  <c:v>8127.7747200000003</c:v>
                </c:pt>
                <c:pt idx="18">
                  <c:v>16255.549440000001</c:v>
                </c:pt>
                <c:pt idx="19">
                  <c:v>32511.098880000001</c:v>
                </c:pt>
                <c:pt idx="20">
                  <c:v>65022.197760000003</c:v>
                </c:pt>
                <c:pt idx="21">
                  <c:v>130044.39552000001</c:v>
                </c:pt>
              </c:numCache>
            </c:numRef>
          </c:val>
          <c:smooth val="0"/>
          <c:extLst>
            <c:ext xmlns:c16="http://schemas.microsoft.com/office/drawing/2014/chart" uri="{C3380CC4-5D6E-409C-BE32-E72D297353CC}">
              <c16:uniqueId val="{00000007-EBAD-48A5-9277-83F388186C0C}"/>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2.0520000000000004E-2</c:v>
                </c:pt>
                <c:pt idx="1">
                  <c:v>4.1040000000000007E-2</c:v>
                </c:pt>
                <c:pt idx="2">
                  <c:v>8.2080000000000014E-2</c:v>
                </c:pt>
                <c:pt idx="3">
                  <c:v>0.16416000000000003</c:v>
                </c:pt>
                <c:pt idx="4">
                  <c:v>0.32832000000000006</c:v>
                </c:pt>
                <c:pt idx="5">
                  <c:v>0.65664000000000011</c:v>
                </c:pt>
                <c:pt idx="6">
                  <c:v>1.3132800000000002</c:v>
                </c:pt>
                <c:pt idx="7">
                  <c:v>2.6265600000000004</c:v>
                </c:pt>
                <c:pt idx="8">
                  <c:v>5.2531200000000009</c:v>
                </c:pt>
                <c:pt idx="9">
                  <c:v>10.506240000000002</c:v>
                </c:pt>
                <c:pt idx="10">
                  <c:v>21.012480000000004</c:v>
                </c:pt>
                <c:pt idx="11">
                  <c:v>42.024960000000007</c:v>
                </c:pt>
                <c:pt idx="12">
                  <c:v>84.049920000000014</c:v>
                </c:pt>
                <c:pt idx="13">
                  <c:v>168.09984000000003</c:v>
                </c:pt>
                <c:pt idx="14">
                  <c:v>336.19968000000006</c:v>
                </c:pt>
                <c:pt idx="15">
                  <c:v>672.39936000000012</c:v>
                </c:pt>
                <c:pt idx="16">
                  <c:v>1344.7987200000002</c:v>
                </c:pt>
                <c:pt idx="17">
                  <c:v>2689.5974400000005</c:v>
                </c:pt>
                <c:pt idx="18">
                  <c:v>5379.1948800000009</c:v>
                </c:pt>
                <c:pt idx="19">
                  <c:v>10758.389760000002</c:v>
                </c:pt>
                <c:pt idx="20">
                  <c:v>21516.779520000004</c:v>
                </c:pt>
                <c:pt idx="21">
                  <c:v>43033.559040000007</c:v>
                </c:pt>
              </c:numCache>
            </c:numRef>
          </c:val>
          <c:smooth val="0"/>
          <c:extLst>
            <c:ext xmlns:c16="http://schemas.microsoft.com/office/drawing/2014/chart" uri="{C3380CC4-5D6E-409C-BE32-E72D297353CC}">
              <c16:uniqueId val="{00000009-EBAD-48A5-9277-83F388186C0C}"/>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1.3140000000000001E-2</c:v>
                </c:pt>
                <c:pt idx="1">
                  <c:v>2.6280000000000001E-2</c:v>
                </c:pt>
                <c:pt idx="2">
                  <c:v>5.2560000000000003E-2</c:v>
                </c:pt>
                <c:pt idx="3">
                  <c:v>0.10512000000000001</c:v>
                </c:pt>
                <c:pt idx="4">
                  <c:v>0.21024000000000001</c:v>
                </c:pt>
                <c:pt idx="5">
                  <c:v>0.42048000000000002</c:v>
                </c:pt>
                <c:pt idx="6">
                  <c:v>0.84096000000000004</c:v>
                </c:pt>
                <c:pt idx="7">
                  <c:v>1.6819200000000001</c:v>
                </c:pt>
                <c:pt idx="8">
                  <c:v>3.3638400000000002</c:v>
                </c:pt>
                <c:pt idx="9">
                  <c:v>6.7276800000000003</c:v>
                </c:pt>
                <c:pt idx="10">
                  <c:v>13.455360000000001</c:v>
                </c:pt>
                <c:pt idx="11">
                  <c:v>26.910720000000001</c:v>
                </c:pt>
                <c:pt idx="12">
                  <c:v>53.821440000000003</c:v>
                </c:pt>
                <c:pt idx="13">
                  <c:v>107.64288000000001</c:v>
                </c:pt>
                <c:pt idx="14">
                  <c:v>215.28576000000001</c:v>
                </c:pt>
                <c:pt idx="15">
                  <c:v>430.57152000000002</c:v>
                </c:pt>
                <c:pt idx="16">
                  <c:v>861.14304000000004</c:v>
                </c:pt>
                <c:pt idx="17">
                  <c:v>1722.2860800000001</c:v>
                </c:pt>
                <c:pt idx="18">
                  <c:v>3444.5721600000002</c:v>
                </c:pt>
                <c:pt idx="19">
                  <c:v>6889.1443200000003</c:v>
                </c:pt>
                <c:pt idx="20">
                  <c:v>13778.288640000001</c:v>
                </c:pt>
                <c:pt idx="21">
                  <c:v>27556.577280000001</c:v>
                </c:pt>
              </c:numCache>
            </c:numRef>
          </c:val>
          <c:smooth val="0"/>
          <c:extLst>
            <c:ext xmlns:c16="http://schemas.microsoft.com/office/drawing/2014/chart" uri="{C3380CC4-5D6E-409C-BE32-E72D297353CC}">
              <c16:uniqueId val="{0000000B-EBAD-48A5-9277-83F388186C0C}"/>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1.392E-2</c:v>
                </c:pt>
                <c:pt idx="1">
                  <c:v>2.784E-2</c:v>
                </c:pt>
                <c:pt idx="2">
                  <c:v>5.568E-2</c:v>
                </c:pt>
                <c:pt idx="3">
                  <c:v>0.11136</c:v>
                </c:pt>
                <c:pt idx="4">
                  <c:v>0.22272</c:v>
                </c:pt>
                <c:pt idx="5">
                  <c:v>0.44544</c:v>
                </c:pt>
                <c:pt idx="6">
                  <c:v>0.89088000000000001</c:v>
                </c:pt>
                <c:pt idx="7">
                  <c:v>1.78176</c:v>
                </c:pt>
                <c:pt idx="8">
                  <c:v>3.56352</c:v>
                </c:pt>
                <c:pt idx="9">
                  <c:v>7.12704</c:v>
                </c:pt>
                <c:pt idx="10">
                  <c:v>14.25408</c:v>
                </c:pt>
                <c:pt idx="11">
                  <c:v>28.50816</c:v>
                </c:pt>
                <c:pt idx="12">
                  <c:v>57.01632</c:v>
                </c:pt>
                <c:pt idx="13">
                  <c:v>114.03264</c:v>
                </c:pt>
                <c:pt idx="14">
                  <c:v>228.06528</c:v>
                </c:pt>
                <c:pt idx="15">
                  <c:v>456.13056</c:v>
                </c:pt>
                <c:pt idx="16">
                  <c:v>912.26112000000001</c:v>
                </c:pt>
                <c:pt idx="17">
                  <c:v>1824.52224</c:v>
                </c:pt>
                <c:pt idx="18">
                  <c:v>3649.04448</c:v>
                </c:pt>
                <c:pt idx="19">
                  <c:v>7298.08896</c:v>
                </c:pt>
                <c:pt idx="20">
                  <c:v>14596.17792</c:v>
                </c:pt>
                <c:pt idx="21">
                  <c:v>29192.35584</c:v>
                </c:pt>
              </c:numCache>
            </c:numRef>
          </c:val>
          <c:smooth val="0"/>
          <c:extLst>
            <c:ext xmlns:c16="http://schemas.microsoft.com/office/drawing/2014/chart" uri="{C3380CC4-5D6E-409C-BE32-E72D297353CC}">
              <c16:uniqueId val="{0000000D-EBAD-48A5-9277-83F388186C0C}"/>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2.2799999999999999E-3</c:v>
                </c:pt>
                <c:pt idx="1">
                  <c:v>4.5599999999999998E-3</c:v>
                </c:pt>
                <c:pt idx="2">
                  <c:v>9.1199999999999996E-3</c:v>
                </c:pt>
                <c:pt idx="3">
                  <c:v>1.8239999999999999E-2</c:v>
                </c:pt>
                <c:pt idx="4">
                  <c:v>3.6479999999999999E-2</c:v>
                </c:pt>
                <c:pt idx="5">
                  <c:v>7.2959999999999997E-2</c:v>
                </c:pt>
                <c:pt idx="6">
                  <c:v>0.14591999999999999</c:v>
                </c:pt>
                <c:pt idx="7">
                  <c:v>0.29183999999999999</c:v>
                </c:pt>
                <c:pt idx="8">
                  <c:v>0.58367999999999998</c:v>
                </c:pt>
                <c:pt idx="9">
                  <c:v>1.16736</c:v>
                </c:pt>
                <c:pt idx="10">
                  <c:v>2.3347199999999999</c:v>
                </c:pt>
                <c:pt idx="11">
                  <c:v>4.6694399999999998</c:v>
                </c:pt>
                <c:pt idx="12">
                  <c:v>9.3388799999999996</c:v>
                </c:pt>
                <c:pt idx="13">
                  <c:v>18.677759999999999</c:v>
                </c:pt>
                <c:pt idx="14">
                  <c:v>37.355519999999999</c:v>
                </c:pt>
                <c:pt idx="15">
                  <c:v>74.711039999999997</c:v>
                </c:pt>
                <c:pt idx="16">
                  <c:v>149.42207999999999</c:v>
                </c:pt>
                <c:pt idx="17">
                  <c:v>298.84415999999999</c:v>
                </c:pt>
                <c:pt idx="18">
                  <c:v>597.68831999999998</c:v>
                </c:pt>
                <c:pt idx="19">
                  <c:v>1195.37664</c:v>
                </c:pt>
                <c:pt idx="20">
                  <c:v>2390.7532799999999</c:v>
                </c:pt>
                <c:pt idx="21">
                  <c:v>4781.5065599999998</c:v>
                </c:pt>
              </c:numCache>
            </c:numRef>
          </c:val>
          <c:smooth val="0"/>
          <c:extLst>
            <c:ext xmlns:c16="http://schemas.microsoft.com/office/drawing/2014/chart" uri="{C3380CC4-5D6E-409C-BE32-E72D297353CC}">
              <c16:uniqueId val="{0000000F-EBAD-48A5-9277-83F388186C0C}"/>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8.94</c:v>
                </c:pt>
                <c:pt idx="1">
                  <c:v>17.88</c:v>
                </c:pt>
                <c:pt idx="2">
                  <c:v>35.76</c:v>
                </c:pt>
                <c:pt idx="3">
                  <c:v>71.52</c:v>
                </c:pt>
                <c:pt idx="4">
                  <c:v>143.04</c:v>
                </c:pt>
                <c:pt idx="5">
                  <c:v>286.08</c:v>
                </c:pt>
                <c:pt idx="6">
                  <c:v>572.16</c:v>
                </c:pt>
                <c:pt idx="7">
                  <c:v>1144.32</c:v>
                </c:pt>
                <c:pt idx="8">
                  <c:v>2288.64</c:v>
                </c:pt>
                <c:pt idx="9">
                  <c:v>4577.28</c:v>
                </c:pt>
                <c:pt idx="10">
                  <c:v>9154.56</c:v>
                </c:pt>
                <c:pt idx="11">
                  <c:v>18309.12</c:v>
                </c:pt>
                <c:pt idx="12">
                  <c:v>36618.239999999998</c:v>
                </c:pt>
                <c:pt idx="13">
                  <c:v>73236.479999999996</c:v>
                </c:pt>
                <c:pt idx="14">
                  <c:v>146472.95999999999</c:v>
                </c:pt>
                <c:pt idx="15">
                  <c:v>292945.91999999998</c:v>
                </c:pt>
                <c:pt idx="16">
                  <c:v>585891.83999999997</c:v>
                </c:pt>
                <c:pt idx="17">
                  <c:v>1171783.6799999999</c:v>
                </c:pt>
                <c:pt idx="18">
                  <c:v>2343567.3599999999</c:v>
                </c:pt>
                <c:pt idx="19">
                  <c:v>4687134.7199999997</c:v>
                </c:pt>
                <c:pt idx="20">
                  <c:v>9374269.4399999995</c:v>
                </c:pt>
                <c:pt idx="21">
                  <c:v>18748538.879999999</c:v>
                </c:pt>
              </c:numCache>
            </c:numRef>
          </c:val>
          <c:smooth val="0"/>
          <c:extLst>
            <c:ext xmlns:c16="http://schemas.microsoft.com/office/drawing/2014/chart" uri="{C3380CC4-5D6E-409C-BE32-E72D297353CC}">
              <c16:uniqueId val="{0000001E-05DD-4DD4-A5B5-12D162507280}"/>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6</c:v>
                </c:pt>
                <c:pt idx="1">
                  <c:v>12</c:v>
                </c:pt>
                <c:pt idx="2">
                  <c:v>24</c:v>
                </c:pt>
                <c:pt idx="3">
                  <c:v>48</c:v>
                </c:pt>
                <c:pt idx="4">
                  <c:v>96</c:v>
                </c:pt>
                <c:pt idx="5">
                  <c:v>192</c:v>
                </c:pt>
                <c:pt idx="6">
                  <c:v>384</c:v>
                </c:pt>
                <c:pt idx="7">
                  <c:v>768</c:v>
                </c:pt>
                <c:pt idx="8">
                  <c:v>1536</c:v>
                </c:pt>
                <c:pt idx="9">
                  <c:v>3072</c:v>
                </c:pt>
                <c:pt idx="10">
                  <c:v>6144</c:v>
                </c:pt>
                <c:pt idx="11">
                  <c:v>12288</c:v>
                </c:pt>
                <c:pt idx="12">
                  <c:v>24576</c:v>
                </c:pt>
                <c:pt idx="13">
                  <c:v>49152</c:v>
                </c:pt>
                <c:pt idx="14">
                  <c:v>98304</c:v>
                </c:pt>
                <c:pt idx="15">
                  <c:v>196608</c:v>
                </c:pt>
                <c:pt idx="16">
                  <c:v>393216</c:v>
                </c:pt>
                <c:pt idx="17">
                  <c:v>786432</c:v>
                </c:pt>
                <c:pt idx="18">
                  <c:v>1572864</c:v>
                </c:pt>
                <c:pt idx="19">
                  <c:v>3145728</c:v>
                </c:pt>
                <c:pt idx="20">
                  <c:v>6291456</c:v>
                </c:pt>
                <c:pt idx="21">
                  <c:v>12582912</c:v>
                </c:pt>
              </c:numCache>
            </c:numRef>
          </c:val>
          <c:smooth val="0"/>
          <c:extLst>
            <c:ext xmlns:c16="http://schemas.microsoft.com/office/drawing/2014/chart" uri="{C3380CC4-5D6E-409C-BE32-E72D297353CC}">
              <c16:uniqueId val="{0000001C-05DD-4DD4-A5B5-12D162507280}"/>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4.2</c:v>
                </c:pt>
                <c:pt idx="1">
                  <c:v>8.4</c:v>
                </c:pt>
                <c:pt idx="2">
                  <c:v>16.8</c:v>
                </c:pt>
                <c:pt idx="3">
                  <c:v>33.6</c:v>
                </c:pt>
                <c:pt idx="4">
                  <c:v>67.2</c:v>
                </c:pt>
                <c:pt idx="5">
                  <c:v>134.4</c:v>
                </c:pt>
                <c:pt idx="6">
                  <c:v>268.8</c:v>
                </c:pt>
                <c:pt idx="7">
                  <c:v>537.6</c:v>
                </c:pt>
                <c:pt idx="8">
                  <c:v>1075.2</c:v>
                </c:pt>
                <c:pt idx="9">
                  <c:v>2150.4</c:v>
                </c:pt>
                <c:pt idx="10">
                  <c:v>4300.8</c:v>
                </c:pt>
                <c:pt idx="11">
                  <c:v>8601.6</c:v>
                </c:pt>
                <c:pt idx="12">
                  <c:v>17203.2</c:v>
                </c:pt>
                <c:pt idx="13">
                  <c:v>34406.400000000001</c:v>
                </c:pt>
                <c:pt idx="14">
                  <c:v>68812.800000000003</c:v>
                </c:pt>
                <c:pt idx="15">
                  <c:v>137625.60000000001</c:v>
                </c:pt>
                <c:pt idx="16">
                  <c:v>275251.20000000001</c:v>
                </c:pt>
                <c:pt idx="17">
                  <c:v>550502.40000000002</c:v>
                </c:pt>
                <c:pt idx="18">
                  <c:v>1101004.8</c:v>
                </c:pt>
                <c:pt idx="19">
                  <c:v>2202009.6000000001</c:v>
                </c:pt>
                <c:pt idx="20">
                  <c:v>4404019.2000000002</c:v>
                </c:pt>
                <c:pt idx="21">
                  <c:v>8808038.4000000004</c:v>
                </c:pt>
              </c:numCache>
            </c:numRef>
          </c:val>
          <c:smooth val="0"/>
          <c:extLst>
            <c:ext xmlns:c16="http://schemas.microsoft.com/office/drawing/2014/chart" uri="{C3380CC4-5D6E-409C-BE32-E72D297353CC}">
              <c16:uniqueId val="{00000022-05DD-4DD4-A5B5-12D162507280}"/>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Projections!$J$72:$AJ$72</c15:sqref>
                  </c15:fullRef>
                </c:ext>
              </c:extLst>
              <c:f>Projections!$J$72:$AE$72</c:f>
              <c:numCache>
                <c:formatCode>#,##0</c:formatCode>
                <c:ptCount val="22"/>
                <c:pt idx="0">
                  <c:v>1.17</c:v>
                </c:pt>
                <c:pt idx="1">
                  <c:v>2.34</c:v>
                </c:pt>
                <c:pt idx="2">
                  <c:v>4.68</c:v>
                </c:pt>
                <c:pt idx="3">
                  <c:v>9.36</c:v>
                </c:pt>
                <c:pt idx="4">
                  <c:v>18.72</c:v>
                </c:pt>
                <c:pt idx="5">
                  <c:v>37.44</c:v>
                </c:pt>
                <c:pt idx="6">
                  <c:v>74.88</c:v>
                </c:pt>
                <c:pt idx="7">
                  <c:v>149.76</c:v>
                </c:pt>
                <c:pt idx="8">
                  <c:v>299.52</c:v>
                </c:pt>
                <c:pt idx="9">
                  <c:v>599.04</c:v>
                </c:pt>
                <c:pt idx="10">
                  <c:v>1198.08</c:v>
                </c:pt>
                <c:pt idx="11">
                  <c:v>2396.16</c:v>
                </c:pt>
                <c:pt idx="12">
                  <c:v>4792.32</c:v>
                </c:pt>
                <c:pt idx="13">
                  <c:v>9584.64</c:v>
                </c:pt>
                <c:pt idx="14">
                  <c:v>19169.28</c:v>
                </c:pt>
                <c:pt idx="15">
                  <c:v>38338.559999999998</c:v>
                </c:pt>
                <c:pt idx="16">
                  <c:v>76677.119999999995</c:v>
                </c:pt>
                <c:pt idx="17">
                  <c:v>153354.23999999999</c:v>
                </c:pt>
                <c:pt idx="18">
                  <c:v>306708.47999999998</c:v>
                </c:pt>
                <c:pt idx="19">
                  <c:v>613416.95999999996</c:v>
                </c:pt>
                <c:pt idx="20">
                  <c:v>1226833.9199999999</c:v>
                </c:pt>
                <c:pt idx="21">
                  <c:v>2453667.8399999999</c:v>
                </c:pt>
              </c:numCache>
            </c:numRef>
          </c:val>
          <c:smooth val="0"/>
          <c:extLst>
            <c:ext xmlns:c16="http://schemas.microsoft.com/office/drawing/2014/chart" uri="{C3380CC4-5D6E-409C-BE32-E72D297353CC}">
              <c16:uniqueId val="{00000018-05DD-4DD4-A5B5-12D162507280}"/>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2.67</c:v>
                </c:pt>
                <c:pt idx="1">
                  <c:v>5.34</c:v>
                </c:pt>
                <c:pt idx="2">
                  <c:v>10.68</c:v>
                </c:pt>
                <c:pt idx="3">
                  <c:v>21.36</c:v>
                </c:pt>
                <c:pt idx="4">
                  <c:v>42.72</c:v>
                </c:pt>
                <c:pt idx="5">
                  <c:v>85.44</c:v>
                </c:pt>
                <c:pt idx="6">
                  <c:v>170.88</c:v>
                </c:pt>
                <c:pt idx="7">
                  <c:v>341.76</c:v>
                </c:pt>
                <c:pt idx="8">
                  <c:v>683.52</c:v>
                </c:pt>
                <c:pt idx="9">
                  <c:v>1367.04</c:v>
                </c:pt>
                <c:pt idx="10">
                  <c:v>2734.08</c:v>
                </c:pt>
                <c:pt idx="11">
                  <c:v>5468.16</c:v>
                </c:pt>
                <c:pt idx="12">
                  <c:v>10936.32</c:v>
                </c:pt>
                <c:pt idx="13">
                  <c:v>21872.639999999999</c:v>
                </c:pt>
                <c:pt idx="14">
                  <c:v>43745.279999999999</c:v>
                </c:pt>
                <c:pt idx="15">
                  <c:v>87490.559999999998</c:v>
                </c:pt>
                <c:pt idx="16">
                  <c:v>174981.12</c:v>
                </c:pt>
                <c:pt idx="17">
                  <c:v>349962.23999999999</c:v>
                </c:pt>
                <c:pt idx="18">
                  <c:v>699924.47999999998</c:v>
                </c:pt>
                <c:pt idx="19">
                  <c:v>1399848.96</c:v>
                </c:pt>
                <c:pt idx="20">
                  <c:v>2799697.9199999999</c:v>
                </c:pt>
                <c:pt idx="21">
                  <c:v>5599395.8399999999</c:v>
                </c:pt>
              </c:numCache>
            </c:numRef>
          </c:val>
          <c:smooth val="0"/>
          <c:extLst>
            <c:ext xmlns:c16="http://schemas.microsoft.com/office/drawing/2014/chart" uri="{C3380CC4-5D6E-409C-BE32-E72D297353CC}">
              <c16:uniqueId val="{0000001A-05DD-4DD4-A5B5-12D162507280}"/>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2.8500000000000001E-2</c:v>
                </c:pt>
                <c:pt idx="1">
                  <c:v>5.7000000000000002E-2</c:v>
                </c:pt>
                <c:pt idx="2">
                  <c:v>0.114</c:v>
                </c:pt>
                <c:pt idx="3">
                  <c:v>0.22800000000000001</c:v>
                </c:pt>
                <c:pt idx="4">
                  <c:v>0.45600000000000002</c:v>
                </c:pt>
                <c:pt idx="5">
                  <c:v>0.91200000000000003</c:v>
                </c:pt>
                <c:pt idx="6">
                  <c:v>1.8240000000000001</c:v>
                </c:pt>
                <c:pt idx="7">
                  <c:v>3.6480000000000001</c:v>
                </c:pt>
                <c:pt idx="8">
                  <c:v>7.2960000000000003</c:v>
                </c:pt>
                <c:pt idx="9">
                  <c:v>14.592000000000001</c:v>
                </c:pt>
                <c:pt idx="10">
                  <c:v>29.184000000000001</c:v>
                </c:pt>
                <c:pt idx="11">
                  <c:v>58.368000000000002</c:v>
                </c:pt>
                <c:pt idx="12">
                  <c:v>116.736</c:v>
                </c:pt>
                <c:pt idx="13">
                  <c:v>233.47200000000001</c:v>
                </c:pt>
                <c:pt idx="14">
                  <c:v>466.94400000000002</c:v>
                </c:pt>
                <c:pt idx="15">
                  <c:v>933.88800000000003</c:v>
                </c:pt>
                <c:pt idx="16">
                  <c:v>1867.7760000000001</c:v>
                </c:pt>
                <c:pt idx="17">
                  <c:v>3735.5520000000001</c:v>
                </c:pt>
                <c:pt idx="18">
                  <c:v>7471.1040000000003</c:v>
                </c:pt>
                <c:pt idx="19">
                  <c:v>14942.208000000001</c:v>
                </c:pt>
                <c:pt idx="20">
                  <c:v>29884.416000000001</c:v>
                </c:pt>
                <c:pt idx="21">
                  <c:v>59768.832000000002</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0.53639999999999999</c:v>
                </c:pt>
                <c:pt idx="1">
                  <c:v>1.0728</c:v>
                </c:pt>
                <c:pt idx="2">
                  <c:v>2.1456</c:v>
                </c:pt>
                <c:pt idx="3">
                  <c:v>4.2911999999999999</c:v>
                </c:pt>
                <c:pt idx="4">
                  <c:v>8.5823999999999998</c:v>
                </c:pt>
                <c:pt idx="5">
                  <c:v>17.1648</c:v>
                </c:pt>
                <c:pt idx="6">
                  <c:v>34.329599999999999</c:v>
                </c:pt>
                <c:pt idx="7">
                  <c:v>68.659199999999998</c:v>
                </c:pt>
                <c:pt idx="8">
                  <c:v>137.3184</c:v>
                </c:pt>
                <c:pt idx="9">
                  <c:v>274.63679999999999</c:v>
                </c:pt>
                <c:pt idx="10">
                  <c:v>549.27359999999999</c:v>
                </c:pt>
                <c:pt idx="11">
                  <c:v>1098.5472</c:v>
                </c:pt>
                <c:pt idx="12">
                  <c:v>2197.0944</c:v>
                </c:pt>
                <c:pt idx="13">
                  <c:v>4394.1887999999999</c:v>
                </c:pt>
                <c:pt idx="14">
                  <c:v>8788.3775999999998</c:v>
                </c:pt>
                <c:pt idx="15">
                  <c:v>17576.7552</c:v>
                </c:pt>
                <c:pt idx="16">
                  <c:v>35153.510399999999</c:v>
                </c:pt>
                <c:pt idx="17">
                  <c:v>70307.020799999998</c:v>
                </c:pt>
                <c:pt idx="18">
                  <c:v>140614.0416</c:v>
                </c:pt>
                <c:pt idx="19">
                  <c:v>281228.08319999999</c:v>
                </c:pt>
                <c:pt idx="20">
                  <c:v>562456.16639999999</c:v>
                </c:pt>
                <c:pt idx="21">
                  <c:v>1124912.3328</c:v>
                </c:pt>
              </c:numCache>
            </c:numRef>
          </c:val>
          <c:smooth val="0"/>
          <c:extLst>
            <c:ext xmlns:c16="http://schemas.microsoft.com/office/drawing/2014/chart" uri="{C3380CC4-5D6E-409C-BE32-E72D297353CC}">
              <c16:uniqueId val="{00000007-65B4-47F9-9B97-64FB989C8893}"/>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0.378</c:v>
                </c:pt>
                <c:pt idx="1">
                  <c:v>0.75600000000000001</c:v>
                </c:pt>
                <c:pt idx="2">
                  <c:v>1.512</c:v>
                </c:pt>
                <c:pt idx="3">
                  <c:v>3.024</c:v>
                </c:pt>
                <c:pt idx="4">
                  <c:v>6.048</c:v>
                </c:pt>
                <c:pt idx="5">
                  <c:v>12.096</c:v>
                </c:pt>
                <c:pt idx="6">
                  <c:v>24.192</c:v>
                </c:pt>
                <c:pt idx="7">
                  <c:v>48.384</c:v>
                </c:pt>
                <c:pt idx="8">
                  <c:v>96.768000000000001</c:v>
                </c:pt>
                <c:pt idx="9">
                  <c:v>193.536</c:v>
                </c:pt>
                <c:pt idx="10">
                  <c:v>387.072</c:v>
                </c:pt>
                <c:pt idx="11">
                  <c:v>774.14400000000001</c:v>
                </c:pt>
                <c:pt idx="12">
                  <c:v>1548.288</c:v>
                </c:pt>
                <c:pt idx="13">
                  <c:v>3096.576</c:v>
                </c:pt>
                <c:pt idx="14">
                  <c:v>6193.152</c:v>
                </c:pt>
                <c:pt idx="15">
                  <c:v>12386.304</c:v>
                </c:pt>
                <c:pt idx="16">
                  <c:v>24772.608</c:v>
                </c:pt>
                <c:pt idx="17">
                  <c:v>49545.216</c:v>
                </c:pt>
                <c:pt idx="18">
                  <c:v>99090.432000000001</c:v>
                </c:pt>
                <c:pt idx="19">
                  <c:v>198180.864</c:v>
                </c:pt>
                <c:pt idx="20">
                  <c:v>396361.728</c:v>
                </c:pt>
                <c:pt idx="21">
                  <c:v>792723.45600000001</c:v>
                </c:pt>
              </c:numCache>
            </c:numRef>
          </c:val>
          <c:smooth val="0"/>
          <c:extLst>
            <c:ext xmlns:c16="http://schemas.microsoft.com/office/drawing/2014/chart" uri="{C3380CC4-5D6E-409C-BE32-E72D297353CC}">
              <c16:uniqueId val="{00000005-65B4-47F9-9B97-64FB989C8893}"/>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0.12284999999999999</c:v>
                </c:pt>
                <c:pt idx="1">
                  <c:v>0.24569999999999997</c:v>
                </c:pt>
                <c:pt idx="2">
                  <c:v>0.49139999999999995</c:v>
                </c:pt>
                <c:pt idx="3">
                  <c:v>0.9827999999999999</c:v>
                </c:pt>
                <c:pt idx="4">
                  <c:v>1.9655999999999998</c:v>
                </c:pt>
                <c:pt idx="5">
                  <c:v>3.9311999999999996</c:v>
                </c:pt>
                <c:pt idx="6">
                  <c:v>7.8623999999999992</c:v>
                </c:pt>
                <c:pt idx="7">
                  <c:v>15.724799999999998</c:v>
                </c:pt>
                <c:pt idx="8">
                  <c:v>31.449599999999997</c:v>
                </c:pt>
                <c:pt idx="9">
                  <c:v>62.899199999999993</c:v>
                </c:pt>
                <c:pt idx="10">
                  <c:v>125.79839999999999</c:v>
                </c:pt>
                <c:pt idx="11">
                  <c:v>251.59679999999997</c:v>
                </c:pt>
                <c:pt idx="12">
                  <c:v>503.19359999999995</c:v>
                </c:pt>
                <c:pt idx="13">
                  <c:v>1006.3871999999999</c:v>
                </c:pt>
                <c:pt idx="14">
                  <c:v>2012.7743999999998</c:v>
                </c:pt>
                <c:pt idx="15">
                  <c:v>4025.5487999999996</c:v>
                </c:pt>
                <c:pt idx="16">
                  <c:v>8051.0975999999991</c:v>
                </c:pt>
                <c:pt idx="17">
                  <c:v>16102.195199999998</c:v>
                </c:pt>
                <c:pt idx="18">
                  <c:v>32204.390399999997</c:v>
                </c:pt>
                <c:pt idx="19">
                  <c:v>64408.780799999993</c:v>
                </c:pt>
                <c:pt idx="20">
                  <c:v>128817.56159999999</c:v>
                </c:pt>
                <c:pt idx="21">
                  <c:v>257635.12319999997</c:v>
                </c:pt>
              </c:numCache>
            </c:numRef>
          </c:val>
          <c:smooth val="0"/>
          <c:extLst>
            <c:ext xmlns:c16="http://schemas.microsoft.com/office/drawing/2014/chart" uri="{C3380CC4-5D6E-409C-BE32-E72D297353CC}">
              <c16:uniqueId val="{00000001-65B4-47F9-9B97-64FB989C8893}"/>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0.19490999999999997</c:v>
                </c:pt>
                <c:pt idx="1">
                  <c:v>0.38981999999999994</c:v>
                </c:pt>
                <c:pt idx="2">
                  <c:v>0.77963999999999989</c:v>
                </c:pt>
                <c:pt idx="3">
                  <c:v>1.5592799999999998</c:v>
                </c:pt>
                <c:pt idx="4">
                  <c:v>3.1185599999999996</c:v>
                </c:pt>
                <c:pt idx="5">
                  <c:v>6.2371199999999991</c:v>
                </c:pt>
                <c:pt idx="6">
                  <c:v>12.474239999999998</c:v>
                </c:pt>
                <c:pt idx="7">
                  <c:v>24.948479999999996</c:v>
                </c:pt>
                <c:pt idx="8">
                  <c:v>49.896959999999993</c:v>
                </c:pt>
                <c:pt idx="9">
                  <c:v>99.793919999999986</c:v>
                </c:pt>
                <c:pt idx="10">
                  <c:v>199.58783999999997</c:v>
                </c:pt>
                <c:pt idx="11">
                  <c:v>399.17567999999994</c:v>
                </c:pt>
                <c:pt idx="12">
                  <c:v>798.35135999999989</c:v>
                </c:pt>
                <c:pt idx="13">
                  <c:v>1596.7027199999998</c:v>
                </c:pt>
                <c:pt idx="14">
                  <c:v>3193.4054399999995</c:v>
                </c:pt>
                <c:pt idx="15">
                  <c:v>6386.8108799999991</c:v>
                </c:pt>
                <c:pt idx="16">
                  <c:v>12773.621759999998</c:v>
                </c:pt>
                <c:pt idx="17">
                  <c:v>25547.243519999996</c:v>
                </c:pt>
                <c:pt idx="18">
                  <c:v>51094.487039999993</c:v>
                </c:pt>
                <c:pt idx="19">
                  <c:v>102188.97407999999</c:v>
                </c:pt>
                <c:pt idx="20">
                  <c:v>204377.94815999997</c:v>
                </c:pt>
                <c:pt idx="21">
                  <c:v>408755.89631999994</c:v>
                </c:pt>
              </c:numCache>
            </c:numRef>
          </c:val>
          <c:smooth val="0"/>
          <c:extLst>
            <c:ext xmlns:c16="http://schemas.microsoft.com/office/drawing/2014/chart" uri="{C3380CC4-5D6E-409C-BE32-E72D297353CC}">
              <c16:uniqueId val="{00000003-65B4-47F9-9B97-64FB989C8893}"/>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43936</c:v>
                </c:pt>
                <c:pt idx="10">
                  <c:v>43941</c:v>
                </c:pt>
                <c:pt idx="11">
                  <c:v>43946</c:v>
                </c:pt>
                <c:pt idx="12">
                  <c:v>43951</c:v>
                </c:pt>
                <c:pt idx="13">
                  <c:v>43956</c:v>
                </c:pt>
                <c:pt idx="14">
                  <c:v>43961</c:v>
                </c:pt>
                <c:pt idx="15">
                  <c:v>43966</c:v>
                </c:pt>
                <c:pt idx="16">
                  <c:v>43971</c:v>
                </c:pt>
                <c:pt idx="17">
                  <c:v>43976</c:v>
                </c:pt>
                <c:pt idx="18">
                  <c:v>43981</c:v>
                </c:pt>
                <c:pt idx="19">
                  <c:v>43986</c:v>
                </c:pt>
                <c:pt idx="20">
                  <c:v>43991</c:v>
                </c:pt>
                <c:pt idx="21">
                  <c:v>43996</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1.5960000000000002E-3</c:v>
                </c:pt>
                <c:pt idx="1">
                  <c:v>3.1920000000000004E-3</c:v>
                </c:pt>
                <c:pt idx="2">
                  <c:v>6.3840000000000008E-3</c:v>
                </c:pt>
                <c:pt idx="3">
                  <c:v>1.2768000000000002E-2</c:v>
                </c:pt>
                <c:pt idx="4">
                  <c:v>2.5536000000000003E-2</c:v>
                </c:pt>
                <c:pt idx="5">
                  <c:v>5.1072000000000006E-2</c:v>
                </c:pt>
                <c:pt idx="6">
                  <c:v>0.10214400000000001</c:v>
                </c:pt>
                <c:pt idx="7">
                  <c:v>0.20428800000000003</c:v>
                </c:pt>
                <c:pt idx="8">
                  <c:v>0.40857600000000005</c:v>
                </c:pt>
                <c:pt idx="9">
                  <c:v>0.8171520000000001</c:v>
                </c:pt>
                <c:pt idx="10">
                  <c:v>1.6343040000000002</c:v>
                </c:pt>
                <c:pt idx="11">
                  <c:v>3.2686080000000004</c:v>
                </c:pt>
                <c:pt idx="12">
                  <c:v>6.5372160000000008</c:v>
                </c:pt>
                <c:pt idx="13">
                  <c:v>13.074432000000002</c:v>
                </c:pt>
                <c:pt idx="14">
                  <c:v>26.148864000000003</c:v>
                </c:pt>
                <c:pt idx="15">
                  <c:v>52.297728000000006</c:v>
                </c:pt>
                <c:pt idx="16">
                  <c:v>104.59545600000001</c:v>
                </c:pt>
                <c:pt idx="17">
                  <c:v>209.19091200000003</c:v>
                </c:pt>
                <c:pt idx="18">
                  <c:v>418.38182400000005</c:v>
                </c:pt>
                <c:pt idx="19">
                  <c:v>836.7636480000001</c:v>
                </c:pt>
                <c:pt idx="20">
                  <c:v>1673.5272960000002</c:v>
                </c:pt>
                <c:pt idx="21">
                  <c:v>3347.0545920000004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4</xdr:row>
      <xdr:rowOff>180975</xdr:rowOff>
    </xdr:from>
    <xdr:to>
      <xdr:col>49</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75</xdr:row>
      <xdr:rowOff>5814</xdr:rowOff>
    </xdr:from>
    <xdr:to>
      <xdr:col>50</xdr:col>
      <xdr:colOff>19050</xdr:colOff>
      <xdr:row>98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99</xdr:row>
      <xdr:rowOff>10576</xdr:rowOff>
    </xdr:from>
    <xdr:to>
      <xdr:col>50</xdr:col>
      <xdr:colOff>28575</xdr:colOff>
      <xdr:row>115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741217</xdr:colOff>
      <xdr:row>116</xdr:row>
      <xdr:rowOff>182025</xdr:rowOff>
    </xdr:from>
    <xdr:to>
      <xdr:col>50</xdr:col>
      <xdr:colOff>38099</xdr:colOff>
      <xdr:row>132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741219</xdr:colOff>
      <xdr:row>134</xdr:row>
      <xdr:rowOff>10575</xdr:rowOff>
    </xdr:from>
    <xdr:to>
      <xdr:col>50</xdr:col>
      <xdr:colOff>19050</xdr:colOff>
      <xdr:row>153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738187</xdr:colOff>
      <xdr:row>38</xdr:row>
      <xdr:rowOff>4762</xdr:rowOff>
    </xdr:from>
    <xdr:to>
      <xdr:col>50</xdr:col>
      <xdr:colOff>19050</xdr:colOff>
      <xdr:row>57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740228</xdr:colOff>
      <xdr:row>58</xdr:row>
      <xdr:rowOff>2721</xdr:rowOff>
    </xdr:from>
    <xdr:to>
      <xdr:col>49</xdr:col>
      <xdr:colOff>590550</xdr:colOff>
      <xdr:row>73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4</xdr:row>
      <xdr:rowOff>180975</xdr:rowOff>
    </xdr:from>
    <xdr:to>
      <xdr:col>63</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74</xdr:row>
      <xdr:rowOff>177264</xdr:rowOff>
    </xdr:from>
    <xdr:to>
      <xdr:col>63</xdr:col>
      <xdr:colOff>209550</xdr:colOff>
      <xdr:row>97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99</xdr:row>
      <xdr:rowOff>1051</xdr:rowOff>
    </xdr:from>
    <xdr:to>
      <xdr:col>63</xdr:col>
      <xdr:colOff>200025</xdr:colOff>
      <xdr:row>115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116</xdr:row>
      <xdr:rowOff>182025</xdr:rowOff>
    </xdr:from>
    <xdr:to>
      <xdr:col>63</xdr:col>
      <xdr:colOff>219074</xdr:colOff>
      <xdr:row>132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134</xdr:row>
      <xdr:rowOff>10575</xdr:rowOff>
    </xdr:from>
    <xdr:to>
      <xdr:col>63</xdr:col>
      <xdr:colOff>228600</xdr:colOff>
      <xdr:row>153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38</xdr:row>
      <xdr:rowOff>14287</xdr:rowOff>
    </xdr:from>
    <xdr:to>
      <xdr:col>63</xdr:col>
      <xdr:colOff>200025</xdr:colOff>
      <xdr:row>57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58</xdr:row>
      <xdr:rowOff>2721</xdr:rowOff>
    </xdr:from>
    <xdr:to>
      <xdr:col>63</xdr:col>
      <xdr:colOff>161925</xdr:colOff>
      <xdr:row>73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worldometers.info/coronavirus/country/india/"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9">
        <f>(AP25/E31) /Projections!B6</f>
        <v>291.54518950437313</v>
      </c>
      <c r="C17" s="100"/>
      <c r="D17" s="101"/>
      <c r="E17" s="95">
        <f>B17*2</f>
        <v>583.09037900874625</v>
      </c>
      <c r="F17" s="100"/>
      <c r="G17" s="95"/>
      <c r="H17" s="95">
        <f>E17*2</f>
        <v>1166.1807580174925</v>
      </c>
      <c r="I17" s="100"/>
      <c r="J17" s="101"/>
      <c r="K17" s="92">
        <f>H17*2</f>
        <v>2332.361516034985</v>
      </c>
      <c r="L17" s="90"/>
      <c r="M17" s="91"/>
      <c r="N17" s="92">
        <f>K17*2</f>
        <v>4664.72303206997</v>
      </c>
      <c r="O17" s="90"/>
      <c r="P17" s="91"/>
      <c r="Q17" s="92">
        <f>N17*2</f>
        <v>9329.4460641399401</v>
      </c>
      <c r="R17" s="90"/>
      <c r="S17" s="91"/>
      <c r="T17" s="92">
        <f>Q17*2</f>
        <v>18658.89212827988</v>
      </c>
      <c r="U17" s="90"/>
      <c r="V17" s="91"/>
      <c r="W17" s="92">
        <f>T17*2</f>
        <v>37317.78425655976</v>
      </c>
      <c r="X17" s="90"/>
      <c r="Y17" s="91"/>
      <c r="Z17" s="92">
        <f>W17*2</f>
        <v>74635.568513119521</v>
      </c>
      <c r="AA17" s="90"/>
      <c r="AB17" s="91"/>
      <c r="AC17" s="92">
        <f>Z17*2</f>
        <v>149271.13702623904</v>
      </c>
      <c r="AD17" s="90"/>
      <c r="AE17" s="91"/>
      <c r="AF17" s="92">
        <f>AC17*2</f>
        <v>298542.27405247808</v>
      </c>
      <c r="AG17" s="90"/>
      <c r="AH17" s="91"/>
      <c r="AI17" s="92">
        <f>AF17*2</f>
        <v>597084.54810495616</v>
      </c>
      <c r="AJ17" s="90"/>
      <c r="AK17" s="91"/>
      <c r="AL17" s="92">
        <f>AI17*2</f>
        <v>1194169.0962099123</v>
      </c>
      <c r="AM17" s="90"/>
      <c r="AN17" s="91"/>
      <c r="AO17" s="92">
        <f>AL17*2</f>
        <v>2388338.1924198247</v>
      </c>
      <c r="AP17" s="95"/>
      <c r="AQ17" t="s">
        <v>91</v>
      </c>
    </row>
    <row r="18" spans="1:43" s="69" customFormat="1" x14ac:dyDescent="0.25">
      <c r="A18" t="s">
        <v>166</v>
      </c>
      <c r="B18" s="85">
        <f>B17*$E$34</f>
        <v>262.97376093294457</v>
      </c>
      <c r="C18" s="102"/>
      <c r="D18" s="102"/>
      <c r="E18" s="102">
        <f>E17*$E$34</f>
        <v>525.94752186588914</v>
      </c>
      <c r="F18" s="102"/>
      <c r="G18" s="33"/>
      <c r="H18" s="102">
        <f>H17*$E$34</f>
        <v>1051.8950437317783</v>
      </c>
      <c r="I18" s="102"/>
      <c r="J18" s="102"/>
      <c r="K18" s="102">
        <f>K17*$E$34</f>
        <v>2103.7900874635566</v>
      </c>
      <c r="L18" s="102"/>
      <c r="M18" s="102"/>
      <c r="N18" s="102">
        <f>N17*$E$34</f>
        <v>4207.5801749271131</v>
      </c>
      <c r="O18" s="102"/>
      <c r="P18" s="102"/>
      <c r="Q18" s="102">
        <f>Q17*$E$34</f>
        <v>8415.1603498542263</v>
      </c>
      <c r="R18" s="102"/>
      <c r="S18" s="102"/>
      <c r="T18" s="102">
        <f>T17*$E$34</f>
        <v>16830.320699708453</v>
      </c>
      <c r="U18" s="102"/>
      <c r="V18" s="102"/>
      <c r="W18" s="102">
        <f>W17*$E$34</f>
        <v>33660.641399416905</v>
      </c>
      <c r="X18" s="102"/>
      <c r="Y18" s="102"/>
      <c r="Z18" s="102">
        <f>Z17*$E$34</f>
        <v>67321.28279883381</v>
      </c>
      <c r="AA18" s="102"/>
      <c r="AB18" s="102"/>
      <c r="AC18" s="102">
        <f>AC17*$E$34</f>
        <v>134642.56559766762</v>
      </c>
      <c r="AD18" s="102"/>
      <c r="AE18" s="102"/>
      <c r="AF18" s="102">
        <f>AF17*$E$34</f>
        <v>269285.13119533524</v>
      </c>
      <c r="AG18" s="102"/>
      <c r="AH18" s="102"/>
      <c r="AI18" s="102">
        <f>AI17*$E$34</f>
        <v>538570.26239067048</v>
      </c>
      <c r="AJ18" s="102"/>
      <c r="AK18" s="102"/>
      <c r="AL18" s="102">
        <f>AL17*$E$34</f>
        <v>1077140.524781341</v>
      </c>
      <c r="AM18" s="102"/>
      <c r="AN18" s="102"/>
      <c r="AO18" s="102">
        <f>AO17*$E$34</f>
        <v>2154281.0495626819</v>
      </c>
      <c r="AP18" s="33"/>
      <c r="AQ18" t="s">
        <v>166</v>
      </c>
    </row>
    <row r="19" spans="1:43" s="69" customFormat="1" x14ac:dyDescent="0.25">
      <c r="A19" t="s">
        <v>168</v>
      </c>
      <c r="B19" s="83">
        <f>B18</f>
        <v>262.97376093294457</v>
      </c>
      <c r="C19" s="84"/>
      <c r="D19" s="84"/>
      <c r="E19" s="84">
        <f>E18</f>
        <v>525.94752186588914</v>
      </c>
      <c r="F19" s="84"/>
      <c r="G19" s="34"/>
      <c r="H19" s="84">
        <f>H18</f>
        <v>1051.8950437317783</v>
      </c>
      <c r="I19" s="84"/>
      <c r="J19" s="84"/>
      <c r="K19" s="84">
        <f>K18</f>
        <v>2103.7900874635566</v>
      </c>
      <c r="L19" s="84"/>
      <c r="M19" s="84"/>
      <c r="N19" s="84">
        <f>N18</f>
        <v>4207.5801749271131</v>
      </c>
      <c r="O19" s="84"/>
      <c r="P19" s="84"/>
      <c r="Q19" s="84">
        <f>Q18</f>
        <v>8415.1603498542263</v>
      </c>
      <c r="R19" s="84"/>
      <c r="S19" s="84"/>
      <c r="T19" s="84">
        <f>T18</f>
        <v>16830.320699708453</v>
      </c>
      <c r="U19" s="84"/>
      <c r="V19" s="84"/>
      <c r="W19" s="118">
        <f>W18-B18</f>
        <v>33397.667638483959</v>
      </c>
      <c r="X19" s="118"/>
      <c r="Y19" s="118"/>
      <c r="Z19" s="118">
        <f>Z18-E18</f>
        <v>66795.335276967919</v>
      </c>
      <c r="AA19" s="118"/>
      <c r="AB19" s="118"/>
      <c r="AC19" s="118">
        <f>AC18-H18</f>
        <v>133590.67055393584</v>
      </c>
      <c r="AD19" s="118"/>
      <c r="AE19" s="118"/>
      <c r="AF19" s="118">
        <f>AF18-K18</f>
        <v>267181.34110787167</v>
      </c>
      <c r="AG19" s="118"/>
      <c r="AH19" s="118"/>
      <c r="AI19" s="118">
        <f>AI18-N18</f>
        <v>534362.68221574335</v>
      </c>
      <c r="AJ19" s="118"/>
      <c r="AK19" s="118"/>
      <c r="AL19" s="118">
        <f>AL18-Q18</f>
        <v>1068725.3644314867</v>
      </c>
      <c r="AM19" s="118"/>
      <c r="AN19" s="118"/>
      <c r="AO19" s="118">
        <f>AO18-T18</f>
        <v>2137450.7288629734</v>
      </c>
      <c r="AP19" s="119"/>
      <c r="AQ19" t="s">
        <v>168</v>
      </c>
    </row>
    <row r="20" spans="1:43" s="69" customFormat="1" x14ac:dyDescent="0.25">
      <c r="A20" t="s">
        <v>92</v>
      </c>
      <c r="B20" s="85"/>
      <c r="C20" s="102"/>
      <c r="D20" s="102"/>
      <c r="E20" s="102"/>
      <c r="F20" s="102"/>
      <c r="G20" s="33"/>
      <c r="H20" s="103"/>
      <c r="I20" s="104"/>
      <c r="J20" s="105"/>
      <c r="K20" s="128">
        <f>B17*(1-$E$34)</f>
        <v>28.571428571428559</v>
      </c>
      <c r="L20" s="125"/>
      <c r="M20" s="126"/>
      <c r="N20" s="127">
        <f>E17*(1-$E$34)</f>
        <v>57.142857142857117</v>
      </c>
      <c r="O20" s="125"/>
      <c r="P20" s="126"/>
      <c r="Q20" s="127">
        <f>H17*(1-$E$34)</f>
        <v>114.28571428571423</v>
      </c>
      <c r="R20" s="125"/>
      <c r="S20" s="126"/>
      <c r="T20" s="127">
        <f>K17*(1-$E$34)</f>
        <v>228.57142857142847</v>
      </c>
      <c r="U20" s="125"/>
      <c r="V20" s="126"/>
      <c r="W20" s="127">
        <f>N17*(1-$E$34)</f>
        <v>457.14285714285694</v>
      </c>
      <c r="X20" s="125"/>
      <c r="Y20" s="126"/>
      <c r="Z20" s="127">
        <f>Q17*(1-$E$34)</f>
        <v>914.28571428571388</v>
      </c>
      <c r="AA20" s="125"/>
      <c r="AB20" s="126"/>
      <c r="AC20" s="127">
        <f>T17*(1-$E$34)</f>
        <v>1828.5714285714278</v>
      </c>
      <c r="AD20" s="125"/>
      <c r="AE20" s="126"/>
      <c r="AF20" s="127">
        <f>W17*(1-$E$34)</f>
        <v>3657.1428571428555</v>
      </c>
      <c r="AG20" s="125"/>
      <c r="AH20" s="126"/>
      <c r="AI20" s="127">
        <f>Z17*(1-$E$34)</f>
        <v>7314.285714285711</v>
      </c>
      <c r="AJ20" s="125"/>
      <c r="AK20" s="126"/>
      <c r="AL20" s="127">
        <f>AC17*(1-$E$34)</f>
        <v>14628.571428571422</v>
      </c>
      <c r="AM20" s="125"/>
      <c r="AN20" s="126"/>
      <c r="AO20" s="127">
        <f>AF17*(1-$E$34)</f>
        <v>29257.142857142844</v>
      </c>
      <c r="AP20" s="76"/>
      <c r="AQ20" t="s">
        <v>92</v>
      </c>
    </row>
    <row r="21" spans="1:43" s="69" customFormat="1" x14ac:dyDescent="0.25">
      <c r="A21" s="69" t="s">
        <v>73</v>
      </c>
      <c r="B21" s="77"/>
      <c r="C21" s="78"/>
      <c r="D21" s="78"/>
      <c r="E21" s="78"/>
      <c r="F21" s="78"/>
      <c r="G21" s="79"/>
      <c r="H21" s="120">
        <f>B17-B18</f>
        <v>28.571428571428555</v>
      </c>
      <c r="I21" s="120"/>
      <c r="J21" s="120"/>
      <c r="K21" s="120">
        <f>E17-E18</f>
        <v>57.14285714285711</v>
      </c>
      <c r="L21" s="120"/>
      <c r="M21" s="120"/>
      <c r="N21" s="120">
        <f>(H17-H18)*$E$35</f>
        <v>92.571428571428527</v>
      </c>
      <c r="O21" s="120"/>
      <c r="P21" s="120"/>
      <c r="Q21" s="120">
        <f>(K17-K18)*$E$35</f>
        <v>185.14285714285705</v>
      </c>
      <c r="R21" s="120"/>
      <c r="S21" s="120"/>
      <c r="T21" s="120">
        <f>(N17-N18)*$E$35</f>
        <v>370.28571428571411</v>
      </c>
      <c r="U21" s="120"/>
      <c r="V21" s="120"/>
      <c r="W21" s="120">
        <f>((Q17-Q18)*$E$35)-(H21*$E$35)</f>
        <v>717.4285714285711</v>
      </c>
      <c r="X21" s="120"/>
      <c r="Y21" s="120"/>
      <c r="Z21" s="120">
        <f>((T17-T18)*$E$35)-(K21*$E$35)</f>
        <v>1434.8571428571422</v>
      </c>
      <c r="AA21" s="120"/>
      <c r="AB21" s="120"/>
      <c r="AC21" s="120">
        <f>((W17-W18)*$E$35)-N21</f>
        <v>2869.7142857142844</v>
      </c>
      <c r="AD21" s="120"/>
      <c r="AE21" s="120"/>
      <c r="AF21" s="120">
        <f>((Z17-Z18)*$E$35)-Q21</f>
        <v>5739.4285714285688</v>
      </c>
      <c r="AG21" s="120"/>
      <c r="AH21" s="120"/>
      <c r="AI21" s="120">
        <f>((AC17-AC18)*$E$35)-T21</f>
        <v>11478.857142857138</v>
      </c>
      <c r="AJ21" s="120"/>
      <c r="AK21" s="120"/>
      <c r="AL21" s="120">
        <f>((AF17-AF18)*$E$35)-W21</f>
        <v>22980.85714285713</v>
      </c>
      <c r="AM21" s="120"/>
      <c r="AN21" s="120"/>
      <c r="AO21" s="120">
        <f>((AI17-AI18)*$E$35)-Z21</f>
        <v>45961.714285714261</v>
      </c>
      <c r="AP21" s="121"/>
      <c r="AQ21" s="69" t="s">
        <v>73</v>
      </c>
    </row>
    <row r="22" spans="1:43" s="69" customFormat="1" x14ac:dyDescent="0.25">
      <c r="A22" s="69" t="s">
        <v>74</v>
      </c>
      <c r="B22" s="77"/>
      <c r="C22" s="78"/>
      <c r="D22" s="78"/>
      <c r="E22" s="78"/>
      <c r="F22" s="78"/>
      <c r="G22" s="79"/>
      <c r="H22" s="104"/>
      <c r="I22" s="104"/>
      <c r="J22" s="104"/>
      <c r="K22" s="104"/>
      <c r="L22" s="104"/>
      <c r="M22" s="105"/>
      <c r="N22" s="122">
        <f>(H17-H18)*($E$36+$E$37)</f>
        <v>21.714285714285701</v>
      </c>
      <c r="O22" s="122"/>
      <c r="P22" s="122"/>
      <c r="Q22" s="122">
        <f>(K17-K18)*($E$36+$E$37)</f>
        <v>43.428571428571402</v>
      </c>
      <c r="R22" s="122"/>
      <c r="S22" s="122"/>
      <c r="T22" s="122">
        <f>(N17-N18)*$E$36</f>
        <v>63.999999999999972</v>
      </c>
      <c r="U22" s="122"/>
      <c r="V22" s="122"/>
      <c r="W22" s="122">
        <f>(Q17-Q18)*$E$36</f>
        <v>127.99999999999994</v>
      </c>
      <c r="X22" s="122"/>
      <c r="Y22" s="122"/>
      <c r="Z22" s="122">
        <f>(T17-T18)*$E$36</f>
        <v>255.99999999999989</v>
      </c>
      <c r="AA22" s="122"/>
      <c r="AB22" s="122"/>
      <c r="AC22" s="122">
        <f>(W17-W18)*$E$36</f>
        <v>511.99999999999977</v>
      </c>
      <c r="AD22" s="122"/>
      <c r="AE22" s="122"/>
      <c r="AF22" s="122">
        <f>(Z17-Z18)*$E$36</f>
        <v>1023.9999999999995</v>
      </c>
      <c r="AG22" s="122"/>
      <c r="AH22" s="122"/>
      <c r="AI22" s="122">
        <f>(AC17-AC18)*$E$36</f>
        <v>2047.9999999999991</v>
      </c>
      <c r="AJ22" s="122"/>
      <c r="AK22" s="122"/>
      <c r="AL22" s="122">
        <f>(AF17-AF18)*$E$36</f>
        <v>4095.9999999999982</v>
      </c>
      <c r="AM22" s="122"/>
      <c r="AN22" s="122"/>
      <c r="AO22" s="122">
        <f>(AI17-AI18)*$E$36</f>
        <v>8191.9999999999964</v>
      </c>
      <c r="AP22" s="123"/>
      <c r="AQ22" s="69" t="s">
        <v>74</v>
      </c>
    </row>
    <row r="23" spans="1:43" s="69" customFormat="1" x14ac:dyDescent="0.25">
      <c r="A23" s="47" t="s">
        <v>75</v>
      </c>
      <c r="B23" s="77"/>
      <c r="C23" s="78"/>
      <c r="D23" s="78"/>
      <c r="E23" s="78"/>
      <c r="F23" s="78"/>
      <c r="G23" s="79"/>
      <c r="H23" s="84"/>
      <c r="I23" s="84"/>
      <c r="J23" s="84"/>
      <c r="K23" s="84"/>
      <c r="L23" s="84"/>
      <c r="M23" s="84"/>
      <c r="N23" s="104"/>
      <c r="O23" s="104"/>
      <c r="P23" s="104"/>
      <c r="Q23" s="104"/>
      <c r="R23" s="104"/>
      <c r="S23" s="105"/>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4"/>
      <c r="AQ23" s="47" t="s">
        <v>75</v>
      </c>
    </row>
    <row r="24" spans="1:43" s="69" customFormat="1" x14ac:dyDescent="0.25">
      <c r="A24" s="47" t="s">
        <v>80</v>
      </c>
      <c r="B24" s="83"/>
      <c r="C24" s="84"/>
      <c r="D24" s="84"/>
      <c r="E24" s="84"/>
      <c r="F24" s="84"/>
      <c r="G24" s="34"/>
      <c r="H24" s="84"/>
      <c r="I24" s="84"/>
      <c r="J24" s="84"/>
      <c r="K24" s="84"/>
      <c r="L24" s="84"/>
      <c r="M24" s="84"/>
      <c r="N24" s="84"/>
      <c r="O24" s="84"/>
      <c r="P24" s="84"/>
      <c r="Q24" s="84"/>
      <c r="R24" s="84"/>
      <c r="S24" s="84"/>
      <c r="T24" s="104"/>
      <c r="U24" s="105"/>
      <c r="V24" s="106">
        <f>H21*$E$35</f>
        <v>23.142857142857132</v>
      </c>
      <c r="W24" s="106"/>
      <c r="X24" s="106"/>
      <c r="Y24" s="106">
        <f>K21*$E$35</f>
        <v>46.285714285714263</v>
      </c>
      <c r="Z24" s="106"/>
      <c r="AA24" s="106"/>
      <c r="AB24" s="106">
        <f>N21</f>
        <v>92.571428571428527</v>
      </c>
      <c r="AC24" s="106"/>
      <c r="AD24" s="106"/>
      <c r="AE24" s="106">
        <f>Q21</f>
        <v>185.14285714285705</v>
      </c>
      <c r="AF24" s="106"/>
      <c r="AG24" s="106"/>
      <c r="AH24" s="106">
        <f>T21</f>
        <v>370.28571428571411</v>
      </c>
      <c r="AI24" s="106"/>
      <c r="AJ24" s="106"/>
      <c r="AK24" s="106">
        <f>W21</f>
        <v>717.4285714285711</v>
      </c>
      <c r="AL24" s="106"/>
      <c r="AM24" s="106"/>
      <c r="AN24" s="106">
        <f>Z21</f>
        <v>1434.8571428571422</v>
      </c>
      <c r="AO24" s="106"/>
      <c r="AP24" s="107"/>
      <c r="AQ24" s="47" t="s">
        <v>80</v>
      </c>
    </row>
    <row r="25" spans="1:43" x14ac:dyDescent="0.25">
      <c r="A25" s="47" t="s">
        <v>69</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69</v>
      </c>
    </row>
    <row r="26" spans="1:43" x14ac:dyDescent="0.25">
      <c r="A26" s="130" t="s">
        <v>96</v>
      </c>
      <c r="B26" s="86">
        <f t="shared" ref="B26:G26" ca="1" si="0">C26-1</f>
        <v>43892.894120254627</v>
      </c>
      <c r="C26" s="87">
        <f t="shared" ca="1" si="0"/>
        <v>43893.894120254627</v>
      </c>
      <c r="D26" s="87">
        <f t="shared" ca="1" si="0"/>
        <v>43894.894120254627</v>
      </c>
      <c r="E26" s="87">
        <f t="shared" ca="1" si="0"/>
        <v>43895.894120254627</v>
      </c>
      <c r="F26" s="87">
        <f t="shared" ca="1" si="0"/>
        <v>43896.894120254627</v>
      </c>
      <c r="G26" s="88">
        <f t="shared" ca="1" si="0"/>
        <v>43897.894120254627</v>
      </c>
      <c r="H26" s="87">
        <f t="shared" ref="H26:U26" ca="1" si="1">I26-1</f>
        <v>43898.894120254627</v>
      </c>
      <c r="I26" s="87">
        <f t="shared" ca="1" si="1"/>
        <v>43899.894120254627</v>
      </c>
      <c r="J26" s="87">
        <f t="shared" ca="1" si="1"/>
        <v>43900.894120254627</v>
      </c>
      <c r="K26" s="87">
        <f t="shared" ca="1" si="1"/>
        <v>43901.894120254627</v>
      </c>
      <c r="L26" s="87">
        <f t="shared" ca="1" si="1"/>
        <v>43902.894120254627</v>
      </c>
      <c r="M26" s="87">
        <f t="shared" ca="1" si="1"/>
        <v>43903.894120254627</v>
      </c>
      <c r="N26" s="88">
        <f t="shared" ca="1" si="1"/>
        <v>43904.894120254627</v>
      </c>
      <c r="O26" s="86">
        <f t="shared" ca="1" si="1"/>
        <v>43905.894120254627</v>
      </c>
      <c r="P26" s="87">
        <f t="shared" ca="1" si="1"/>
        <v>43906.894120254627</v>
      </c>
      <c r="Q26" s="87">
        <f t="shared" ca="1" si="1"/>
        <v>43907.894120254627</v>
      </c>
      <c r="R26" s="87">
        <f t="shared" ca="1" si="1"/>
        <v>43908.894120254627</v>
      </c>
      <c r="S26" s="87">
        <f t="shared" ca="1" si="1"/>
        <v>43909.894120254627</v>
      </c>
      <c r="T26" s="87">
        <f t="shared" ca="1" si="1"/>
        <v>43910.894120254627</v>
      </c>
      <c r="U26" s="88">
        <f t="shared" ca="1" si="1"/>
        <v>43911.894120254627</v>
      </c>
      <c r="V26" s="86">
        <f t="shared" ref="V26:AN26" ca="1" si="2">W26-1</f>
        <v>43912.894120254627</v>
      </c>
      <c r="W26" s="87">
        <f t="shared" ca="1" si="2"/>
        <v>43913.894120254627</v>
      </c>
      <c r="X26" s="87">
        <f t="shared" ca="1" si="2"/>
        <v>43914.894120254627</v>
      </c>
      <c r="Y26" s="87">
        <f t="shared" ca="1" si="2"/>
        <v>43915.894120254627</v>
      </c>
      <c r="Z26" s="87">
        <f t="shared" ca="1" si="2"/>
        <v>43916.894120254627</v>
      </c>
      <c r="AA26" s="87">
        <f t="shared" ca="1" si="2"/>
        <v>43917.894120254627</v>
      </c>
      <c r="AB26" s="88">
        <f t="shared" ca="1" si="2"/>
        <v>43918.894120254627</v>
      </c>
      <c r="AC26" s="86">
        <f t="shared" ca="1" si="2"/>
        <v>43919.894120254627</v>
      </c>
      <c r="AD26" s="87">
        <f t="shared" ca="1" si="2"/>
        <v>43920.894120254627</v>
      </c>
      <c r="AE26" s="87">
        <f t="shared" ca="1" si="2"/>
        <v>43921.894120254627</v>
      </c>
      <c r="AF26" s="87">
        <f t="shared" ca="1" si="2"/>
        <v>43922.894120254627</v>
      </c>
      <c r="AG26" s="87">
        <f t="shared" ca="1" si="2"/>
        <v>43923.894120254627</v>
      </c>
      <c r="AH26" s="87">
        <f t="shared" ca="1" si="2"/>
        <v>43924.894120254627</v>
      </c>
      <c r="AI26" s="88">
        <f t="shared" ca="1" si="2"/>
        <v>43925.894120254627</v>
      </c>
      <c r="AJ26" s="86">
        <f t="shared" ca="1" si="2"/>
        <v>43926.894120254627</v>
      </c>
      <c r="AK26" s="87">
        <f t="shared" ca="1" si="2"/>
        <v>43927.894120254627</v>
      </c>
      <c r="AL26" s="87">
        <f t="shared" ca="1" si="2"/>
        <v>43928.894120254627</v>
      </c>
      <c r="AM26" s="87">
        <f t="shared" ca="1" si="2"/>
        <v>43929.894120254627</v>
      </c>
      <c r="AN26" s="87">
        <f t="shared" ca="1" si="2"/>
        <v>43930.894120254627</v>
      </c>
      <c r="AO26" s="87">
        <f ca="1">AP26-1</f>
        <v>43931.894120254627</v>
      </c>
      <c r="AP26" s="108">
        <f ca="1">NOW()</f>
        <v>43932.894120254627</v>
      </c>
    </row>
    <row r="27" spans="1:43" x14ac:dyDescent="0.25">
      <c r="A27" s="131" t="s">
        <v>97</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98</v>
      </c>
      <c r="B28" s="247" t="s">
        <v>67</v>
      </c>
      <c r="C28" s="248"/>
      <c r="D28" s="248"/>
      <c r="E28" s="248"/>
      <c r="F28" s="248"/>
      <c r="G28" s="249"/>
      <c r="H28" s="253" t="s">
        <v>56</v>
      </c>
      <c r="I28" s="253"/>
      <c r="J28" s="253"/>
      <c r="K28" s="253"/>
      <c r="L28" s="253"/>
      <c r="M28" s="253"/>
      <c r="N28" s="254"/>
      <c r="O28" s="252" t="s">
        <v>57</v>
      </c>
      <c r="P28" s="253"/>
      <c r="Q28" s="253"/>
      <c r="R28" s="253"/>
      <c r="S28" s="253"/>
      <c r="T28" s="253"/>
      <c r="U28" s="254"/>
      <c r="V28" s="252" t="s">
        <v>58</v>
      </c>
      <c r="W28" s="253"/>
      <c r="X28" s="253"/>
      <c r="Y28" s="253"/>
      <c r="Z28" s="253"/>
      <c r="AA28" s="253"/>
      <c r="AB28" s="254"/>
      <c r="AC28" s="252" t="s">
        <v>59</v>
      </c>
      <c r="AD28" s="253"/>
      <c r="AE28" s="253"/>
      <c r="AF28" s="253"/>
      <c r="AG28" s="253"/>
      <c r="AH28" s="253"/>
      <c r="AI28" s="254"/>
      <c r="AJ28" s="252" t="s">
        <v>60</v>
      </c>
      <c r="AK28" s="253"/>
      <c r="AL28" s="253"/>
      <c r="AM28" s="253"/>
      <c r="AN28" s="253"/>
      <c r="AO28" s="253"/>
      <c r="AP28" s="254"/>
    </row>
    <row r="29" spans="1:43" x14ac:dyDescent="0.25">
      <c r="B29" s="51" t="s">
        <v>79</v>
      </c>
      <c r="C29" s="93"/>
      <c r="D29" s="93"/>
      <c r="E29" s="93"/>
      <c r="F29" s="93"/>
      <c r="G29" s="94"/>
      <c r="H29" s="250" t="s">
        <v>66</v>
      </c>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1"/>
    </row>
    <row r="31" spans="1:43" x14ac:dyDescent="0.25">
      <c r="B31" s="57" t="s">
        <v>68</v>
      </c>
      <c r="C31" s="135" t="s">
        <v>89</v>
      </c>
      <c r="D31" s="9"/>
      <c r="E31" s="82">
        <f>VLOOKUP(C31,B43:C54,2,FALSE)</f>
        <v>3.5000000000000003E-2</v>
      </c>
      <c r="F31" s="9"/>
      <c r="G31" s="9"/>
      <c r="H31" s="9"/>
      <c r="I31" s="5"/>
    </row>
    <row r="32" spans="1:43" x14ac:dyDescent="0.25">
      <c r="B32" s="41" t="s">
        <v>95</v>
      </c>
      <c r="C32" s="16"/>
      <c r="D32" s="16"/>
      <c r="E32" s="136">
        <v>1</v>
      </c>
      <c r="F32" s="16"/>
      <c r="G32" s="16"/>
      <c r="H32" s="16"/>
      <c r="I32" s="17"/>
    </row>
    <row r="33" spans="2:9" x14ac:dyDescent="0.25">
      <c r="B33" s="41" t="s">
        <v>70</v>
      </c>
      <c r="C33" s="16"/>
      <c r="D33" s="16"/>
      <c r="E33" s="16">
        <v>3</v>
      </c>
      <c r="F33" s="16" t="s">
        <v>71</v>
      </c>
      <c r="G33" s="16"/>
      <c r="H33" s="16"/>
      <c r="I33" s="17"/>
    </row>
    <row r="34" spans="2:9" x14ac:dyDescent="0.25">
      <c r="B34" s="41" t="s">
        <v>174</v>
      </c>
      <c r="C34" s="16"/>
      <c r="D34" s="16"/>
      <c r="E34" s="137">
        <f>1-Projections!B6</f>
        <v>0.90200000000000002</v>
      </c>
      <c r="F34" s="16" t="s">
        <v>202</v>
      </c>
      <c r="G34" s="16"/>
      <c r="H34" s="16"/>
      <c r="I34" s="17"/>
    </row>
    <row r="35" spans="2:9" x14ac:dyDescent="0.25">
      <c r="B35" s="41" t="s">
        <v>76</v>
      </c>
      <c r="C35" s="16"/>
      <c r="D35" s="16"/>
      <c r="E35" s="137">
        <v>0.81</v>
      </c>
      <c r="F35" s="16" t="s">
        <v>94</v>
      </c>
      <c r="G35" s="16"/>
      <c r="H35" s="16"/>
      <c r="I35" s="17"/>
    </row>
    <row r="36" spans="2:9" x14ac:dyDescent="0.25">
      <c r="B36" s="41" t="s">
        <v>77</v>
      </c>
      <c r="C36" s="16"/>
      <c r="D36" s="16"/>
      <c r="E36" s="137">
        <v>0.14000000000000001</v>
      </c>
      <c r="F36" s="16" t="s">
        <v>94</v>
      </c>
      <c r="G36" s="16"/>
      <c r="H36" s="16"/>
      <c r="I36" s="17"/>
    </row>
    <row r="37" spans="2:9" x14ac:dyDescent="0.25">
      <c r="B37" s="41" t="s">
        <v>78</v>
      </c>
      <c r="C37" s="16"/>
      <c r="D37" s="16"/>
      <c r="E37" s="137">
        <v>0.05</v>
      </c>
      <c r="F37" s="16" t="s">
        <v>94</v>
      </c>
      <c r="G37" s="16"/>
      <c r="H37" s="16"/>
      <c r="I37" s="17"/>
    </row>
    <row r="38" spans="2:9" x14ac:dyDescent="0.25">
      <c r="B38" s="41" t="s">
        <v>81</v>
      </c>
      <c r="C38" s="16"/>
      <c r="D38" s="16"/>
      <c r="E38" s="133">
        <v>2</v>
      </c>
      <c r="F38" s="16" t="s">
        <v>82</v>
      </c>
      <c r="G38" s="16"/>
      <c r="H38" s="16"/>
      <c r="I38" s="17"/>
    </row>
    <row r="39" spans="2:9" x14ac:dyDescent="0.25">
      <c r="B39" s="37" t="s">
        <v>83</v>
      </c>
      <c r="C39" s="134"/>
      <c r="D39" s="39"/>
      <c r="E39" s="113">
        <v>4</v>
      </c>
      <c r="F39" s="39" t="s">
        <v>82</v>
      </c>
      <c r="G39" s="39" t="s">
        <v>84</v>
      </c>
      <c r="H39" s="39"/>
      <c r="I39" s="63"/>
    </row>
    <row r="42" spans="2:9" x14ac:dyDescent="0.25">
      <c r="B42" t="s">
        <v>90</v>
      </c>
    </row>
    <row r="43" spans="2:9" x14ac:dyDescent="0.25">
      <c r="B43" s="4" t="s">
        <v>89</v>
      </c>
      <c r="C43" s="112">
        <v>3.5000000000000003E-2</v>
      </c>
    </row>
    <row r="44" spans="2:9" x14ac:dyDescent="0.25">
      <c r="B44" s="41" t="s">
        <v>88</v>
      </c>
      <c r="C44" s="27">
        <v>2.3E-2</v>
      </c>
    </row>
    <row r="45" spans="2:9" x14ac:dyDescent="0.25">
      <c r="B45" s="41" t="s">
        <v>201</v>
      </c>
      <c r="C45" s="27">
        <f>Projections!B13</f>
        <v>3.5000000000000003E-2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92"/>
  <sheetViews>
    <sheetView tabSelected="1" zoomScaleNormal="100" workbookViewId="0">
      <selection activeCell="S13" sqref="S13"/>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1" width="11.5703125" bestFit="1" customWidth="1"/>
    <col min="32" max="32" width="13.7109375" customWidth="1"/>
    <col min="33" max="33" width="13.28515625" bestFit="1" customWidth="1"/>
    <col min="34" max="34" width="13.28515625" customWidth="1"/>
    <col min="35" max="35" width="13.28515625" bestFit="1" customWidth="1"/>
    <col min="36" max="36" width="13.7109375" customWidth="1"/>
    <col min="37" max="37" width="13.42578125" style="69" customWidth="1"/>
    <col min="38" max="38" width="11.140625" bestFit="1" customWidth="1"/>
    <col min="39" max="39" width="12.140625" bestFit="1" customWidth="1"/>
  </cols>
  <sheetData>
    <row r="1" spans="1:37" x14ac:dyDescent="0.25">
      <c r="K1" t="s">
        <v>117</v>
      </c>
    </row>
    <row r="2" spans="1:37" x14ac:dyDescent="0.25">
      <c r="D2" s="157"/>
      <c r="E2" s="157"/>
      <c r="F2" s="69"/>
      <c r="G2" s="69"/>
      <c r="H2" s="157"/>
      <c r="I2" s="157"/>
      <c r="J2" s="69"/>
      <c r="K2" s="150">
        <v>43903</v>
      </c>
      <c r="L2" s="151" t="s">
        <v>192</v>
      </c>
      <c r="M2" s="151"/>
      <c r="N2" s="150">
        <v>43917</v>
      </c>
      <c r="S2" s="69"/>
      <c r="T2" s="69"/>
      <c r="U2" s="69"/>
      <c r="V2" s="69"/>
      <c r="W2" s="69"/>
      <c r="X2" s="69"/>
      <c r="Y2" s="69"/>
      <c r="Z2" s="69"/>
    </row>
    <row r="3" spans="1:37" x14ac:dyDescent="0.25">
      <c r="D3" s="69"/>
      <c r="E3" s="69"/>
      <c r="F3" s="157"/>
      <c r="G3" s="157"/>
      <c r="H3" s="157"/>
      <c r="I3" s="157"/>
      <c r="J3" s="69"/>
      <c r="K3" s="69"/>
      <c r="L3" s="150">
        <v>43906</v>
      </c>
      <c r="M3" s="151" t="s">
        <v>190</v>
      </c>
      <c r="N3" s="151"/>
      <c r="O3" s="150">
        <v>43920</v>
      </c>
      <c r="P3" s="69"/>
      <c r="Q3" s="69"/>
      <c r="R3" s="69"/>
      <c r="S3" s="157"/>
      <c r="T3" s="69"/>
      <c r="U3" s="69"/>
      <c r="V3" s="69"/>
      <c r="W3" s="69"/>
      <c r="X3" s="69"/>
      <c r="Y3" s="69"/>
      <c r="Z3" s="69"/>
    </row>
    <row r="4" spans="1:37" x14ac:dyDescent="0.25">
      <c r="D4" s="69"/>
      <c r="E4" s="69"/>
      <c r="F4" s="69">
        <f>(B5/1000)/281082</f>
        <v>4.9528465003095183</v>
      </c>
      <c r="G4" s="69"/>
      <c r="H4" s="69"/>
      <c r="I4" s="69"/>
      <c r="J4" s="157"/>
      <c r="K4" s="69"/>
      <c r="L4" s="157"/>
      <c r="M4" s="150">
        <v>43912</v>
      </c>
      <c r="N4" s="151" t="s">
        <v>191</v>
      </c>
      <c r="O4" s="150"/>
      <c r="P4" s="151"/>
      <c r="Q4" s="150">
        <v>43926</v>
      </c>
      <c r="R4" s="69"/>
      <c r="S4" s="69"/>
      <c r="T4" s="69"/>
      <c r="U4" s="69"/>
      <c r="V4" s="69"/>
      <c r="W4" s="69"/>
      <c r="X4" s="69"/>
      <c r="Y4" s="69"/>
      <c r="Z4" s="69"/>
      <c r="AA4" s="211"/>
    </row>
    <row r="5" spans="1:37" x14ac:dyDescent="0.25">
      <c r="A5" s="57" t="s">
        <v>178</v>
      </c>
      <c r="B5" s="283">
        <v>1392156000</v>
      </c>
      <c r="C5" t="s">
        <v>177</v>
      </c>
      <c r="D5" s="69"/>
      <c r="E5" s="69"/>
      <c r="F5" s="69"/>
      <c r="G5" s="69"/>
      <c r="H5" s="69"/>
      <c r="I5" s="69"/>
      <c r="J5" s="69"/>
      <c r="K5" s="69"/>
      <c r="L5" s="157"/>
      <c r="M5" s="157"/>
      <c r="N5" s="150">
        <v>43914</v>
      </c>
      <c r="O5" s="151" t="s">
        <v>193</v>
      </c>
      <c r="P5" s="150"/>
      <c r="Q5" s="150">
        <v>43928</v>
      </c>
      <c r="R5" s="69"/>
      <c r="S5" s="69"/>
      <c r="T5" s="69"/>
      <c r="U5" s="69"/>
      <c r="V5" s="69"/>
      <c r="W5" s="69"/>
      <c r="X5" s="69"/>
      <c r="Y5" s="69"/>
      <c r="Z5" s="69"/>
    </row>
    <row r="6" spans="1:37" x14ac:dyDescent="0.25">
      <c r="A6" s="4" t="s">
        <v>114</v>
      </c>
      <c r="B6" s="148">
        <v>9.8000000000000004E-2</v>
      </c>
      <c r="C6" t="s">
        <v>113</v>
      </c>
      <c r="D6" s="69"/>
      <c r="E6" s="69"/>
      <c r="F6" s="69"/>
      <c r="G6" s="69"/>
      <c r="H6" s="69"/>
      <c r="I6" s="69"/>
      <c r="J6" s="69"/>
      <c r="K6" s="69"/>
      <c r="L6" s="69"/>
      <c r="M6" s="157"/>
      <c r="N6" s="69"/>
      <c r="O6" s="69"/>
      <c r="P6" s="69"/>
      <c r="Q6" s="157"/>
      <c r="R6" s="285">
        <v>43935</v>
      </c>
      <c r="S6" s="286" t="s">
        <v>194</v>
      </c>
      <c r="T6" s="286"/>
      <c r="U6" s="285">
        <v>43949</v>
      </c>
      <c r="V6" s="157"/>
      <c r="W6" s="157"/>
      <c r="X6" s="157"/>
      <c r="Y6" s="69"/>
      <c r="Z6" s="69"/>
    </row>
    <row r="7" spans="1:37" x14ac:dyDescent="0.25">
      <c r="A7" s="37" t="s">
        <v>116</v>
      </c>
      <c r="B7" s="111">
        <v>0.06</v>
      </c>
      <c r="C7" s="244"/>
      <c r="D7" s="69"/>
      <c r="E7" s="69"/>
      <c r="F7" s="69"/>
      <c r="G7" s="69"/>
      <c r="H7" s="69"/>
      <c r="I7" s="69"/>
      <c r="J7" s="69"/>
      <c r="K7" s="69"/>
      <c r="L7" s="69"/>
      <c r="M7" s="69"/>
      <c r="N7" s="157"/>
      <c r="O7" s="47"/>
      <c r="P7" s="47"/>
      <c r="Q7" s="157"/>
      <c r="R7" s="69"/>
      <c r="S7" s="69"/>
      <c r="T7" s="157"/>
      <c r="U7" s="69"/>
      <c r="V7" s="69"/>
      <c r="W7" s="157"/>
      <c r="X7" s="157"/>
      <c r="Y7" s="69"/>
      <c r="Z7" s="69"/>
    </row>
    <row r="8" spans="1:37" x14ac:dyDescent="0.25">
      <c r="A8" s="41" t="s">
        <v>195</v>
      </c>
      <c r="B8" s="284">
        <v>0.53</v>
      </c>
      <c r="C8" s="64">
        <f>((B5/1000)*B8)-(((B5/1000)*B8)*B9)</f>
        <v>689882.90580000007</v>
      </c>
      <c r="D8" s="69" t="s">
        <v>198</v>
      </c>
      <c r="E8" s="69"/>
      <c r="F8" s="69"/>
      <c r="G8" s="69"/>
      <c r="H8" s="69"/>
      <c r="I8" s="69"/>
      <c r="J8" s="69"/>
      <c r="K8" s="69"/>
      <c r="L8" s="69"/>
      <c r="M8" s="157"/>
      <c r="N8" s="157"/>
      <c r="O8" s="157"/>
      <c r="P8" s="69"/>
      <c r="Q8" s="69"/>
      <c r="R8" s="69"/>
      <c r="S8" s="69"/>
      <c r="T8" s="69"/>
      <c r="U8" s="157"/>
      <c r="V8" s="69"/>
      <c r="W8" s="69"/>
      <c r="X8" s="157"/>
      <c r="Y8" s="69"/>
      <c r="Z8" s="69"/>
    </row>
    <row r="9" spans="1:37" x14ac:dyDescent="0.25">
      <c r="A9" s="37" t="s">
        <v>196</v>
      </c>
      <c r="B9" s="287">
        <v>6.5000000000000002E-2</v>
      </c>
      <c r="C9" s="61">
        <f>((B5/1000)*B8)*B9</f>
        <v>47959.774200000007</v>
      </c>
      <c r="D9" s="159">
        <f>C9/(B5/100000)</f>
        <v>3.4450000000000007</v>
      </c>
      <c r="E9" s="69" t="s">
        <v>197</v>
      </c>
      <c r="F9" s="69"/>
      <c r="G9" s="69" t="s">
        <v>199</v>
      </c>
      <c r="H9" s="69"/>
      <c r="I9" s="69"/>
      <c r="J9" s="69"/>
      <c r="K9" s="69"/>
      <c r="L9" s="69"/>
      <c r="M9" s="69"/>
      <c r="N9" s="69"/>
      <c r="O9" s="157"/>
      <c r="P9" s="69"/>
      <c r="Q9" s="69"/>
      <c r="R9" s="157"/>
      <c r="S9" s="69"/>
      <c r="T9" s="69"/>
      <c r="U9" s="69"/>
      <c r="V9" s="157"/>
      <c r="W9" s="69"/>
      <c r="X9" s="69"/>
      <c r="Y9" s="157"/>
      <c r="Z9" s="69"/>
    </row>
    <row r="10" spans="1:37" x14ac:dyDescent="0.25">
      <c r="A10" s="4" t="s">
        <v>73</v>
      </c>
      <c r="B10" s="109">
        <v>0.81</v>
      </c>
      <c r="C10" s="2"/>
      <c r="D10" s="69"/>
      <c r="E10" s="69"/>
      <c r="F10" s="69"/>
      <c r="G10" s="69"/>
      <c r="H10" s="69"/>
      <c r="I10" s="69"/>
      <c r="J10" s="69"/>
      <c r="K10" s="69"/>
      <c r="L10" s="69"/>
      <c r="M10" s="69"/>
      <c r="N10" s="69"/>
      <c r="O10" s="69"/>
      <c r="P10" s="143"/>
      <c r="Q10" s="69"/>
      <c r="R10" s="157"/>
      <c r="S10" s="69"/>
      <c r="T10" s="69"/>
      <c r="U10" s="69"/>
      <c r="V10" s="157"/>
      <c r="W10" s="69"/>
      <c r="X10" s="69"/>
      <c r="Y10" s="69"/>
      <c r="Z10" s="69"/>
    </row>
    <row r="11" spans="1:37" x14ac:dyDescent="0.25">
      <c r="A11" s="41" t="s">
        <v>74</v>
      </c>
      <c r="B11" s="110">
        <v>0.14000000000000001</v>
      </c>
      <c r="C11" s="2"/>
      <c r="D11" s="69"/>
      <c r="E11" s="69"/>
      <c r="F11" s="69"/>
      <c r="G11" s="69"/>
      <c r="H11" s="69"/>
      <c r="I11" s="69"/>
      <c r="J11" s="69"/>
      <c r="K11" s="69"/>
      <c r="L11" s="69"/>
      <c r="M11" s="69"/>
      <c r="N11" s="69"/>
      <c r="O11" s="47"/>
      <c r="P11" s="69"/>
      <c r="Q11" s="157"/>
      <c r="R11" s="231"/>
      <c r="S11" s="157"/>
      <c r="T11" s="69"/>
      <c r="U11" s="69"/>
      <c r="V11" s="157"/>
      <c r="W11" s="69"/>
      <c r="X11" s="69"/>
      <c r="Y11" s="69"/>
      <c r="Z11" s="69"/>
    </row>
    <row r="12" spans="1:37" x14ac:dyDescent="0.25">
      <c r="A12" s="37" t="s">
        <v>109</v>
      </c>
      <c r="B12" s="111">
        <v>0.05</v>
      </c>
      <c r="C12" s="2"/>
      <c r="D12" s="206" t="s">
        <v>170</v>
      </c>
      <c r="N12" s="16"/>
      <c r="O12" s="16"/>
      <c r="P12" s="16"/>
      <c r="Q12" s="268"/>
      <c r="R12" s="189"/>
      <c r="S12" s="16"/>
      <c r="V12" s="211"/>
      <c r="AC12" s="167"/>
      <c r="AD12" s="167"/>
      <c r="AE12" s="167"/>
      <c r="AF12" s="167"/>
      <c r="AG12" s="167"/>
      <c r="AH12" s="167"/>
      <c r="AI12" s="167"/>
    </row>
    <row r="13" spans="1:37" x14ac:dyDescent="0.25">
      <c r="A13" s="37" t="s">
        <v>115</v>
      </c>
      <c r="B13" s="65">
        <v>3.5000000000000003E-2</v>
      </c>
      <c r="C13" s="2"/>
      <c r="D13" t="s">
        <v>162</v>
      </c>
      <c r="O13" s="268"/>
      <c r="P13" s="16"/>
      <c r="Q13" s="16"/>
      <c r="R13" s="268"/>
      <c r="S13" s="16"/>
      <c r="V13" s="211"/>
      <c r="AB13" s="168"/>
    </row>
    <row r="14" spans="1:37" x14ac:dyDescent="0.25">
      <c r="A14" s="146" t="s">
        <v>102</v>
      </c>
      <c r="B14" s="147">
        <v>43860</v>
      </c>
      <c r="C14" s="2"/>
      <c r="D14" s="168">
        <f>(AD17-J17)/(LOG(AD18/J18)/LOG(2))</f>
        <v>4.8</v>
      </c>
      <c r="E14" s="167"/>
      <c r="M14" s="16"/>
      <c r="N14" s="16"/>
      <c r="O14" s="16"/>
      <c r="P14" s="16"/>
      <c r="Q14" s="16"/>
      <c r="R14" s="16"/>
      <c r="S14" s="16"/>
    </row>
    <row r="15" spans="1:37" x14ac:dyDescent="0.25">
      <c r="A15" s="16"/>
      <c r="B15" s="50" t="s">
        <v>53</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K15" s="145"/>
    </row>
    <row r="16" spans="1:37" x14ac:dyDescent="0.25">
      <c r="A16" s="53" t="s">
        <v>41</v>
      </c>
      <c r="B16" s="183">
        <v>43895</v>
      </c>
      <c r="C16" s="183">
        <v>43910</v>
      </c>
      <c r="D16" s="183">
        <v>43926</v>
      </c>
      <c r="E16" s="183"/>
      <c r="F16" s="183"/>
      <c r="G16" s="183"/>
      <c r="H16" s="183"/>
      <c r="I16" s="183"/>
      <c r="K16" s="130" t="s">
        <v>187</v>
      </c>
      <c r="L16" s="16"/>
      <c r="M16" s="16"/>
      <c r="N16" s="16"/>
      <c r="O16" s="16"/>
      <c r="P16" s="16"/>
      <c r="Q16" s="16"/>
      <c r="R16" s="16"/>
      <c r="S16" s="174"/>
      <c r="T16" s="16"/>
      <c r="U16" s="16"/>
      <c r="V16" s="16"/>
      <c r="X16" s="16"/>
      <c r="Y16" s="16"/>
      <c r="Z16" s="16"/>
      <c r="AA16" s="16"/>
      <c r="AE16" s="206"/>
      <c r="AF16" t="s">
        <v>171</v>
      </c>
      <c r="AK16" s="246" t="s">
        <v>176</v>
      </c>
    </row>
    <row r="17" spans="1:40" x14ac:dyDescent="0.25">
      <c r="A17" s="4" t="s">
        <v>11</v>
      </c>
      <c r="B17" s="81">
        <v>5</v>
      </c>
      <c r="C17" s="149">
        <v>4</v>
      </c>
      <c r="D17" s="81">
        <v>5</v>
      </c>
      <c r="E17" s="214"/>
      <c r="F17" s="214"/>
      <c r="G17" s="214"/>
      <c r="H17" s="214"/>
      <c r="I17" s="214"/>
      <c r="J17" s="269">
        <v>43895</v>
      </c>
      <c r="K17" s="205">
        <f t="shared" ref="K17:AJ17" si="0">J17+HLOOKUP(J17+1, $B$16:$I$17,2,TRUE)</f>
        <v>43900</v>
      </c>
      <c r="L17" s="205">
        <f t="shared" si="0"/>
        <v>43905</v>
      </c>
      <c r="M17" s="205">
        <f t="shared" si="0"/>
        <v>43910</v>
      </c>
      <c r="N17" s="224">
        <f t="shared" si="0"/>
        <v>43914</v>
      </c>
      <c r="O17" s="224">
        <f t="shared" si="0"/>
        <v>43918</v>
      </c>
      <c r="P17" s="224">
        <f t="shared" si="0"/>
        <v>43922</v>
      </c>
      <c r="Q17" s="224">
        <f t="shared" si="0"/>
        <v>43926</v>
      </c>
      <c r="R17" s="205">
        <f t="shared" si="0"/>
        <v>43931</v>
      </c>
      <c r="S17" s="205">
        <f t="shared" si="0"/>
        <v>43936</v>
      </c>
      <c r="T17" s="205">
        <f t="shared" si="0"/>
        <v>43941</v>
      </c>
      <c r="U17" s="205">
        <f t="shared" si="0"/>
        <v>43946</v>
      </c>
      <c r="V17" s="205">
        <f t="shared" si="0"/>
        <v>43951</v>
      </c>
      <c r="W17" s="205">
        <f t="shared" si="0"/>
        <v>43956</v>
      </c>
      <c r="X17" s="205">
        <f t="shared" si="0"/>
        <v>43961</v>
      </c>
      <c r="Y17" s="205">
        <f t="shared" si="0"/>
        <v>43966</v>
      </c>
      <c r="Z17" s="205">
        <f t="shared" si="0"/>
        <v>43971</v>
      </c>
      <c r="AA17" s="205">
        <f t="shared" si="0"/>
        <v>43976</v>
      </c>
      <c r="AB17" s="205">
        <f t="shared" si="0"/>
        <v>43981</v>
      </c>
      <c r="AC17" s="205">
        <f t="shared" si="0"/>
        <v>43986</v>
      </c>
      <c r="AD17" s="205">
        <f t="shared" ref="AD17" si="1">AC17+HLOOKUP(AC17+1, $B$16:$I$17,2,TRUE)</f>
        <v>43991</v>
      </c>
      <c r="AE17" s="205">
        <f t="shared" ref="AE17" si="2">AD17+HLOOKUP(AD17+1, $B$16:$I$17,2,TRUE)</f>
        <v>43996</v>
      </c>
      <c r="AF17" s="232">
        <f t="shared" si="0"/>
        <v>44001</v>
      </c>
      <c r="AG17" s="225">
        <f t="shared" si="0"/>
        <v>44006</v>
      </c>
      <c r="AH17" s="225">
        <f t="shared" si="0"/>
        <v>44011</v>
      </c>
      <c r="AI17" s="233">
        <f>AG17+HLOOKUP(AG17+1, $B$16:$I$17,2,TRUE)</f>
        <v>44011</v>
      </c>
      <c r="AJ17" s="233">
        <f t="shared" si="0"/>
        <v>44016</v>
      </c>
      <c r="AK17" s="245">
        <f>AJ17+(7*8)</f>
        <v>44072</v>
      </c>
      <c r="AL17" s="70"/>
      <c r="AM17" s="70"/>
      <c r="AN17" s="69"/>
    </row>
    <row r="18" spans="1:40" x14ac:dyDescent="0.25">
      <c r="A18" s="41" t="s">
        <v>107</v>
      </c>
      <c r="B18" s="16"/>
      <c r="C18" s="16"/>
      <c r="D18" s="16"/>
      <c r="E18" s="16"/>
      <c r="F18" s="16"/>
      <c r="G18" s="16"/>
      <c r="H18" s="16"/>
      <c r="I18" s="16"/>
      <c r="J18" s="223">
        <v>30</v>
      </c>
      <c r="K18" s="217">
        <f>J18*2</f>
        <v>60</v>
      </c>
      <c r="L18" s="217">
        <f t="shared" ref="L18:Z18" si="3">K18*2</f>
        <v>120</v>
      </c>
      <c r="M18" s="217">
        <f t="shared" si="3"/>
        <v>240</v>
      </c>
      <c r="N18" s="217">
        <f t="shared" si="3"/>
        <v>480</v>
      </c>
      <c r="O18" s="217">
        <f t="shared" si="3"/>
        <v>960</v>
      </c>
      <c r="P18" s="217">
        <f t="shared" si="3"/>
        <v>1920</v>
      </c>
      <c r="Q18" s="217">
        <f t="shared" si="3"/>
        <v>3840</v>
      </c>
      <c r="R18" s="217">
        <f t="shared" si="3"/>
        <v>7680</v>
      </c>
      <c r="S18" s="217">
        <f>R18*2</f>
        <v>15360</v>
      </c>
      <c r="T18" s="217">
        <f>S18*2</f>
        <v>30720</v>
      </c>
      <c r="U18" s="217">
        <f>T18*2</f>
        <v>61440</v>
      </c>
      <c r="V18" s="217">
        <f>U18*2</f>
        <v>122880</v>
      </c>
      <c r="W18" s="217">
        <f t="shared" si="3"/>
        <v>245760</v>
      </c>
      <c r="X18" s="217">
        <f t="shared" si="3"/>
        <v>491520</v>
      </c>
      <c r="Y18" s="217">
        <f t="shared" si="3"/>
        <v>983040</v>
      </c>
      <c r="Z18" s="217">
        <f t="shared" si="3"/>
        <v>1966080</v>
      </c>
      <c r="AA18" s="217">
        <f>Z18*2</f>
        <v>3932160</v>
      </c>
      <c r="AB18" s="217">
        <f>AA18*2</f>
        <v>7864320</v>
      </c>
      <c r="AC18" s="217">
        <f>AB18*2</f>
        <v>15728640</v>
      </c>
      <c r="AD18" s="217">
        <f t="shared" ref="AD18:AH18" si="4">AC18*2</f>
        <v>31457280</v>
      </c>
      <c r="AE18" s="217">
        <f t="shared" si="4"/>
        <v>62914560</v>
      </c>
      <c r="AF18" s="236">
        <f t="shared" si="4"/>
        <v>125829120</v>
      </c>
      <c r="AG18" s="190">
        <f t="shared" si="4"/>
        <v>251658240</v>
      </c>
      <c r="AH18" s="190">
        <f t="shared" si="4"/>
        <v>503316480</v>
      </c>
      <c r="AI18" s="191">
        <f>AH18*2</f>
        <v>1006632960</v>
      </c>
      <c r="AJ18" s="190">
        <f>B5</f>
        <v>1392156000</v>
      </c>
      <c r="AK18" s="238">
        <f>B5*AK19</f>
        <v>83529360</v>
      </c>
      <c r="AL18" s="45"/>
      <c r="AM18" s="45"/>
      <c r="AN18" s="69"/>
    </row>
    <row r="19" spans="1:40" x14ac:dyDescent="0.25">
      <c r="A19" s="41" t="s">
        <v>108</v>
      </c>
      <c r="B19" s="16"/>
      <c r="C19" s="16"/>
      <c r="D19" s="16"/>
      <c r="E19" s="16"/>
      <c r="F19" s="16"/>
      <c r="G19" s="16"/>
      <c r="H19" s="16"/>
      <c r="I19" s="16"/>
      <c r="J19" s="212">
        <f t="shared" ref="J19:Z19" si="5">J18/$B$5</f>
        <v>2.154930912914932E-8</v>
      </c>
      <c r="K19" s="213">
        <f t="shared" si="5"/>
        <v>4.3098618258298639E-8</v>
      </c>
      <c r="L19" s="213">
        <f t="shared" si="5"/>
        <v>8.6197236516597278E-8</v>
      </c>
      <c r="M19" s="187">
        <f t="shared" si="5"/>
        <v>1.7239447303319456E-7</v>
      </c>
      <c r="N19" s="187">
        <f t="shared" si="5"/>
        <v>3.4478894606638911E-7</v>
      </c>
      <c r="O19" s="187">
        <f t="shared" si="5"/>
        <v>6.8957789213277823E-7</v>
      </c>
      <c r="P19" s="187">
        <f t="shared" si="5"/>
        <v>1.3791557842655565E-6</v>
      </c>
      <c r="Q19" s="66">
        <f t="shared" si="5"/>
        <v>2.7583115685311129E-6</v>
      </c>
      <c r="R19" s="36">
        <f t="shared" si="5"/>
        <v>5.5166231370622258E-6</v>
      </c>
      <c r="S19" s="36">
        <f>S18/$B$5</f>
        <v>1.1033246274124452E-5</v>
      </c>
      <c r="T19" s="36">
        <f>T18/$B$5</f>
        <v>2.2066492548248903E-5</v>
      </c>
      <c r="U19" s="36">
        <f>U18/$B$5</f>
        <v>4.4132985096497806E-5</v>
      </c>
      <c r="V19" s="36">
        <f>V18/$B$5</f>
        <v>8.8265970192995613E-5</v>
      </c>
      <c r="W19" s="14">
        <f t="shared" si="5"/>
        <v>1.7653194038599123E-4</v>
      </c>
      <c r="X19" s="14">
        <f t="shared" si="5"/>
        <v>3.5306388077198245E-4</v>
      </c>
      <c r="Y19" s="14">
        <f t="shared" si="5"/>
        <v>7.061277615439649E-4</v>
      </c>
      <c r="Z19" s="14">
        <f t="shared" si="5"/>
        <v>1.4122555230879298E-3</v>
      </c>
      <c r="AA19" s="15">
        <f>AA18/$B$5</f>
        <v>2.8245110461758596E-3</v>
      </c>
      <c r="AB19" s="15">
        <f>AB18/$B$5</f>
        <v>5.6490220923517192E-3</v>
      </c>
      <c r="AC19" s="15">
        <f>AC18/$B$5</f>
        <v>1.1298044184703438E-2</v>
      </c>
      <c r="AD19" s="15">
        <f t="shared" ref="AD19:AI19" si="6">AD18/$B$5</f>
        <v>2.2596088369406877E-2</v>
      </c>
      <c r="AE19" s="15">
        <f t="shared" si="6"/>
        <v>4.5192176738813754E-2</v>
      </c>
      <c r="AF19" s="235">
        <f t="shared" si="6"/>
        <v>9.0384353477627508E-2</v>
      </c>
      <c r="AG19" s="169">
        <f t="shared" si="6"/>
        <v>0.18076870695525502</v>
      </c>
      <c r="AH19" s="169">
        <f t="shared" ref="AH19" si="7">AH18/$B$5</f>
        <v>0.36153741391051003</v>
      </c>
      <c r="AI19" s="170">
        <f t="shared" si="6"/>
        <v>0.72307482782102006</v>
      </c>
      <c r="AJ19" s="169">
        <f>AJ18/$B$5</f>
        <v>1</v>
      </c>
      <c r="AK19" s="239">
        <f>B7</f>
        <v>0.06</v>
      </c>
      <c r="AL19" s="25"/>
      <c r="AM19" s="25"/>
      <c r="AN19" s="69"/>
    </row>
    <row r="20" spans="1:40" x14ac:dyDescent="0.25">
      <c r="A20" s="41" t="s">
        <v>158</v>
      </c>
      <c r="B20" s="16"/>
      <c r="C20" s="16"/>
      <c r="D20" s="16"/>
      <c r="E20" s="16"/>
      <c r="F20" s="16"/>
      <c r="G20" s="16"/>
      <c r="H20" s="16"/>
      <c r="I20" s="16"/>
      <c r="J20" s="196">
        <f t="shared" ref="J20:S20" si="8">MAX(J18-(J26-J27)-(J28-J29)-(J30-J31),0)</f>
        <v>23.766129564011877</v>
      </c>
      <c r="K20" s="197">
        <f t="shared" si="8"/>
        <v>49.866135481904664</v>
      </c>
      <c r="L20" s="197">
        <f t="shared" si="8"/>
        <v>103.52625208919129</v>
      </c>
      <c r="M20" s="197">
        <f t="shared" si="8"/>
        <v>213.22005146760327</v>
      </c>
      <c r="N20" s="197">
        <f>MAX(N18-(N26-N27)-(N28-N29)-(N30-N31),0)</f>
        <v>429.78000000000003</v>
      </c>
      <c r="O20" s="197">
        <f t="shared" si="8"/>
        <v>870.23788929917646</v>
      </c>
      <c r="P20" s="197">
        <f t="shared" si="8"/>
        <v>1782.1759685448599</v>
      </c>
      <c r="Q20" s="197">
        <f t="shared" si="8"/>
        <v>3572.5589235489224</v>
      </c>
      <c r="R20" s="197">
        <f t="shared" si="8"/>
        <v>6993.8982323847158</v>
      </c>
      <c r="S20" s="197">
        <f t="shared" si="8"/>
        <v>13738.035605677185</v>
      </c>
      <c r="T20" s="197">
        <f>MAX(T18-(T26-T27)-(T28-T29)-(T30-T31),0)</f>
        <v>26384.898239908267</v>
      </c>
      <c r="U20" s="197">
        <f t="shared" ref="U20:AJ20" si="9">MAX(U18-(U26-U27)-(U28-U29)-(U30-U31),0)</f>
        <v>53802.269150738764</v>
      </c>
      <c r="V20" s="197">
        <f t="shared" si="9"/>
        <v>107636.41277770097</v>
      </c>
      <c r="W20" s="197">
        <f t="shared" si="9"/>
        <v>215296.09521298265</v>
      </c>
      <c r="X20" s="197">
        <f t="shared" si="9"/>
        <v>430651.85654738272</v>
      </c>
      <c r="Y20" s="197">
        <f t="shared" si="9"/>
        <v>861359.22820530483</v>
      </c>
      <c r="Z20" s="197">
        <f t="shared" si="9"/>
        <v>1722704.4613265414</v>
      </c>
      <c r="AA20" s="197">
        <f t="shared" si="9"/>
        <v>3445990.1267154268</v>
      </c>
      <c r="AB20" s="197">
        <f t="shared" si="9"/>
        <v>6892561.1849945337</v>
      </c>
      <c r="AC20" s="197">
        <f t="shared" si="9"/>
        <v>13786127.489932111</v>
      </c>
      <c r="AD20" s="197">
        <f t="shared" ref="AD20:AI20" si="10">MAX(AD18-(AD26-AD27)-(AD28-AD29)-(AD30-AD31),0)</f>
        <v>27574011.841523096</v>
      </c>
      <c r="AE20" s="197">
        <f t="shared" si="10"/>
        <v>55151121.551530495</v>
      </c>
      <c r="AF20" s="236">
        <f t="shared" si="10"/>
        <v>110307747.45497233</v>
      </c>
      <c r="AG20" s="190">
        <f t="shared" si="10"/>
        <v>220625341.21935904</v>
      </c>
      <c r="AH20" s="190">
        <f t="shared" ref="AH20" si="11">MAX(AH18-(AH26-AH27)-(AH28-AH29)-(AH30-AH31),0)</f>
        <v>441268401.50125134</v>
      </c>
      <c r="AI20" s="191">
        <f t="shared" si="10"/>
        <v>944584881.50125146</v>
      </c>
      <c r="AJ20" s="190">
        <f t="shared" si="9"/>
        <v>1268091901.0471966</v>
      </c>
      <c r="AK20" s="240"/>
      <c r="AL20" s="45"/>
      <c r="AM20" s="45"/>
      <c r="AN20" s="69"/>
    </row>
    <row r="21" spans="1:40" x14ac:dyDescent="0.25">
      <c r="A21" s="41" t="s">
        <v>172</v>
      </c>
      <c r="B21" s="16"/>
      <c r="C21" s="16"/>
      <c r="D21" s="16"/>
      <c r="E21" s="16"/>
      <c r="F21" s="16"/>
      <c r="G21" s="16"/>
      <c r="H21" s="16"/>
      <c r="I21" s="16"/>
      <c r="J21" s="77">
        <f>J18-J20</f>
        <v>6.2338704359881234</v>
      </c>
      <c r="K21" s="78">
        <f>K18-K20</f>
        <v>10.133864518095336</v>
      </c>
      <c r="L21" s="78">
        <f t="shared" ref="L21:AJ21" si="12">L18-L20</f>
        <v>16.473747910808711</v>
      </c>
      <c r="M21" s="218">
        <f>M18-M20</f>
        <v>26.77994853239673</v>
      </c>
      <c r="N21" s="218">
        <f>N18-N20</f>
        <v>50.21999999999997</v>
      </c>
      <c r="O21" s="218">
        <f t="shared" si="12"/>
        <v>89.762110700823541</v>
      </c>
      <c r="P21" s="218">
        <f t="shared" si="12"/>
        <v>137.82403145514013</v>
      </c>
      <c r="Q21" s="218">
        <f t="shared" si="12"/>
        <v>267.44107645107761</v>
      </c>
      <c r="R21" s="218">
        <f t="shared" si="12"/>
        <v>686.10176761528419</v>
      </c>
      <c r="S21" s="218">
        <f t="shared" si="12"/>
        <v>1621.9643943228148</v>
      </c>
      <c r="T21" s="218">
        <f t="shared" si="12"/>
        <v>4335.101760091733</v>
      </c>
      <c r="U21" s="218">
        <f t="shared" si="12"/>
        <v>7637.7308492612356</v>
      </c>
      <c r="V21" s="218">
        <f t="shared" si="12"/>
        <v>15243.587222299029</v>
      </c>
      <c r="W21" s="218">
        <f t="shared" si="12"/>
        <v>30463.904787017353</v>
      </c>
      <c r="X21" s="218">
        <f t="shared" si="12"/>
        <v>60868.143452617282</v>
      </c>
      <c r="Y21" s="218">
        <f t="shared" si="12"/>
        <v>121680.77179469517</v>
      </c>
      <c r="Z21" s="218">
        <f t="shared" si="12"/>
        <v>243375.53867345862</v>
      </c>
      <c r="AA21" s="218">
        <f t="shared" si="12"/>
        <v>486169.8732845732</v>
      </c>
      <c r="AB21" s="218">
        <f t="shared" si="12"/>
        <v>971758.81500546634</v>
      </c>
      <c r="AC21" s="218">
        <f t="shared" si="12"/>
        <v>1942512.5100678895</v>
      </c>
      <c r="AD21" s="218">
        <f t="shared" ref="AD21:AI21" si="13">AD18-AD20</f>
        <v>3883268.158476904</v>
      </c>
      <c r="AE21" s="218">
        <f t="shared" si="13"/>
        <v>7763438.4484695047</v>
      </c>
      <c r="AF21" s="271">
        <f t="shared" si="13"/>
        <v>15521372.545027673</v>
      </c>
      <c r="AG21" s="207">
        <f t="shared" si="13"/>
        <v>31032898.78064096</v>
      </c>
      <c r="AH21" s="207">
        <f t="shared" ref="AH21" si="14">AH18-AH20</f>
        <v>62048078.49874866</v>
      </c>
      <c r="AI21" s="208">
        <f t="shared" si="13"/>
        <v>62048078.498748541</v>
      </c>
      <c r="AJ21" s="207">
        <f t="shared" si="12"/>
        <v>124064098.95280337</v>
      </c>
      <c r="AK21" s="241"/>
      <c r="AL21" s="25"/>
      <c r="AM21" s="25"/>
      <c r="AN21" s="69"/>
    </row>
    <row r="22" spans="1:40" x14ac:dyDescent="0.25">
      <c r="A22" s="4" t="s">
        <v>165</v>
      </c>
      <c r="B22" s="9"/>
      <c r="C22" s="9"/>
      <c r="D22" s="9"/>
      <c r="E22" s="9"/>
      <c r="F22" s="9"/>
      <c r="G22" s="9"/>
      <c r="H22" s="9"/>
      <c r="I22" s="5"/>
      <c r="J22" s="203">
        <f t="shared" ref="J22:AE22" si="15">J18/$B$6</f>
        <v>306.12244897959181</v>
      </c>
      <c r="K22" s="204">
        <f t="shared" si="15"/>
        <v>612.24489795918362</v>
      </c>
      <c r="L22" s="204">
        <f t="shared" si="15"/>
        <v>1224.4897959183672</v>
      </c>
      <c r="M22" s="204">
        <f t="shared" si="15"/>
        <v>2448.9795918367345</v>
      </c>
      <c r="N22" s="204">
        <f t="shared" si="15"/>
        <v>4897.9591836734689</v>
      </c>
      <c r="O22" s="204">
        <f t="shared" si="15"/>
        <v>9795.9183673469379</v>
      </c>
      <c r="P22" s="204">
        <f t="shared" si="15"/>
        <v>19591.836734693876</v>
      </c>
      <c r="Q22" s="204">
        <f t="shared" si="15"/>
        <v>39183.673469387752</v>
      </c>
      <c r="R22" s="204">
        <f t="shared" si="15"/>
        <v>78367.346938775503</v>
      </c>
      <c r="S22" s="204">
        <f t="shared" si="15"/>
        <v>156734.69387755101</v>
      </c>
      <c r="T22" s="204">
        <f t="shared" si="15"/>
        <v>313469.38775510201</v>
      </c>
      <c r="U22" s="204">
        <f t="shared" si="15"/>
        <v>626938.77551020402</v>
      </c>
      <c r="V22" s="204">
        <f t="shared" si="15"/>
        <v>1253877.551020408</v>
      </c>
      <c r="W22" s="204">
        <f t="shared" si="15"/>
        <v>2507755.1020408161</v>
      </c>
      <c r="X22" s="204">
        <f t="shared" si="15"/>
        <v>5015510.2040816322</v>
      </c>
      <c r="Y22" s="204">
        <f t="shared" si="15"/>
        <v>10031020.408163264</v>
      </c>
      <c r="Z22" s="204">
        <f t="shared" si="15"/>
        <v>20062040.816326529</v>
      </c>
      <c r="AA22" s="204">
        <f t="shared" si="15"/>
        <v>40124081.632653058</v>
      </c>
      <c r="AB22" s="204">
        <f t="shared" si="15"/>
        <v>80248163.265306115</v>
      </c>
      <c r="AC22" s="204">
        <f t="shared" si="15"/>
        <v>160496326.53061223</v>
      </c>
      <c r="AD22" s="204">
        <f t="shared" si="15"/>
        <v>320992653.06122446</v>
      </c>
      <c r="AE22" s="204">
        <f t="shared" si="15"/>
        <v>641985306.12244892</v>
      </c>
      <c r="AF22" s="234">
        <f t="shared" ref="AF22" si="16">AF18/$B$6</f>
        <v>1283970612.2448978</v>
      </c>
      <c r="AG22" s="200">
        <f t="shared" ref="AG22:AI22" si="17">$B$5</f>
        <v>1392156000</v>
      </c>
      <c r="AH22" s="200">
        <f t="shared" si="17"/>
        <v>1392156000</v>
      </c>
      <c r="AI22" s="201">
        <f t="shared" si="17"/>
        <v>1392156000</v>
      </c>
      <c r="AJ22" s="190">
        <f>AJ18</f>
        <v>1392156000</v>
      </c>
      <c r="AK22" s="240">
        <f>($B$5*$B$7)/$B$6</f>
        <v>852340408.16326523</v>
      </c>
      <c r="AL22" s="25"/>
      <c r="AM22" s="25"/>
      <c r="AN22" s="69"/>
    </row>
    <row r="23" spans="1:40" x14ac:dyDescent="0.25">
      <c r="A23" s="41" t="s">
        <v>112</v>
      </c>
      <c r="B23" s="16"/>
      <c r="C23" s="16"/>
      <c r="D23" s="16"/>
      <c r="E23" s="16"/>
      <c r="F23" s="16"/>
      <c r="G23" s="16"/>
      <c r="H23" s="16"/>
      <c r="I23" s="17"/>
      <c r="J23" s="186">
        <f>J22/$B$5</f>
        <v>2.1989090948111549E-7</v>
      </c>
      <c r="K23" s="187">
        <f t="shared" ref="K23:AB23" si="18">K22/$B$5</f>
        <v>4.3978181896223098E-7</v>
      </c>
      <c r="L23" s="187">
        <f t="shared" si="18"/>
        <v>8.7956363792446196E-7</v>
      </c>
      <c r="M23" s="66">
        <f t="shared" si="18"/>
        <v>1.7591272758489239E-6</v>
      </c>
      <c r="N23" s="66">
        <f t="shared" si="18"/>
        <v>3.5182545516978478E-6</v>
      </c>
      <c r="O23" s="66">
        <f t="shared" si="18"/>
        <v>7.0365091033956957E-6</v>
      </c>
      <c r="P23" s="66">
        <f t="shared" si="18"/>
        <v>1.4073018206791391E-5</v>
      </c>
      <c r="Q23" s="66">
        <f t="shared" si="18"/>
        <v>2.8146036413582783E-5</v>
      </c>
      <c r="R23" s="36">
        <f t="shared" si="18"/>
        <v>5.6292072827165565E-5</v>
      </c>
      <c r="S23" s="36">
        <f t="shared" si="18"/>
        <v>1.1258414565433113E-4</v>
      </c>
      <c r="T23" s="36">
        <f t="shared" si="18"/>
        <v>2.2516829130866226E-4</v>
      </c>
      <c r="U23" s="36">
        <f t="shared" si="18"/>
        <v>4.5033658261732452E-4</v>
      </c>
      <c r="V23" s="14">
        <f t="shared" si="18"/>
        <v>9.0067316523464904E-4</v>
      </c>
      <c r="W23" s="15">
        <f t="shared" si="18"/>
        <v>1.8013463304692981E-3</v>
      </c>
      <c r="X23" s="15">
        <f t="shared" si="18"/>
        <v>3.6026926609385962E-3</v>
      </c>
      <c r="Y23" s="15">
        <f t="shared" si="18"/>
        <v>7.2053853218771923E-3</v>
      </c>
      <c r="Z23" s="15">
        <f t="shared" si="18"/>
        <v>1.4410770643754385E-2</v>
      </c>
      <c r="AA23" s="15">
        <f t="shared" si="18"/>
        <v>2.8821541287508769E-2</v>
      </c>
      <c r="AB23" s="75">
        <f t="shared" si="18"/>
        <v>5.7643082575017539E-2</v>
      </c>
      <c r="AC23" s="75">
        <f>AC22/$B$5</f>
        <v>0.11528616515003508</v>
      </c>
      <c r="AD23" s="75">
        <f t="shared" ref="AD23:AI23" si="19">AD22/$B$5</f>
        <v>0.23057233030007016</v>
      </c>
      <c r="AE23" s="75">
        <f t="shared" si="19"/>
        <v>0.46114466060014031</v>
      </c>
      <c r="AF23" s="235">
        <f t="shared" ref="AF23" si="20">AF22/$B$5</f>
        <v>0.92228932120028062</v>
      </c>
      <c r="AG23" s="169">
        <f t="shared" si="19"/>
        <v>1</v>
      </c>
      <c r="AH23" s="169">
        <f t="shared" ref="AH23" si="21">AH22/$B$5</f>
        <v>1</v>
      </c>
      <c r="AI23" s="170">
        <f t="shared" si="19"/>
        <v>1</v>
      </c>
      <c r="AJ23" s="169">
        <v>1</v>
      </c>
      <c r="AK23" s="239">
        <f>AK22/B5</f>
        <v>0.61224489795918358</v>
      </c>
      <c r="AL23" s="25"/>
      <c r="AM23" s="25"/>
      <c r="AN23" s="69"/>
    </row>
    <row r="24" spans="1:40" x14ac:dyDescent="0.25">
      <c r="A24" s="41" t="s">
        <v>163</v>
      </c>
      <c r="B24" s="16"/>
      <c r="C24" s="16"/>
      <c r="D24" s="16"/>
      <c r="E24" s="16"/>
      <c r="F24" s="16"/>
      <c r="G24" s="16"/>
      <c r="H24" s="16"/>
      <c r="I24" s="17"/>
      <c r="J24" s="188">
        <f>J22-J18</f>
        <v>276.12244897959181</v>
      </c>
      <c r="K24" s="189">
        <f t="shared" ref="K24:AA24" si="22">K22-K18</f>
        <v>552.24489795918362</v>
      </c>
      <c r="L24" s="189">
        <f t="shared" si="22"/>
        <v>1104.4897959183672</v>
      </c>
      <c r="M24" s="189">
        <f t="shared" si="22"/>
        <v>2208.9795918367345</v>
      </c>
      <c r="N24" s="189">
        <f>N22-N18</f>
        <v>4417.9591836734689</v>
      </c>
      <c r="O24" s="189">
        <f t="shared" si="22"/>
        <v>8835.9183673469379</v>
      </c>
      <c r="P24" s="189">
        <f t="shared" si="22"/>
        <v>17671.836734693876</v>
      </c>
      <c r="Q24" s="189">
        <f t="shared" si="22"/>
        <v>35343.673469387752</v>
      </c>
      <c r="R24" s="189">
        <f t="shared" si="22"/>
        <v>70687.346938775503</v>
      </c>
      <c r="S24" s="189">
        <f t="shared" si="22"/>
        <v>141374.69387755101</v>
      </c>
      <c r="T24" s="189">
        <f t="shared" si="22"/>
        <v>282749.38775510201</v>
      </c>
      <c r="U24" s="189">
        <f t="shared" si="22"/>
        <v>565498.77551020402</v>
      </c>
      <c r="V24" s="189">
        <f t="shared" si="22"/>
        <v>1130997.551020408</v>
      </c>
      <c r="W24" s="189">
        <f t="shared" si="22"/>
        <v>2261995.1020408161</v>
      </c>
      <c r="X24" s="189">
        <f t="shared" si="22"/>
        <v>4523990.2040816322</v>
      </c>
      <c r="Y24" s="189">
        <f t="shared" si="22"/>
        <v>9047980.4081632644</v>
      </c>
      <c r="Z24" s="189">
        <f t="shared" si="22"/>
        <v>18095960.816326529</v>
      </c>
      <c r="AA24" s="189">
        <f t="shared" si="22"/>
        <v>36191921.632653058</v>
      </c>
      <c r="AB24" s="189">
        <f>AB22-AB18</f>
        <v>72383843.265306115</v>
      </c>
      <c r="AC24" s="189">
        <f>AC22-AC18</f>
        <v>144767686.53061223</v>
      </c>
      <c r="AD24" s="189">
        <f>AD22-AD18</f>
        <v>289535373.06122446</v>
      </c>
      <c r="AE24" s="189">
        <f t="shared" ref="AE24:AI24" si="23">AE22</f>
        <v>641985306.12244892</v>
      </c>
      <c r="AF24" s="236">
        <f t="shared" si="23"/>
        <v>1283970612.2448978</v>
      </c>
      <c r="AG24" s="190">
        <f t="shared" si="23"/>
        <v>1392156000</v>
      </c>
      <c r="AH24" s="190">
        <f t="shared" ref="AH24" si="24">AH22</f>
        <v>1392156000</v>
      </c>
      <c r="AI24" s="191">
        <f t="shared" si="23"/>
        <v>1392156000</v>
      </c>
      <c r="AJ24" s="190">
        <f>AJ22</f>
        <v>1392156000</v>
      </c>
      <c r="AK24" s="242">
        <f>AK22-AK18</f>
        <v>768811048.16326523</v>
      </c>
      <c r="AL24" s="25"/>
      <c r="AM24" s="25"/>
      <c r="AN24" s="69"/>
    </row>
    <row r="25" spans="1:40" x14ac:dyDescent="0.25">
      <c r="A25" s="37" t="s">
        <v>164</v>
      </c>
      <c r="B25" s="39"/>
      <c r="C25" s="39"/>
      <c r="D25" s="39"/>
      <c r="E25" s="39"/>
      <c r="F25" s="39"/>
      <c r="G25" s="39"/>
      <c r="H25" s="39"/>
      <c r="I25" s="63"/>
      <c r="J25" s="198">
        <f>MIN((1/$B$6)*(2^(((J17 - 14) - $B$14)/$J$43)),J24)</f>
        <v>78.532003476796717</v>
      </c>
      <c r="K25" s="199">
        <f>MIN((1/$B$6)*(2^(((K17 - 14) - $B$14)/$J$43)),K24)</f>
        <v>127.66269234184094</v>
      </c>
      <c r="L25" s="199">
        <f t="shared" ref="L25" si="25">MIN((1/$B$6)*(2^(((L17 - 14) - $B$14)/$J$43)),L24)</f>
        <v>207.53020799708628</v>
      </c>
      <c r="M25" s="189">
        <f>MIN(($J$18/$B$6)*(2^(((M17 - 14) - $J$17)/HLOOKUP((M17-14)-$B$14,$J$41:$AK$43,3,TRUE))),M24)</f>
        <v>337.36392708990599</v>
      </c>
      <c r="N25" s="189">
        <f>MIN(($J$18/$B$6)*(2^(((N17 - 14) - $J$17)/HLOOKUP((N17-14)-$B$14,$J$41:$AK$43,3,TRUE))),N24)</f>
        <v>632.65306122448965</v>
      </c>
      <c r="O25" s="189">
        <f>MIN(($J$18/$B$6)*(2^(((O17 - 14) - $J$17)/HLOOKUP((O17-14)-$B$14,$J$41:$AK$43,3,TRUE))),O24)</f>
        <v>1130.7900063091904</v>
      </c>
      <c r="P25" s="189">
        <f>MIN(($J$18/$B$6)*(2^(((P17 - 14) - $J$17)/HLOOKUP((P17-14)-$B$14,$J$41:$AK$43,3,TRUE))),P24)</f>
        <v>1736.2563801353008</v>
      </c>
      <c r="Q25" s="189">
        <f>MIN(($J$18/$B$6)*(2^(((Q17 - 14) - $J$17)/HLOOKUP((Q17-14)-$B$14,$J$41:$AK$43,3,TRUE))),Q24)</f>
        <v>3369.124167940005</v>
      </c>
      <c r="R25" s="189">
        <f>MIN(($J$18/$B$6)*(2^(((R17 - 14) - $J$17)/HLOOKUP((R17-14)-$B$14,$J$41:$AK$43,3,TRUE))),R24)</f>
        <v>8622.432405801761</v>
      </c>
      <c r="S25" s="189">
        <f>MIN(($J$18/$B$6)*(2^(((S17 - 14) - $J$17)/HLOOKUP((S17-14)-$B$14,$J$41:$AK$43,3,TRUE))),S24)</f>
        <v>20387.755102040814</v>
      </c>
      <c r="T25" s="189">
        <f>MIN(($J$18/$B$6)*(2^(((T17 - 14) - $J$17)/HLOOKUP((T17-14)-$B$14,$J$41:$AK$43,3,TRUE))),T24)</f>
        <v>51363.389280783595</v>
      </c>
      <c r="U25" s="189">
        <f>MIN(($J$18/$B$6)*(2^(((U17 - 14) - $J$17)/HLOOKUP((U17-14)-$B$14,$J$41:$AK$43,3,TRUE))),U24)</f>
        <v>90439.207526989485</v>
      </c>
      <c r="V25" s="189">
        <f>MIN(($J$18/$B$6)*(2^(((V17 - 14) - $J$17)/HLOOKUP((V17-14)-$B$14,$J$41:$AK$43,3,TRUE))),V24)</f>
        <v>180545.36751292774</v>
      </c>
      <c r="W25" s="189">
        <f>MIN(($J$18/$B$6)*(2^(((W17 - 14) - $J$17)/HLOOKUP((W17-14)-$B$14,$J$41:$AK$43,3,TRUE))),W24)</f>
        <v>360570.29884928023</v>
      </c>
      <c r="X25" s="189">
        <f>MIN(($J$18/$B$6)*(2^(((X17 - 14) - $J$17)/HLOOKUP((X17-14)-$B$14,$J$41:$AK$43,3,TRUE))),X24)</f>
        <v>720304.90586841537</v>
      </c>
      <c r="Y25" s="189">
        <f>MIN(($J$18/$B$6)*(2^(((Y17 - 14) - $J$17)/HLOOKUP((Y17-14)-$B$14,$J$41:$AK$43,3,TRUE))),Y24)</f>
        <v>1439238.3384974932</v>
      </c>
      <c r="Z25" s="189">
        <f>MIN(($J$18/$B$6)*(2^(((Z17 - 14) - $J$17)/HLOOKUP((Z17-14)-$B$14,$J$41:$AK$43,3,TRUE))),Z24)</f>
        <v>2876185.3982505789</v>
      </c>
      <c r="AA25" s="189">
        <f>MIN(($J$18/$B$6)*(2^(((AA17 - 14) - $J$17)/HLOOKUP((AA17-14)-$B$14,$J$41:$AK$43,3,TRUE))),AA24)</f>
        <v>5748485.4265932078</v>
      </c>
      <c r="AB25" s="189">
        <f>MIN(($J$18/$B$6)*(2^(((AB17 - 14) - $J$17)/HLOOKUP((AB17-14)-$B$14,$J$41:$AK$43,3,TRUE))),AB24)</f>
        <v>11490298.775742421</v>
      </c>
      <c r="AC25" s="189">
        <f>MIN(($J$18/$B$6)*(2^(((AC17 - 14) - $J$17)/HLOOKUP((AC17-14)-$B$14,$J$41:$AK$43,3,TRUE))),AC24)</f>
        <v>22969015.489274241</v>
      </c>
      <c r="AD25" s="189">
        <f>MIN(($J$18/$B$6)*(2^(((AD17 - 14) - $J$17)/HLOOKUP((AD17-14)-$B$14,$J$41:$AK$43,3,TRUE))),AD24)</f>
        <v>45917736.224346109</v>
      </c>
      <c r="AE25" s="189">
        <f>MIN(($J$18/$B$6)*(2^(((AE17 - 14) - $J$17)/HLOOKUP((AE17-14)-$B$14,$J$41:$AK$43,3,TRUE))),AE24)</f>
        <v>91799617.576255307</v>
      </c>
      <c r="AF25" s="237">
        <f>MIN(($J$18/$B$6)*(2^(((AF17 - 14) - $J$17)/HLOOKUP((AF17-14)-$B$14,$J$41:$AK$43,3,TRUE))),AF24)</f>
        <v>183535429.15110913</v>
      </c>
      <c r="AG25" s="194">
        <f>MIN(($J$18/$B$6)*(2^(((AG17 - 14) - $J$17)/HLOOKUP((AG17-14)-$B$14,$J$41:$AK$43,3,TRUE))),AG24)</f>
        <v>366956576.87676412</v>
      </c>
      <c r="AH25" s="194">
        <f>MIN(($J$18/$B$6)*(2^(((AH17 - 14) - $J$17)/HLOOKUP((AH17-14)-$B$14,$J$41:$AK$43,3,TRUE))),AH24)</f>
        <v>733707281.82831633</v>
      </c>
      <c r="AI25" s="195">
        <f>MIN(($J$18/$B$6)*(2^(((AI17 - 14) - $J$17)/HLOOKUP((AI17-14)-$B$14,$J$41:$AK$43,3,TRUE))),AI24)</f>
        <v>733707281.82831633</v>
      </c>
      <c r="AJ25" s="194">
        <f>MIN(($J$18/$B$6)*(2^(((AJ17 - 14) - $J$17)/HLOOKUP((AJ17-14)-$B$14,$J$41:$AK$43,3,TRUE))),AJ24)</f>
        <v>1392156000</v>
      </c>
      <c r="AK25" s="242"/>
      <c r="AL25" s="25"/>
      <c r="AM25" s="25"/>
      <c r="AN25" s="69"/>
    </row>
    <row r="26" spans="1:40" x14ac:dyDescent="0.25">
      <c r="A26" s="41" t="s">
        <v>161</v>
      </c>
      <c r="B26" s="16"/>
      <c r="C26" s="16"/>
      <c r="D26" s="16"/>
      <c r="E26" s="16"/>
      <c r="F26" s="16"/>
      <c r="G26" s="16"/>
      <c r="H26" s="16"/>
      <c r="I26" s="16"/>
      <c r="J26" s="209">
        <f t="shared" ref="J26:AJ26" si="26">J18*$B$10</f>
        <v>24.3</v>
      </c>
      <c r="K26" s="210">
        <f t="shared" si="26"/>
        <v>48.6</v>
      </c>
      <c r="L26" s="210">
        <f t="shared" si="26"/>
        <v>97.2</v>
      </c>
      <c r="M26" s="210">
        <f t="shared" si="26"/>
        <v>194.4</v>
      </c>
      <c r="N26" s="210">
        <f t="shared" si="26"/>
        <v>388.8</v>
      </c>
      <c r="O26" s="210">
        <f t="shared" si="26"/>
        <v>777.6</v>
      </c>
      <c r="P26" s="210">
        <f t="shared" si="26"/>
        <v>1555.2</v>
      </c>
      <c r="Q26" s="210">
        <f t="shared" si="26"/>
        <v>3110.4</v>
      </c>
      <c r="R26" s="210">
        <f t="shared" si="26"/>
        <v>6220.8</v>
      </c>
      <c r="S26" s="210">
        <f t="shared" si="26"/>
        <v>12441.6</v>
      </c>
      <c r="T26" s="210">
        <f t="shared" si="26"/>
        <v>24883.200000000001</v>
      </c>
      <c r="U26" s="210">
        <f t="shared" si="26"/>
        <v>49766.400000000001</v>
      </c>
      <c r="V26" s="210">
        <f t="shared" si="26"/>
        <v>99532.800000000003</v>
      </c>
      <c r="W26" s="210">
        <f t="shared" si="26"/>
        <v>199065.60000000001</v>
      </c>
      <c r="X26" s="210">
        <f t="shared" si="26"/>
        <v>398131.20000000001</v>
      </c>
      <c r="Y26" s="210">
        <f t="shared" si="26"/>
        <v>796262.40000000002</v>
      </c>
      <c r="Z26" s="210">
        <f t="shared" si="26"/>
        <v>1592524.8</v>
      </c>
      <c r="AA26" s="210">
        <f t="shared" si="26"/>
        <v>3185049.6000000001</v>
      </c>
      <c r="AB26" s="210">
        <f t="shared" si="26"/>
        <v>6370099.2000000002</v>
      </c>
      <c r="AC26" s="210">
        <f t="shared" si="26"/>
        <v>12740198.4</v>
      </c>
      <c r="AD26" s="210">
        <f t="shared" ref="AD26:AI26" si="27">AD18*$B$10</f>
        <v>25480396.800000001</v>
      </c>
      <c r="AE26" s="210">
        <f t="shared" si="27"/>
        <v>50960793.600000001</v>
      </c>
      <c r="AF26" s="234">
        <f t="shared" si="27"/>
        <v>101921587.2</v>
      </c>
      <c r="AG26" s="200">
        <f t="shared" si="27"/>
        <v>203843174.40000001</v>
      </c>
      <c r="AH26" s="200">
        <f t="shared" ref="AH26" si="28">AH18*$B$10</f>
        <v>407686348.80000001</v>
      </c>
      <c r="AI26" s="201">
        <f t="shared" si="27"/>
        <v>815372697.60000002</v>
      </c>
      <c r="AJ26" s="190">
        <f t="shared" si="26"/>
        <v>1127646360</v>
      </c>
      <c r="AK26" s="242">
        <f>AK18*B10</f>
        <v>67658781.600000009</v>
      </c>
      <c r="AL26" s="25"/>
      <c r="AM26" s="25"/>
      <c r="AN26" s="69"/>
    </row>
    <row r="27" spans="1:40" x14ac:dyDescent="0.25">
      <c r="A27" s="41" t="s">
        <v>173</v>
      </c>
      <c r="B27" s="16"/>
      <c r="C27" s="16"/>
      <c r="D27" s="16"/>
      <c r="E27" s="16"/>
      <c r="F27" s="16"/>
      <c r="G27" s="16"/>
      <c r="H27" s="16"/>
      <c r="I27" s="16"/>
      <c r="J27" s="198">
        <f t="shared" ref="J27:L27" si="29">J26-(1*$B$10)*(2^(((J17 - 14) - $B$14)/$J$43))</f>
        <v>18.066129564011877</v>
      </c>
      <c r="K27" s="199">
        <f t="shared" si="29"/>
        <v>38.466135481904665</v>
      </c>
      <c r="L27" s="199">
        <f t="shared" si="29"/>
        <v>80.726252089191291</v>
      </c>
      <c r="M27" s="197">
        <f>MAX(M26-(($J$18*$B$10)*(2^(((M17 -14) - $J$17)/HLOOKUP((M17-14)-$B$14,$J$41:$AK$43,3,TRUE)))),0)</f>
        <v>167.62005146760328</v>
      </c>
      <c r="N27" s="197">
        <f>MAX(N26-(($J$18*$B$10)*(2^(((N17 -14) - $J$17)/HLOOKUP((N17-14)-$B$14,$J$41:$AK$43,3,TRUE)))),0)</f>
        <v>338.58000000000004</v>
      </c>
      <c r="O27" s="197">
        <f>MAX(O26-(($J$18*$B$10)*(2^(((O17 -14) - $J$17)/HLOOKUP((O17-14)-$B$14,$J$41:$AK$43,3,TRUE)))),0)</f>
        <v>687.83788929917648</v>
      </c>
      <c r="P27" s="197">
        <f>MAX(P26-(($J$18*$B$10)*(2^(((P17 -14) - $J$17)/HLOOKUP((P17-14)-$B$14,$J$41:$AK$43,3,TRUE)))),0)</f>
        <v>1417.3759685448599</v>
      </c>
      <c r="Q27" s="197">
        <f>MAX(Q26-(($J$18*$B$10)*(2^(((Q17 -14) - $J$17)/HLOOKUP((Q17-14)-$B$14,$J$41:$AK$43,3,TRUE)))),0)</f>
        <v>2842.9589235489225</v>
      </c>
      <c r="R27" s="197">
        <f>MAX(R26-(($J$18*$B$10)*(2^(((R17 -14) - $J$17)/HLOOKUP((R17-14)-$B$14,$J$41:$AK$43,3,TRUE)))),0)</f>
        <v>5536.3513156274566</v>
      </c>
      <c r="S27" s="197">
        <f>MAX(S26-(($J$18*$B$10)*(2^(((S17 -14) - $J$17)/HLOOKUP((S17-14)-$B$14,$J$41:$AK$43,3,TRUE)))),0)</f>
        <v>10823.220000000001</v>
      </c>
      <c r="T27" s="197">
        <f>MAX(T26-(($J$18*$B$10)*(2^(((T17 -14) - $J$17)/HLOOKUP((T17-14)-$B$14,$J$41:$AK$43,3,TRUE)))),0)</f>
        <v>20805.974158891397</v>
      </c>
      <c r="U27" s="197">
        <f>MAX(U26-(($J$18*$B$10)*(2^(((U17 -14) - $J$17)/HLOOKUP((U17-14)-$B$14,$J$41:$AK$43,3,TRUE)))),0)</f>
        <v>42587.335706507576</v>
      </c>
      <c r="V27" s="197">
        <f>MAX(V26-(($J$18*$B$10)*(2^(((V17 -14) - $J$17)/HLOOKUP((V17-14)-$B$14,$J$41:$AK$43,3,TRUE)))),0)</f>
        <v>85201.10872682379</v>
      </c>
      <c r="W27" s="197">
        <f>MAX(W26-(($J$18*$B$10)*(2^(((W17 -14) - $J$17)/HLOOKUP((W17-14)-$B$14,$J$41:$AK$43,3,TRUE)))),0)</f>
        <v>170443.52967734414</v>
      </c>
      <c r="X27" s="197">
        <f>MAX(X26-(($J$18*$B$10)*(2^(((X17 -14) - $J$17)/HLOOKUP((X17-14)-$B$14,$J$41:$AK$43,3,TRUE)))),0)</f>
        <v>340953.39657216519</v>
      </c>
      <c r="Y27" s="197">
        <f>MAX(Y26-(($J$18*$B$10)*(2^(((Y17 -14) - $J$17)/HLOOKUP((Y17-14)-$B$14,$J$41:$AK$43,3,TRUE)))),0)</f>
        <v>682015.66069006897</v>
      </c>
      <c r="Z27" s="197">
        <f>MAX(Z26-(($J$18*$B$10)*(2^(((Z17 -14) - $J$17)/HLOOKUP((Z17-14)-$B$14,$J$41:$AK$43,3,TRUE)))),0)</f>
        <v>1364213.2030868691</v>
      </c>
      <c r="AA27" s="197">
        <f>MAX(AA26-(($J$18*$B$10)*(2^(((AA17 -14) - $J$17)/HLOOKUP((AA17-14)-$B$14,$J$41:$AK$43,3,TRUE)))),0)</f>
        <v>2728734.8268370312</v>
      </c>
      <c r="AB27" s="197">
        <f>MAX(AB26-(($J$18*$B$10)*(2^(((AB17 -14) - $J$17)/HLOOKUP((AB17-14)-$B$14,$J$41:$AK$43,3,TRUE)))),0)</f>
        <v>5457999.2831815667</v>
      </c>
      <c r="AC27" s="197">
        <f>MAX(AC26-(($J$18*$B$10)*(2^(((AC17 -14) - $J$17)/HLOOKUP((AC17-14)-$B$14,$J$41:$AK$43,3,TRUE)))),0)</f>
        <v>10916917.95046141</v>
      </c>
      <c r="AD27" s="197">
        <f>MAX(AD26-(($J$18*$B$10)*(2^(((AD17 -14) - $J$17)/HLOOKUP((AD17-14)-$B$14,$J$41:$AK$43,3,TRUE)))),0)</f>
        <v>21835446.898511406</v>
      </c>
      <c r="AE27" s="197">
        <f>MAX(AE26-(($J$18*$B$10)*(2^(((AE17 -14) - $J$17)/HLOOKUP((AE17-14)-$B$14,$J$41:$AK$43,3,TRUE)))),0)</f>
        <v>43673739.956796855</v>
      </c>
      <c r="AF27" s="237">
        <f>MAX(AF26-(($J$18*$B$10)*(2^(((AF17 -14) - $J$17)/HLOOKUP((AF17-14)-$B$14,$J$41:$AK$43,3,TRUE)))),0)</f>
        <v>87352544.833984956</v>
      </c>
      <c r="AG27" s="194">
        <f>MAX(AG26-(($J$18*$B$10)*(2^(((AG17 -14) - $J$17)/HLOOKUP((AG17-14)-$B$14,$J$41:$AK$43,3,TRUE)))),0)</f>
        <v>174714161.32752246</v>
      </c>
      <c r="AH27" s="194">
        <f>MAX(AH26-(($J$18*$B$10)*(2^(((AH17 -14) - $J$17)/HLOOKUP((AH17-14)-$B$14,$J$41:$AK$43,3,TRUE)))),0)</f>
        <v>349444664.76846826</v>
      </c>
      <c r="AI27" s="195">
        <f>MAX(AI26-(($J$18*$B$10)*(2^(((AI17 -14) - $J$17)/HLOOKUP((AI17-14)-$B$14,$J$41:$AK$43,3,TRUE)))),0)</f>
        <v>757131013.56846833</v>
      </c>
      <c r="AJ27" s="194">
        <f>MAX(AJ26-(($J$18*$B$10)*(2^(((AJ17 -14) - $J$17)/HLOOKUP((AJ17-14)-$B$14,$J$41:$AK$43,3,TRUE)))),0)</f>
        <v>1011192584.8343543</v>
      </c>
      <c r="AK27" s="240"/>
      <c r="AL27" s="25"/>
      <c r="AM27" s="25"/>
      <c r="AN27" s="69"/>
    </row>
    <row r="28" spans="1:40" x14ac:dyDescent="0.25">
      <c r="A28" s="62" t="s">
        <v>110</v>
      </c>
      <c r="B28" s="9"/>
      <c r="C28" s="9"/>
      <c r="D28" s="9"/>
      <c r="E28" s="9"/>
      <c r="F28" s="9"/>
      <c r="G28" s="9"/>
      <c r="H28" s="9"/>
      <c r="I28" s="5"/>
      <c r="J28" s="220">
        <f>(1*($B$11+$B$12))*(2^(((J17 - 7) - $B$14)/$J$43))</f>
        <v>2.8870253994390738</v>
      </c>
      <c r="K28" s="215">
        <f>(1*($B$11+$B$12))*(2^(((K17 - 7) - $B$14)/$J$43))</f>
        <v>4.6931877328275249</v>
      </c>
      <c r="L28" s="204">
        <f>($J$18*($B$11+$B$12))*(2^(((L17-7)-$J$17)/HLOOKUP((L17-7)-$B$14,$J$41:$AK$43,3,TRUE)))</f>
        <v>7.6293097732504354</v>
      </c>
      <c r="M28" s="204">
        <f>($J$18*($B$11+$B$12))*(2^(((M17-7)-$J$17)/HLOOKUP((M17-7)-$B$14,$J$41:$AK$43,3,TRUE)))</f>
        <v>18.209899599690996</v>
      </c>
      <c r="N28" s="204">
        <f>($J$18*($B$11+$B$12))*(2^(((N17-7)-$J$17)/HLOOKUP((N17-7)-$B$14,$J$41:$AK$43,3,TRUE)))</f>
        <v>28.288842102845866</v>
      </c>
      <c r="O28" s="204">
        <f>($J$18*($B$11+$B$12))*(2^(((O17-7)-$J$17)/HLOOKUP((O17-7)-$B$14,$J$41:$AK$43,3,TRUE)))</f>
        <v>54.478459806176602</v>
      </c>
      <c r="P28" s="204">
        <f>($J$18*($B$11+$B$12))*(2^(((P17-7)-$J$17)/HLOOKUP((P17-7)-$B$14,$J$41:$AK$43,3,TRUE)))</f>
        <v>118.52648870310574</v>
      </c>
      <c r="Q28" s="204">
        <f>($J$18*($B$11+$B$12))*(2^(((Q17-7)-$J$17)/HLOOKUP((Q17-7)-$B$14,$J$41:$AK$43,3,TRUE)))</f>
        <v>218.2909810369388</v>
      </c>
      <c r="R28" s="204">
        <f>($J$18*($B$11+$B$12))*(2^(((R17-7)-$J$17)/HLOOKUP((R17-7)-$B$14,$J$41:$AK$43,3,TRUE)))</f>
        <v>518.10913545725089</v>
      </c>
      <c r="S28" s="204">
        <f>($J$18*($B$11+$B$12))*(2^(((S17-7)-$J$17)/HLOOKUP((S17-7)-$B$14,$J$41:$AK$43,3,TRUE)))</f>
        <v>1317.2880620783847</v>
      </c>
      <c r="T28" s="204">
        <f>($J$18*($B$11+$B$12))*(2^(((T17-7)-$J$17)/HLOOKUP((T17-7)-$B$14,$J$41:$AK$43,3,TRUE)))</f>
        <v>2290.207792474991</v>
      </c>
      <c r="U28" s="204">
        <f>($J$18*($B$11+$B$12))*(2^(((U17-7)-$J$17)/HLOOKUP((U17-7)-$B$14,$J$41:$AK$43,3,TRUE)))</f>
        <v>4555.1606808569022</v>
      </c>
      <c r="V28" s="204">
        <f>($J$18*($B$11+$B$12))*(2^(((V17-7)-$J$17)/HLOOKUP((V17-7)-$B$14,$J$41:$AK$43,3,TRUE)))</f>
        <v>9070.9862860883222</v>
      </c>
      <c r="W28" s="204">
        <f>($J$18*($B$11+$B$12))*(2^(((W17-7)-$J$17)/HLOOKUP((W17-7)-$B$14,$J$41:$AK$43,3,TRUE)))</f>
        <v>18078.974306517997</v>
      </c>
      <c r="X28" s="204">
        <f>($J$18*($B$11+$B$12))*(2^(((X17-7)-$J$17)/HLOOKUP((X17-7)-$B$14,$J$41:$AK$43,3,TRUE)))</f>
        <v>36054.778836534009</v>
      </c>
      <c r="Y28" s="204">
        <f>($J$18*($B$11+$B$12))*(2^(((Y17-7)-$J$17)/HLOOKUP((Y17-7)-$B$14,$J$41:$AK$43,3,TRUE)))</f>
        <v>71937.496233682541</v>
      </c>
      <c r="Z28" s="204">
        <f>($J$18*($B$11+$B$12))*(2^(((Z17-7)-$J$17)/HLOOKUP((Z17-7)-$B$14,$J$41:$AK$43,3,TRUE)))</f>
        <v>143583.65341983963</v>
      </c>
      <c r="AA28" s="204">
        <f>($J$18*($B$11+$B$12))*(2^(((AA17-7)-$J$17)/HLOOKUP((AA17-7)-$B$14,$J$41:$AK$43,3,TRUE)))</f>
        <v>286667.63849319791</v>
      </c>
      <c r="AB28" s="204">
        <f>($J$18*($B$11+$B$12))*(2^(((AB17-7)-$J$17)/HLOOKUP((AB17-7)-$B$14,$J$41:$AK$43,3,TRUE)))</f>
        <v>572468.84276837856</v>
      </c>
      <c r="AC28" s="204">
        <f>($J$18*($B$11+$B$12))*(2^(((AC17-7)-$J$17)/HLOOKUP((AC17-7)-$B$14,$J$41:$AK$43,3,TRUE)))</f>
        <v>1143420.9053552516</v>
      </c>
      <c r="AD28" s="204">
        <f>($J$18*($B$11+$B$12))*(2^(((AD17-7)-$J$17)/HLOOKUP((AD17-7)-$B$14,$J$41:$AK$43,3,TRUE)))</f>
        <v>2284164.3350888845</v>
      </c>
      <c r="AE28" s="204">
        <f>($J$18*($B$11+$B$12))*(2^(((AE17-7)-$J$17)/HLOOKUP((AE17-7)-$B$14,$J$41:$AK$43,3,TRUE)))</f>
        <v>4563567.4494079296</v>
      </c>
      <c r="AF28" s="234">
        <f>($J$18*($B$11+$B$12))*(2^(((AF17-7)-$J$17)/HLOOKUP((AF17-7)-$B$14,$J$41:$AK$43,3,TRUE)))</f>
        <v>9118612.8062284496</v>
      </c>
      <c r="AG28" s="200">
        <f>($J$18*($B$11+$B$12))*(2^(((AG17-7)-$J$17)/HLOOKUP((AG17-7)-$B$14,$J$41:$AK$43,3,TRUE)))</f>
        <v>18221882.599597648</v>
      </c>
      <c r="AH28" s="200">
        <f>($J$18*($B$11+$B$12))*(2^(((AH17-7)-$J$17)/HLOOKUP((AH17-7)-$B$14,$J$41:$AK$43,3,TRUE)))</f>
        <v>36415996.360009424</v>
      </c>
      <c r="AI28" s="201">
        <f>($J$18*($B$11+$B$12))*(2^(((AI17-7)-$J$17)/HLOOKUP((AI17-7)-$B$14,$J$41:$AK$43,3,TRUE)))</f>
        <v>36415996.360009424</v>
      </c>
      <c r="AJ28" s="200">
        <f>($J$18*($B$11+$B$12))*(2^(((AJ17 - 7) - $J$17)/AJ43))</f>
        <v>95262312.490987599</v>
      </c>
      <c r="AK28" s="240">
        <f>AK18*(B11+B12)</f>
        <v>15870578.4</v>
      </c>
      <c r="AL28" s="45"/>
      <c r="AM28" s="45"/>
      <c r="AN28" s="69"/>
    </row>
    <row r="29" spans="1:40" x14ac:dyDescent="0.25">
      <c r="A29" s="37" t="s">
        <v>159</v>
      </c>
      <c r="B29" s="38"/>
      <c r="C29" s="39"/>
      <c r="D29" s="39"/>
      <c r="E29" s="39"/>
      <c r="F29" s="39"/>
      <c r="G29" s="39"/>
      <c r="H29" s="39"/>
      <c r="I29" s="63"/>
      <c r="J29" s="198">
        <f t="shared" ref="J29:S29" si="30">J28</f>
        <v>2.8870253994390738</v>
      </c>
      <c r="K29" s="199">
        <f t="shared" si="30"/>
        <v>4.6931877328275249</v>
      </c>
      <c r="L29" s="199">
        <f t="shared" si="30"/>
        <v>7.6293097732504354</v>
      </c>
      <c r="M29" s="199">
        <f t="shared" si="30"/>
        <v>18.209899599690996</v>
      </c>
      <c r="N29" s="199">
        <f t="shared" si="30"/>
        <v>28.288842102845866</v>
      </c>
      <c r="O29" s="199">
        <f t="shared" si="30"/>
        <v>54.478459806176602</v>
      </c>
      <c r="P29" s="199">
        <f t="shared" si="30"/>
        <v>118.52648870310574</v>
      </c>
      <c r="Q29" s="199">
        <f t="shared" si="30"/>
        <v>218.2909810369388</v>
      </c>
      <c r="R29" s="199">
        <f t="shared" si="30"/>
        <v>518.10913545725089</v>
      </c>
      <c r="S29" s="199">
        <f t="shared" si="30"/>
        <v>1317.2880620783847</v>
      </c>
      <c r="T29" s="189">
        <f>MAX(T28-($J$18*$B$11)*(2^(((T17 - 42) - $J$17)/HLOOKUP((T17-42)-$B$14,$J$41:$AK$43,3,TRUE)))-T31,0)</f>
        <v>2038.8459554037113</v>
      </c>
      <c r="U29" s="189">
        <f>MAX(U28-($J$18*$B$11)*(2^(((U17 - 42) - $J$17)/HLOOKUP((U17-42)-$B$14,$J$41:$AK$43,3,TRUE)))-U31,0)</f>
        <v>4110.830561879191</v>
      </c>
      <c r="V29" s="189">
        <f>MAX(V28-($J$18*$B$11)*(2^(((V17 - 42) - $J$17)/HLOOKUP((V17-42)-$B$14,$J$41:$AK$43,3,TRUE)))-V31,0)</f>
        <v>8195.3921946894116</v>
      </c>
      <c r="W29" s="189">
        <f>MAX(W28-($J$18*$B$11)*(2^(((W17 - 42) - $J$17)/HLOOKUP((W17-42)-$B$14,$J$41:$AK$43,3,TRUE)))-W31,0)</f>
        <v>16314.976158439815</v>
      </c>
      <c r="X29" s="189">
        <f>MAX(X28-($J$18*$B$11)*(2^(((X17 - 42) - $J$17)/HLOOKUP((X17-42)-$B$14,$J$41:$AK$43,3,TRUE)))-X31,0)</f>
        <v>32578.888811751553</v>
      </c>
      <c r="Y29" s="189">
        <f>MAX(Y28-($J$18*$B$11)*(2^(((Y17 - 42) - $J$17)/HLOOKUP((Y17-42)-$B$14,$J$41:$AK$43,3,TRUE)))-Y31,0)</f>
        <v>64883.463748918424</v>
      </c>
      <c r="Z29" s="189">
        <f>MAX(Z28-($J$18*$B$11)*(2^(((Z17 - 42) - $J$17)/HLOOKUP((Z17-42)-$B$14,$J$41:$AK$43,3,TRUE)))-Z31,0)</f>
        <v>129279.71165951193</v>
      </c>
      <c r="AA29" s="189">
        <f>MAX(AA28-($J$18*$B$11)*(2^(((AA17 - 42) - $J$17)/HLOOKUP((AA17-42)-$B$14,$J$41:$AK$43,3,TRUE)))-AA31,0)</f>
        <v>258332.53837159384</v>
      </c>
      <c r="AB29" s="189">
        <f>MAX(AB28-($J$18*$B$11)*(2^(((AB17 - 42) - $J$17)/HLOOKUP((AB17-42)-$B$14,$J$41:$AK$43,3,TRUE)))-AB31,0)</f>
        <v>515849.94458134612</v>
      </c>
      <c r="AC29" s="189">
        <f>MAX(AC28-($J$18*$B$11)*(2^(((AC17 - 42) - $J$17)/HLOOKUP((AC17-42)-$B$14,$J$41:$AK$43,3,TRUE)))-AC31,0)</f>
        <v>1030268.8448259534</v>
      </c>
      <c r="AD29" s="189">
        <f>MAX(AD28-($J$18*$B$11)*(2^(((AD17 - 42) - $J$17)/HLOOKUP((AD17-42)-$B$14,$J$41:$AK$43,3,TRUE)))-AD31,0)</f>
        <v>2058006.0781005754</v>
      </c>
      <c r="AE29" s="189">
        <f>MAX(AE28-($J$18*$B$11)*(2^(((AE17 - 42) - $J$17)/HLOOKUP((AE17-42)-$B$14,$J$41:$AK$43,3,TRUE)))-AE31,0)</f>
        <v>4111502.6441415697</v>
      </c>
      <c r="AF29" s="237">
        <f>MAX(AF28-($J$18*$B$11)*(2^(((AF17 - 42) - $J$17)/HLOOKUP((AF17-42)-$B$14,$J$41:$AK$43,3,TRUE)))-AF31,0)</f>
        <v>8214922.6272158269</v>
      </c>
      <c r="AG29" s="194">
        <f>MAX(AG28-($J$18*$B$11)*(2^(((AG17 - 42) - $J$17)/HLOOKUP((AG17-42)-$B$14,$J$41:$AK$43,3,TRUE)))-AG31,0)</f>
        <v>16415276.891434252</v>
      </c>
      <c r="AH29" s="194">
        <f>MAX(AH28-($J$18*$B$11)*(2^(((AH17 - 42) - $J$17)/HLOOKUP((AH17-42)-$B$14,$J$41:$AK$43,3,TRUE)))-AH31,0)</f>
        <v>32804161.892792527</v>
      </c>
      <c r="AI29" s="195">
        <f>MAX(AI28-($J$18*$B$11)*(2^(((AI17 - 42) - $J$17)/HLOOKUP((AI17-42)-$B$14,$J$41:$AK$43,3,TRUE)))-AI31,0)</f>
        <v>32804161.892792527</v>
      </c>
      <c r="AJ29" s="194">
        <f>MAX(AJ28-($J$18*$B$11)*(2^(((AJ17 - 42) - $J$17)/HLOOKUP((AJ17-42)-$B$14,$J$41:$AK$43,3,TRUE)))-AJ31,0)</f>
        <v>88041108.703829914</v>
      </c>
      <c r="AK29" s="242"/>
      <c r="AL29" s="45"/>
      <c r="AM29" s="45"/>
      <c r="AN29" s="69"/>
    </row>
    <row r="30" spans="1:40" x14ac:dyDescent="0.25">
      <c r="A30" s="62" t="s">
        <v>111</v>
      </c>
      <c r="B30" s="9"/>
      <c r="C30" s="9"/>
      <c r="D30" s="9"/>
      <c r="E30" s="9"/>
      <c r="F30" s="9"/>
      <c r="G30" s="9"/>
      <c r="H30" s="9"/>
      <c r="I30" s="5"/>
      <c r="J30" s="220">
        <f t="shared" ref="J30:L30" si="31">(1*$B$12)*(2^(((J17 - 14) -$B$14)/$J$43))</f>
        <v>0.38480681703630393</v>
      </c>
      <c r="K30" s="215">
        <f t="shared" si="31"/>
        <v>0.62554719247502066</v>
      </c>
      <c r="L30" s="215">
        <f t="shared" si="31"/>
        <v>1.0168980191857229</v>
      </c>
      <c r="M30" s="204">
        <f>($J$18*$B$12)*(2^(((M17 - 14) - $J$17)/HLOOKUP((M17-14)-$B$14,$J$41:$AK$43,3,TRUE)))</f>
        <v>1.6530832427405393</v>
      </c>
      <c r="N30" s="204">
        <f>($J$18*$B$12)*(2^(((N17 - 14) - $J$17)/HLOOKUP((N17-14)-$B$14,$J$41:$AK$43,3,TRUE)))</f>
        <v>3.0999999999999996</v>
      </c>
      <c r="O30" s="204">
        <f>($J$18*$B$12)*(2^(((O17 - 14) - $J$17)/HLOOKUP((O17-14)-$B$14,$J$41:$AK$43,3,TRUE)))</f>
        <v>5.5408710309150333</v>
      </c>
      <c r="P30" s="204">
        <f>($J$18*$B$12)*(2^(((P17 - 14) - $J$17)/HLOOKUP((P17-14)-$B$14,$J$41:$AK$43,3,TRUE)))</f>
        <v>8.5076562626629748</v>
      </c>
      <c r="Q30" s="204">
        <f>($J$18*$B$12)*(2^(((Q17 - 14) - $J$17)/HLOOKUP((Q17-14)-$B$14,$J$41:$AK$43,3,TRUE)))</f>
        <v>16.508708422906025</v>
      </c>
      <c r="R30" s="204">
        <f>($J$18*$B$12)*(2^(((R17 - 14) - $J$17)/HLOOKUP((R17-14)-$B$14,$J$41:$AK$43,3,TRUE)))</f>
        <v>42.24991878842863</v>
      </c>
      <c r="S30" s="204">
        <f>($J$18*$B$12)*(2^(((S17 - 14) - $J$17)/HLOOKUP((S17-14)-$B$14,$J$41:$AK$43,3,TRUE)))</f>
        <v>99.899999999999991</v>
      </c>
      <c r="T30" s="204">
        <f>($J$18*$B$12)*(2^(((T17 - 14) - $J$17)/HLOOKUP((T17-14)-$B$14,$J$41:$AK$43,3,TRUE)))</f>
        <v>251.68060747583965</v>
      </c>
      <c r="U30" s="204">
        <f>($J$18*$B$12)*(2^(((U17 - 14) - $J$17)/HLOOKUP((U17-14)-$B$14,$J$41:$AK$43,3,TRUE)))</f>
        <v>443.15211688224855</v>
      </c>
      <c r="V30" s="204">
        <f>($J$18*$B$12)*(2^(((V17 - 14) - $J$17)/HLOOKUP((V17-14)-$B$14,$J$41:$AK$43,3,TRUE)))</f>
        <v>884.67230081334606</v>
      </c>
      <c r="W30" s="204">
        <f>($J$18*$B$12)*(2^(((W17 - 14) - $J$17)/HLOOKUP((W17-14)-$B$14,$J$41:$AK$43,3,TRUE)))</f>
        <v>1766.7944643614733</v>
      </c>
      <c r="X30" s="204">
        <f>($J$18*$B$12)*(2^(((X17 - 14) - $J$17)/HLOOKUP((X17-14)-$B$14,$J$41:$AK$43,3,TRUE)))</f>
        <v>3529.4940387552356</v>
      </c>
      <c r="Y30" s="204">
        <f>($J$18*$B$12)*(2^(((Y17 - 14) - $J$17)/HLOOKUP((Y17-14)-$B$14,$J$41:$AK$43,3,TRUE)))</f>
        <v>7052.2678586377169</v>
      </c>
      <c r="Z30" s="204">
        <f>($J$18*$B$12)*(2^(((Z17 - 14) - $J$17)/HLOOKUP((Z17-14)-$B$14,$J$41:$AK$43,3,TRUE)))</f>
        <v>14093.308451427838</v>
      </c>
      <c r="AA30" s="204">
        <f>($J$18*$B$12)*(2^(((AA17 - 14) - $J$17)/HLOOKUP((AA17-14)-$B$14,$J$41:$AK$43,3,TRUE)))</f>
        <v>28167.578590306723</v>
      </c>
      <c r="AB30" s="204">
        <f>($J$18*$B$12)*(2^(((AB17 - 14) - $J$17)/HLOOKUP((AB17-14)-$B$14,$J$41:$AK$43,3,TRUE)))</f>
        <v>56302.464001137865</v>
      </c>
      <c r="AC30" s="204">
        <f>($J$18*$B$12)*(2^(((AC17 - 14) - $J$17)/HLOOKUP((AC17-14)-$B$14,$J$41:$AK$43,3,TRUE)))</f>
        <v>112548.17589744378</v>
      </c>
      <c r="AD30" s="204">
        <f>($J$18*$B$12)*(2^(((AD17 - 14) - $J$17)/HLOOKUP((AD17-14)-$B$14,$J$41:$AK$43,3,TRUE)))</f>
        <v>224996.90749929595</v>
      </c>
      <c r="AE30" s="204">
        <f>($J$18*$B$12)*(2^(((AE17 - 14) - $J$17)/HLOOKUP((AE17-14)-$B$14,$J$41:$AK$43,3,TRUE)))</f>
        <v>449818.12612365105</v>
      </c>
      <c r="AF30" s="234">
        <f>($J$18*$B$12)*(2^(((AF17 - 14) - $J$17)/HLOOKUP((AF17-14)-$B$14,$J$41:$AK$43,3,TRUE)))</f>
        <v>899323.60284043488</v>
      </c>
      <c r="AG30" s="200">
        <f>($J$18*$B$12)*(2^(((AG17 - 14) - $J$17)/HLOOKUP((AG17-14)-$B$14,$J$41:$AK$43,3,TRUE)))</f>
        <v>1798087.2266961443</v>
      </c>
      <c r="AH30" s="200">
        <f>($J$18*$B$12)*(2^(((AH17 - 14) - $J$17)/HLOOKUP((AH17-14)-$B$14,$J$41:$AK$43,3,TRUE)))</f>
        <v>3595165.6809587502</v>
      </c>
      <c r="AI30" s="201">
        <f>($J$18*$B$12)*(2^(((AI17 - 14) - $J$17)/HLOOKUP((AI17-14)-$B$14,$J$41:$AK$43,3,TRUE)))</f>
        <v>3595165.6809587502</v>
      </c>
      <c r="AJ30" s="200">
        <f>($J$18*$B$12)*(2^(((AJ17 - 14) - $J$17)/HLOOKUP((AJ17-14)-$B$14,$J$41:$AK$43,3,TRUE)))</f>
        <v>7188504.6398546752</v>
      </c>
      <c r="AK30" s="240">
        <f>AK18*B12</f>
        <v>4176468</v>
      </c>
      <c r="AL30" s="45"/>
      <c r="AM30" s="45"/>
      <c r="AN30" s="69"/>
    </row>
    <row r="31" spans="1:40" x14ac:dyDescent="0.25">
      <c r="A31" s="37" t="s">
        <v>160</v>
      </c>
      <c r="B31" s="38"/>
      <c r="C31" s="39"/>
      <c r="D31" s="39"/>
      <c r="E31" s="39"/>
      <c r="F31" s="39"/>
      <c r="G31" s="39"/>
      <c r="H31" s="39"/>
      <c r="I31" s="63"/>
      <c r="J31" s="198">
        <f t="shared" ref="J31:Q31" si="32">J30</f>
        <v>0.38480681703630393</v>
      </c>
      <c r="K31" s="199">
        <f t="shared" si="32"/>
        <v>0.62554719247502066</v>
      </c>
      <c r="L31" s="199">
        <f t="shared" si="32"/>
        <v>1.0168980191857229</v>
      </c>
      <c r="M31" s="199">
        <f t="shared" si="32"/>
        <v>1.6530832427405393</v>
      </c>
      <c r="N31" s="199">
        <f t="shared" si="32"/>
        <v>3.0999999999999996</v>
      </c>
      <c r="O31" s="199">
        <f t="shared" si="32"/>
        <v>5.5408710309150333</v>
      </c>
      <c r="P31" s="199">
        <f t="shared" si="32"/>
        <v>8.5076562626629748</v>
      </c>
      <c r="Q31" s="199">
        <f t="shared" si="32"/>
        <v>16.508708422906025</v>
      </c>
      <c r="R31" s="197">
        <f>MAX(R30-($J$18*$B$12)*(2^(((R17 - 35) - $J$17)/HLOOKUP((R17-35)-$B$14,$J$41:$AK$43,3,TRUE))),0)</f>
        <v>40.596835545688094</v>
      </c>
      <c r="S31" s="197">
        <f>MAX(S30-($J$18*$B$12)*(2^(((S17 - 35) - $J$17)/HLOOKUP((S17-35)-$B$14,$J$41:$AK$43,3,TRUE))),0)</f>
        <v>96.315605677184138</v>
      </c>
      <c r="T31" s="197">
        <f>MAX(T30-($J$18*$B$12)*(2^(((T17 - 35) - $J$17)/HLOOKUP((T17-35)-$B$14,$J$41:$AK$43,3,TRUE))),0)</f>
        <v>245.16652556399137</v>
      </c>
      <c r="U31" s="197">
        <f>MAX(U30-($J$18*$B$12)*(2^(((U17 - 35) - $J$17)/HLOOKUP((U17-35)-$B$14,$J$41:$AK$43,3,TRUE))),0)</f>
        <v>428.81568009114943</v>
      </c>
      <c r="V31" s="197">
        <f>MAX(V30-($J$18*$B$12)*(2^(((V17 - 35) - $J$17)/HLOOKUP((V17-35)-$B$14,$J$41:$AK$43,3,TRUE))),0)</f>
        <v>848.37044308944621</v>
      </c>
      <c r="W31" s="197">
        <f>MAX(W30-($J$18*$B$12)*(2^(((W17 - 35) - $J$17)/HLOOKUP((W17-35)-$B$14,$J$41:$AK$43,3,TRUE))),0)</f>
        <v>1688.9581480781826</v>
      </c>
      <c r="X31" s="197">
        <f>MAX(X30-($J$18*$B$12)*(2^(((X17 - 35) - $J$17)/HLOOKUP((X17-35)-$B$14,$J$41:$AK$43,3,TRUE))),0)</f>
        <v>3315.0440387552358</v>
      </c>
      <c r="Y31" s="197">
        <f>MAX(Y30-($J$18*$B$12)*(2^(((Y17 - 35) - $J$17)/HLOOKUP((Y17-35)-$B$14,$J$41:$AK$43,3,TRUE))),0)</f>
        <v>6672.2678586377169</v>
      </c>
      <c r="Z31" s="197">
        <f>MAX(Z30-($J$18*$B$12)*(2^(((Z17 - 35) - $J$17)/HLOOKUP((Z17-35)-$B$14,$J$41:$AK$43,3,TRUE))),0)</f>
        <v>13333.308451427838</v>
      </c>
      <c r="AA31" s="197">
        <f>MAX(AA30-($J$18*$B$12)*(2^(((AA17 - 35) - $J$17)/HLOOKUP((AA17-35)-$B$14,$J$41:$AK$43,3,TRUE))),0)</f>
        <v>26647.578590306723</v>
      </c>
      <c r="AB31" s="197">
        <f>MAX(AB30-($J$18*$B$12)*(2^(((AB17 - 35) - $J$17)/HLOOKUP((AB17-35)-$B$14,$J$41:$AK$43,3,TRUE))),0)</f>
        <v>53262.464001137865</v>
      </c>
      <c r="AC31" s="197">
        <f>MAX(AC30-($J$18*$B$12)*(2^(((AC17 - 35) - $J$17)/HLOOKUP((AC17-35)-$B$14,$J$41:$AK$43,3,TRUE))),0)</f>
        <v>106468.17589744378</v>
      </c>
      <c r="AD31" s="197">
        <f>MAX(AD30-($J$18*$B$12)*(2^(((AD17 - 35) - $J$17)/HLOOKUP((AD17-35)-$B$14,$J$41:$AK$43,3,TRUE))),0)</f>
        <v>212836.90749929595</v>
      </c>
      <c r="AE31" s="197">
        <f>MAX(AE30-($J$18*$B$12)*(2^(((AE17 - 35) - $J$17)/HLOOKUP((AE17-35)-$B$14,$J$41:$AK$43,3,TRUE))),0)</f>
        <v>425498.12612365105</v>
      </c>
      <c r="AF31" s="237">
        <f>MAX(AF30-($J$18*$B$12)*(2^(((AF17 - 35) - $J$17)/HLOOKUP((AF17-35)-$B$14,$J$41:$AK$43,3,TRUE))),0)</f>
        <v>850683.60284043488</v>
      </c>
      <c r="AG31" s="194">
        <f>MAX(AG30-($J$18*$B$12)*(2^(((AG17 - 35) - $J$17)/HLOOKUP((AG17-35)-$B$14,$J$41:$AK$43,3,TRUE))),0)</f>
        <v>1700807.2266961443</v>
      </c>
      <c r="AH31" s="194">
        <f>MAX(AH30-($J$18*$B$12)*(2^(((AH17 - 35) - $J$17)/HLOOKUP((AH17-35)-$B$14,$J$41:$AK$43,3,TRUE))),0)</f>
        <v>3400605.6809587502</v>
      </c>
      <c r="AI31" s="195">
        <f>MAX(AI30-($J$18*$B$12)*(2^(((AI17 - 35) - $J$17)/HLOOKUP((AI17-35)-$B$14,$J$41:$AK$43,3,TRUE))),0)</f>
        <v>3400605.6809587502</v>
      </c>
      <c r="AJ31" s="194">
        <f>MAX(AJ30-($J$18*$B$12)*(2^(((AJ17 - 35) - $J$17)/HLOOKUP((AJ17-35)-$B$14,$J$41:$AK$43,3,TRUE))),0)</f>
        <v>6799384.6398546752</v>
      </c>
      <c r="AK31" s="240"/>
      <c r="AL31" s="45"/>
      <c r="AM31" s="45"/>
      <c r="AN31" s="69"/>
    </row>
    <row r="32" spans="1:40" x14ac:dyDescent="0.25">
      <c r="A32" s="41" t="s">
        <v>55</v>
      </c>
      <c r="B32" s="15"/>
      <c r="C32" s="16"/>
      <c r="D32" s="16"/>
      <c r="E32" s="16"/>
      <c r="F32" s="16"/>
      <c r="G32" s="16"/>
      <c r="H32" s="16"/>
      <c r="I32" s="16"/>
      <c r="J32" s="221">
        <f t="shared" ref="J32:AJ32" si="33">J18*$B$13</f>
        <v>1.05</v>
      </c>
      <c r="K32" s="222">
        <f t="shared" si="33"/>
        <v>2.1</v>
      </c>
      <c r="L32" s="222">
        <f t="shared" si="33"/>
        <v>4.2</v>
      </c>
      <c r="M32" s="222">
        <f t="shared" si="33"/>
        <v>8.4</v>
      </c>
      <c r="N32" s="222">
        <f t="shared" si="33"/>
        <v>16.8</v>
      </c>
      <c r="O32" s="222">
        <f t="shared" si="33"/>
        <v>33.6</v>
      </c>
      <c r="P32" s="222">
        <f t="shared" si="33"/>
        <v>67.2</v>
      </c>
      <c r="Q32" s="222">
        <f t="shared" si="33"/>
        <v>134.4</v>
      </c>
      <c r="R32" s="222">
        <f t="shared" si="33"/>
        <v>268.8</v>
      </c>
      <c r="S32" s="222">
        <f t="shared" si="33"/>
        <v>537.6</v>
      </c>
      <c r="T32" s="222">
        <f t="shared" si="33"/>
        <v>1075.2</v>
      </c>
      <c r="U32" s="222">
        <f t="shared" si="33"/>
        <v>2150.4</v>
      </c>
      <c r="V32" s="222">
        <f t="shared" si="33"/>
        <v>4300.8</v>
      </c>
      <c r="W32" s="222">
        <f t="shared" si="33"/>
        <v>8601.6</v>
      </c>
      <c r="X32" s="222">
        <f t="shared" si="33"/>
        <v>17203.2</v>
      </c>
      <c r="Y32" s="222">
        <f t="shared" si="33"/>
        <v>34406.400000000001</v>
      </c>
      <c r="Z32" s="222">
        <f t="shared" si="33"/>
        <v>68812.800000000003</v>
      </c>
      <c r="AA32" s="222">
        <f t="shared" si="33"/>
        <v>137625.60000000001</v>
      </c>
      <c r="AB32" s="222">
        <f t="shared" si="33"/>
        <v>275251.20000000001</v>
      </c>
      <c r="AC32" s="222">
        <f t="shared" si="33"/>
        <v>550502.40000000002</v>
      </c>
      <c r="AD32" s="222">
        <f t="shared" ref="AD32:AI32" si="34">AD18*$B$13</f>
        <v>1101004.8</v>
      </c>
      <c r="AE32" s="222">
        <f t="shared" si="34"/>
        <v>2202009.6000000001</v>
      </c>
      <c r="AF32" s="236">
        <f t="shared" si="34"/>
        <v>4404019.2000000002</v>
      </c>
      <c r="AG32" s="190">
        <f t="shared" si="34"/>
        <v>8808038.4000000004</v>
      </c>
      <c r="AH32" s="190">
        <f t="shared" ref="AH32" si="35">AH18*$B$13</f>
        <v>17616076.800000001</v>
      </c>
      <c r="AI32" s="191">
        <f t="shared" si="34"/>
        <v>35232153.600000001</v>
      </c>
      <c r="AJ32" s="200">
        <f t="shared" si="33"/>
        <v>48725460.000000007</v>
      </c>
      <c r="AK32" s="240">
        <f>AK18*B13</f>
        <v>2923527.6</v>
      </c>
      <c r="AL32" s="45"/>
      <c r="AM32" s="45"/>
      <c r="AN32" s="69"/>
    </row>
    <row r="33" spans="1:40" x14ac:dyDescent="0.25">
      <c r="A33" s="37" t="s">
        <v>54</v>
      </c>
      <c r="B33" s="38"/>
      <c r="C33" s="39"/>
      <c r="D33" s="39"/>
      <c r="E33" s="39"/>
      <c r="F33" s="39"/>
      <c r="G33" s="39"/>
      <c r="H33" s="39"/>
      <c r="I33" s="39"/>
      <c r="J33" s="192"/>
      <c r="K33" s="193"/>
      <c r="L33" s="193"/>
      <c r="M33" s="193"/>
      <c r="N33" s="193"/>
      <c r="O33" s="193"/>
      <c r="P33" s="193"/>
      <c r="Q33" s="193"/>
      <c r="R33" s="202">
        <f>($J$18*$B$13)*(2^(((R17-35)-$J$17)/HLOOKUP((R17-35)-$B$14,$J$41:$AK$43,3,TRUE)))</f>
        <v>1.1571582699183776</v>
      </c>
      <c r="S33" s="202">
        <f>($J$18*$B$13)*(2^(((S17-35)-$J$17)/HLOOKUP((S17-35)-$B$14,$J$41:$AK$43,3,TRUE)))</f>
        <v>2.5090760259710976</v>
      </c>
      <c r="T33" s="202">
        <f>($J$18*$B$13)*(2^(((T17-35)-$J$17)/HLOOKUP((T17-35)-$B$14,$J$41:$AK$43,3,TRUE)))</f>
        <v>4.5598573382937886</v>
      </c>
      <c r="U33" s="202">
        <f>($J$18*$B$13)*(2^(((U17-35)-$J$17)/HLOOKUP((U17-35)-$B$14,$J$41:$AK$43,3,TRUE)))</f>
        <v>10.035505753769373</v>
      </c>
      <c r="V33" s="202">
        <f>($J$18*$B$13)*(2^(((V17-35)-$J$17)/HLOOKUP((V17-35)-$B$14,$J$41:$AK$43,3,TRUE)))</f>
        <v>25.411300406729918</v>
      </c>
      <c r="W33" s="202">
        <f>($J$18*$B$13)*(2^(((W17-35)-$J$17)/HLOOKUP((W17-35)-$B$14,$J$41:$AK$43,3,TRUE)))</f>
        <v>54.485421398303423</v>
      </c>
      <c r="X33" s="202">
        <f>($J$18*$B$13)*(2^(((X17-35)-$J$17)/HLOOKUP((X17-35)-$B$14,$J$41:$AK$43,3,TRUE)))</f>
        <v>150.11499999999998</v>
      </c>
      <c r="Y33" s="202">
        <f>($J$18*$B$13)*(2^(((Y17-35)-$J$17)/HLOOKUP((Y17-35)-$B$14,$J$41:$AK$43,3,TRUE)))</f>
        <v>265.99999999999977</v>
      </c>
      <c r="Z33" s="202">
        <f>($J$18*$B$13)*(2^(((Z17-35)-$J$17)/HLOOKUP((Z17-35)-$B$14,$J$41:$AK$43,3,TRUE)))</f>
        <v>531.99999999999955</v>
      </c>
      <c r="AA33" s="202">
        <f>($J$18*$B$13)*(2^(((AA17-35)-$J$17)/HLOOKUP((AA17-35)-$B$14,$J$41:$AK$43,3,TRUE)))</f>
        <v>1063.9999999999991</v>
      </c>
      <c r="AB33" s="202">
        <f>($J$18*$B$13)*(2^(((AB17-35)-$J$17)/HLOOKUP((AB17-35)-$B$14,$J$41:$AK$43,3,TRUE)))</f>
        <v>2128.0000000000005</v>
      </c>
      <c r="AC33" s="202">
        <f>($J$18*$B$13)*(2^(((AC17-35)-$J$17)/HLOOKUP((AC17-35)-$B$14,$J$41:$AK$43,3,TRUE)))</f>
        <v>4256.0000000000009</v>
      </c>
      <c r="AD33" s="202">
        <f>($J$18*$B$13)*(2^(((AD17-35)-$J$17)/HLOOKUP((AD17-35)-$B$14,$J$41:$AK$43,3,TRUE)))</f>
        <v>8512.0000000000036</v>
      </c>
      <c r="AE33" s="202">
        <f>($J$18*$B$13)*(2^(((AE17-35)-$J$17)/HLOOKUP((AE17-35)-$B$14,$J$41:$AK$43,3,TRUE)))</f>
        <v>17024.000000000007</v>
      </c>
      <c r="AF33" s="237">
        <f>($J$18*$B$13)*(2^(((AF17-35)-$J$17)/HLOOKUP((AF17-35)-$B$14,$J$41:$AK$43,3,TRUE)))</f>
        <v>34048.000000000015</v>
      </c>
      <c r="AG33" s="194">
        <f>($J$18*$B$13)*(2^(((AG17-35)-$J$17)/HLOOKUP((AG17-35)-$B$14,$J$41:$AK$43,3,TRUE)))</f>
        <v>68096.000000000044</v>
      </c>
      <c r="AH33" s="194">
        <f>($J$18*$B$13)*(2^(((AH17-35)-$J$17)/HLOOKUP((AH17-35)-$B$14,$J$41:$AK$43,3,TRUE)))</f>
        <v>136192.00000000012</v>
      </c>
      <c r="AI33" s="195">
        <f>($J$18*$B$13)*(2^(((AI17-35)-$J$17)/HLOOKUP((AI17-35)-$B$14,$J$41:$AK$43,3,TRUE)))</f>
        <v>136192.00000000012</v>
      </c>
      <c r="AJ33" s="194">
        <f>($J$18*$B$13)*(2^(((AJ17-35)-$J$17)/HLOOKUP((AJ17-35)-$B$14,$J$41:$AK$43,3,TRUE)))</f>
        <v>272384.00000000023</v>
      </c>
      <c r="AK33" s="243">
        <f>($J$18*$B$13)*(2^(((AK17 - 35) - $J$17)/AK43))</f>
        <v>1485142.7258673697</v>
      </c>
      <c r="AL33" s="45"/>
      <c r="AM33" s="45"/>
      <c r="AN33" s="69"/>
    </row>
    <row r="34" spans="1:40" s="69" customFormat="1" hidden="1" x14ac:dyDescent="0.25">
      <c r="A34" s="48" t="s">
        <v>105</v>
      </c>
      <c r="B34" s="25"/>
      <c r="C34" s="47"/>
      <c r="D34" s="47"/>
      <c r="E34" s="47"/>
      <c r="F34" s="47"/>
      <c r="G34" s="47"/>
      <c r="H34" s="47"/>
      <c r="I34" s="47"/>
      <c r="J34" s="143">
        <f t="shared" ref="J34:AJ34" si="36">J17-7</f>
        <v>43888</v>
      </c>
      <c r="K34" s="143">
        <f t="shared" si="36"/>
        <v>43893</v>
      </c>
      <c r="L34" s="143">
        <f t="shared" si="36"/>
        <v>43898</v>
      </c>
      <c r="M34" s="143">
        <f t="shared" si="36"/>
        <v>43903</v>
      </c>
      <c r="N34" s="143">
        <f t="shared" si="36"/>
        <v>43907</v>
      </c>
      <c r="O34" s="143">
        <f t="shared" si="36"/>
        <v>43911</v>
      </c>
      <c r="P34" s="143">
        <f t="shared" si="36"/>
        <v>43915</v>
      </c>
      <c r="Q34" s="143">
        <f t="shared" si="36"/>
        <v>43919</v>
      </c>
      <c r="R34" s="143">
        <f t="shared" si="36"/>
        <v>43924</v>
      </c>
      <c r="S34" s="143">
        <f t="shared" si="36"/>
        <v>43929</v>
      </c>
      <c r="T34" s="143">
        <f t="shared" si="36"/>
        <v>43934</v>
      </c>
      <c r="U34" s="143">
        <f t="shared" si="36"/>
        <v>43939</v>
      </c>
      <c r="V34" s="143">
        <f t="shared" si="36"/>
        <v>43944</v>
      </c>
      <c r="W34" s="143">
        <f t="shared" si="36"/>
        <v>43949</v>
      </c>
      <c r="X34" s="143">
        <f t="shared" si="36"/>
        <v>43954</v>
      </c>
      <c r="Y34" s="143">
        <f t="shared" si="36"/>
        <v>43959</v>
      </c>
      <c r="Z34" s="143">
        <f t="shared" si="36"/>
        <v>43964</v>
      </c>
      <c r="AA34" s="143">
        <f t="shared" si="36"/>
        <v>43969</v>
      </c>
      <c r="AB34" s="143">
        <f t="shared" si="36"/>
        <v>43974</v>
      </c>
      <c r="AC34" s="143">
        <f t="shared" si="36"/>
        <v>43979</v>
      </c>
      <c r="AD34" s="143"/>
      <c r="AE34" s="143"/>
      <c r="AF34" s="143"/>
      <c r="AG34" s="143"/>
      <c r="AH34" s="143"/>
      <c r="AI34" s="143"/>
      <c r="AJ34" s="143">
        <f t="shared" si="36"/>
        <v>44009</v>
      </c>
      <c r="AK34" s="143"/>
      <c r="AL34" s="45"/>
      <c r="AM34" s="45"/>
    </row>
    <row r="35" spans="1:40" s="69" customFormat="1" hidden="1" x14ac:dyDescent="0.25">
      <c r="A35" s="48" t="s">
        <v>103</v>
      </c>
      <c r="B35" s="25"/>
      <c r="C35" s="47"/>
      <c r="D35" s="47"/>
      <c r="E35" s="47"/>
      <c r="F35" s="47"/>
      <c r="G35" s="47"/>
      <c r="H35" s="47"/>
      <c r="I35" s="47"/>
      <c r="J35" s="143">
        <f t="shared" ref="J35:AJ35" si="37">J17-14</f>
        <v>43881</v>
      </c>
      <c r="K35" s="143">
        <f t="shared" si="37"/>
        <v>43886</v>
      </c>
      <c r="L35" s="143">
        <f t="shared" si="37"/>
        <v>43891</v>
      </c>
      <c r="M35" s="143">
        <f t="shared" si="37"/>
        <v>43896</v>
      </c>
      <c r="N35" s="143">
        <f t="shared" si="37"/>
        <v>43900</v>
      </c>
      <c r="O35" s="143">
        <f t="shared" si="37"/>
        <v>43904</v>
      </c>
      <c r="P35" s="143">
        <f t="shared" si="37"/>
        <v>43908</v>
      </c>
      <c r="Q35" s="143">
        <f t="shared" si="37"/>
        <v>43912</v>
      </c>
      <c r="R35" s="143">
        <f t="shared" si="37"/>
        <v>43917</v>
      </c>
      <c r="S35" s="143">
        <f t="shared" si="37"/>
        <v>43922</v>
      </c>
      <c r="T35" s="143">
        <f t="shared" si="37"/>
        <v>43927</v>
      </c>
      <c r="U35" s="143">
        <f t="shared" si="37"/>
        <v>43932</v>
      </c>
      <c r="V35" s="143">
        <f t="shared" si="37"/>
        <v>43937</v>
      </c>
      <c r="W35" s="143">
        <f t="shared" si="37"/>
        <v>43942</v>
      </c>
      <c r="X35" s="143">
        <f t="shared" si="37"/>
        <v>43947</v>
      </c>
      <c r="Y35" s="143">
        <f t="shared" si="37"/>
        <v>43952</v>
      </c>
      <c r="Z35" s="143">
        <f t="shared" si="37"/>
        <v>43957</v>
      </c>
      <c r="AA35" s="143">
        <f t="shared" si="37"/>
        <v>43962</v>
      </c>
      <c r="AB35" s="143">
        <f t="shared" si="37"/>
        <v>43967</v>
      </c>
      <c r="AC35" s="143">
        <f t="shared" si="37"/>
        <v>43972</v>
      </c>
      <c r="AD35" s="143"/>
      <c r="AE35" s="143"/>
      <c r="AF35" s="143"/>
      <c r="AG35" s="143"/>
      <c r="AH35" s="143"/>
      <c r="AI35" s="143"/>
      <c r="AJ35" s="143">
        <f t="shared" si="37"/>
        <v>44002</v>
      </c>
      <c r="AK35" s="143"/>
      <c r="AL35" s="45"/>
      <c r="AM35" s="45"/>
    </row>
    <row r="36" spans="1:40" s="69" customFormat="1" hidden="1" x14ac:dyDescent="0.25">
      <c r="A36" s="48" t="s">
        <v>106</v>
      </c>
      <c r="B36" s="25"/>
      <c r="C36" s="47"/>
      <c r="D36" s="47"/>
      <c r="E36" s="47"/>
      <c r="F36" s="47"/>
      <c r="G36" s="47"/>
      <c r="H36" s="47"/>
      <c r="I36" s="47"/>
      <c r="J36" s="143">
        <f t="shared" ref="J36:AJ36" si="38">J17-(7*5)</f>
        <v>43860</v>
      </c>
      <c r="K36" s="143">
        <f t="shared" si="38"/>
        <v>43865</v>
      </c>
      <c r="L36" s="143">
        <f t="shared" si="38"/>
        <v>43870</v>
      </c>
      <c r="M36" s="143">
        <f t="shared" si="38"/>
        <v>43875</v>
      </c>
      <c r="N36" s="143">
        <f t="shared" si="38"/>
        <v>43879</v>
      </c>
      <c r="O36" s="143">
        <f t="shared" si="38"/>
        <v>43883</v>
      </c>
      <c r="P36" s="143">
        <f t="shared" si="38"/>
        <v>43887</v>
      </c>
      <c r="Q36" s="143">
        <f t="shared" si="38"/>
        <v>43891</v>
      </c>
      <c r="R36" s="143">
        <f t="shared" si="38"/>
        <v>43896</v>
      </c>
      <c r="S36" s="143">
        <f t="shared" si="38"/>
        <v>43901</v>
      </c>
      <c r="T36" s="143">
        <f t="shared" si="38"/>
        <v>43906</v>
      </c>
      <c r="U36" s="143">
        <f t="shared" si="38"/>
        <v>43911</v>
      </c>
      <c r="V36" s="143">
        <f t="shared" si="38"/>
        <v>43916</v>
      </c>
      <c r="W36" s="143">
        <f t="shared" si="38"/>
        <v>43921</v>
      </c>
      <c r="X36" s="143">
        <f t="shared" si="38"/>
        <v>43926</v>
      </c>
      <c r="Y36" s="143">
        <f t="shared" si="38"/>
        <v>43931</v>
      </c>
      <c r="Z36" s="143">
        <f t="shared" si="38"/>
        <v>43936</v>
      </c>
      <c r="AA36" s="143">
        <f t="shared" si="38"/>
        <v>43941</v>
      </c>
      <c r="AB36" s="143">
        <f t="shared" si="38"/>
        <v>43946</v>
      </c>
      <c r="AC36" s="143">
        <f t="shared" si="38"/>
        <v>43951</v>
      </c>
      <c r="AD36" s="143"/>
      <c r="AE36" s="143"/>
      <c r="AF36" s="143"/>
      <c r="AG36" s="143"/>
      <c r="AH36" s="143"/>
      <c r="AI36" s="143"/>
      <c r="AJ36" s="143">
        <f t="shared" si="38"/>
        <v>43981</v>
      </c>
      <c r="AK36" s="143"/>
      <c r="AL36" s="45"/>
      <c r="AM36" s="45"/>
    </row>
    <row r="37" spans="1:40" s="69" customFormat="1" hidden="1" x14ac:dyDescent="0.25">
      <c r="A37" s="48" t="s">
        <v>104</v>
      </c>
      <c r="B37" s="25"/>
      <c r="C37" s="47"/>
      <c r="D37" s="47"/>
      <c r="E37" s="47"/>
      <c r="F37" s="47"/>
      <c r="G37" s="47"/>
      <c r="H37" s="47"/>
      <c r="I37" s="47"/>
      <c r="J37" s="143">
        <f t="shared" ref="J37:AJ37" si="39">J17-(6*7)</f>
        <v>43853</v>
      </c>
      <c r="K37" s="143">
        <f t="shared" si="39"/>
        <v>43858</v>
      </c>
      <c r="L37" s="143">
        <f t="shared" si="39"/>
        <v>43863</v>
      </c>
      <c r="M37" s="143">
        <f t="shared" si="39"/>
        <v>43868</v>
      </c>
      <c r="N37" s="143">
        <f t="shared" si="39"/>
        <v>43872</v>
      </c>
      <c r="O37" s="143">
        <f t="shared" si="39"/>
        <v>43876</v>
      </c>
      <c r="P37" s="143">
        <f t="shared" si="39"/>
        <v>43880</v>
      </c>
      <c r="Q37" s="143">
        <f t="shared" si="39"/>
        <v>43884</v>
      </c>
      <c r="R37" s="143">
        <f t="shared" si="39"/>
        <v>43889</v>
      </c>
      <c r="S37" s="143">
        <f t="shared" si="39"/>
        <v>43894</v>
      </c>
      <c r="T37" s="143">
        <f t="shared" si="39"/>
        <v>43899</v>
      </c>
      <c r="U37" s="143">
        <f t="shared" si="39"/>
        <v>43904</v>
      </c>
      <c r="V37" s="143">
        <f t="shared" si="39"/>
        <v>43909</v>
      </c>
      <c r="W37" s="143">
        <f t="shared" si="39"/>
        <v>43914</v>
      </c>
      <c r="X37" s="143">
        <f t="shared" si="39"/>
        <v>43919</v>
      </c>
      <c r="Y37" s="143">
        <f t="shared" si="39"/>
        <v>43924</v>
      </c>
      <c r="Z37" s="143">
        <f t="shared" si="39"/>
        <v>43929</v>
      </c>
      <c r="AA37" s="143">
        <f t="shared" si="39"/>
        <v>43934</v>
      </c>
      <c r="AB37" s="143">
        <f t="shared" si="39"/>
        <v>43939</v>
      </c>
      <c r="AC37" s="143">
        <f t="shared" si="39"/>
        <v>43944</v>
      </c>
      <c r="AD37" s="143"/>
      <c r="AE37" s="143"/>
      <c r="AF37" s="143"/>
      <c r="AG37" s="143"/>
      <c r="AH37" s="143"/>
      <c r="AI37" s="143"/>
      <c r="AJ37" s="143">
        <f t="shared" si="39"/>
        <v>43974</v>
      </c>
      <c r="AK37" s="143"/>
      <c r="AL37" s="45"/>
      <c r="AM37" s="45"/>
    </row>
    <row r="39" spans="1:40" x14ac:dyDescent="0.25">
      <c r="A39" s="53" t="s">
        <v>47</v>
      </c>
      <c r="B39" s="15"/>
      <c r="C39" s="16"/>
      <c r="D39" s="16"/>
      <c r="E39" s="16"/>
      <c r="F39" s="16"/>
      <c r="G39" s="16"/>
      <c r="H39" s="16"/>
      <c r="I39" s="16"/>
    </row>
    <row r="40" spans="1:40" s="69" customFormat="1" x14ac:dyDescent="0.25">
      <c r="A40" s="140" t="s">
        <v>101</v>
      </c>
      <c r="B40" s="25"/>
      <c r="C40" s="47"/>
      <c r="D40" s="47"/>
      <c r="E40" s="47"/>
      <c r="F40" s="47"/>
      <c r="G40" s="47"/>
      <c r="H40" s="47"/>
      <c r="I40" s="47"/>
      <c r="J40" s="273">
        <f t="shared" ref="J40:AK40" si="40">(J17-$B$14)/7</f>
        <v>5</v>
      </c>
      <c r="K40" s="273">
        <f t="shared" si="40"/>
        <v>5.7142857142857144</v>
      </c>
      <c r="L40" s="274">
        <f t="shared" si="40"/>
        <v>6.4285714285714288</v>
      </c>
      <c r="M40" s="273">
        <f t="shared" si="40"/>
        <v>7.1428571428571432</v>
      </c>
      <c r="N40" s="273">
        <f t="shared" si="40"/>
        <v>7.7142857142857144</v>
      </c>
      <c r="O40" s="274">
        <f t="shared" si="40"/>
        <v>8.2857142857142865</v>
      </c>
      <c r="P40" s="275">
        <f t="shared" si="40"/>
        <v>8.8571428571428577</v>
      </c>
      <c r="Q40" s="275">
        <f t="shared" si="40"/>
        <v>9.4285714285714288</v>
      </c>
      <c r="R40" s="273">
        <f t="shared" si="40"/>
        <v>10.142857142857142</v>
      </c>
      <c r="S40" s="276">
        <f t="shared" si="40"/>
        <v>10.857142857142858</v>
      </c>
      <c r="T40" s="275">
        <f t="shared" si="40"/>
        <v>11.571428571428571</v>
      </c>
      <c r="U40" s="275">
        <f t="shared" si="40"/>
        <v>12.285714285714286</v>
      </c>
      <c r="V40" s="273">
        <f t="shared" si="40"/>
        <v>13</v>
      </c>
      <c r="W40" s="273">
        <f t="shared" si="40"/>
        <v>13.714285714285714</v>
      </c>
      <c r="X40" s="274">
        <f t="shared" si="40"/>
        <v>14.428571428571429</v>
      </c>
      <c r="Y40" s="274">
        <f t="shared" si="40"/>
        <v>15.142857142857142</v>
      </c>
      <c r="Z40" s="273">
        <f t="shared" si="40"/>
        <v>15.857142857142858</v>
      </c>
      <c r="AA40" s="273">
        <f t="shared" si="40"/>
        <v>16.571428571428573</v>
      </c>
      <c r="AB40" s="274">
        <f t="shared" si="40"/>
        <v>17.285714285714285</v>
      </c>
      <c r="AC40" s="275">
        <f t="shared" si="40"/>
        <v>18</v>
      </c>
      <c r="AD40" s="273">
        <f t="shared" ref="AD40:AI40" si="41">(AD17-$B$14)/7</f>
        <v>18.714285714285715</v>
      </c>
      <c r="AE40" s="274">
        <f t="shared" si="41"/>
        <v>19.428571428571427</v>
      </c>
      <c r="AF40" s="141">
        <f t="shared" si="41"/>
        <v>20.142857142857142</v>
      </c>
      <c r="AG40" s="138">
        <f t="shared" si="41"/>
        <v>20.857142857142858</v>
      </c>
      <c r="AH40" s="138">
        <f t="shared" si="41"/>
        <v>21.571428571428573</v>
      </c>
      <c r="AI40" s="141">
        <f t="shared" si="41"/>
        <v>21.571428571428573</v>
      </c>
      <c r="AJ40" s="139">
        <f>(AJ17-$B$14)/7</f>
        <v>22.285714285714285</v>
      </c>
      <c r="AK40" s="139">
        <f t="shared" si="40"/>
        <v>30.285714285714285</v>
      </c>
    </row>
    <row r="41" spans="1:40" s="69" customFormat="1" x14ac:dyDescent="0.25">
      <c r="A41" s="140" t="s">
        <v>100</v>
      </c>
      <c r="B41" s="25"/>
      <c r="C41" s="47"/>
      <c r="D41" s="47"/>
      <c r="E41" s="47"/>
      <c r="F41" s="47"/>
      <c r="G41" s="47"/>
      <c r="H41" s="47"/>
      <c r="I41" s="47"/>
      <c r="J41" s="281">
        <f>J17-$B$14</f>
        <v>35</v>
      </c>
      <c r="K41" s="229">
        <f t="shared" ref="K41:O41" si="42">K17-$B$14</f>
        <v>40</v>
      </c>
      <c r="L41" s="229">
        <f t="shared" si="42"/>
        <v>45</v>
      </c>
      <c r="M41" s="229">
        <f t="shared" si="42"/>
        <v>50</v>
      </c>
      <c r="N41" s="229">
        <f t="shared" si="42"/>
        <v>54</v>
      </c>
      <c r="O41" s="229">
        <f t="shared" si="42"/>
        <v>58</v>
      </c>
      <c r="P41" s="229">
        <f>P17-$B$14</f>
        <v>62</v>
      </c>
      <c r="Q41" s="229">
        <f t="shared" ref="Q41:AK41" si="43">Q17-$B$14</f>
        <v>66</v>
      </c>
      <c r="R41" s="229">
        <f t="shared" si="43"/>
        <v>71</v>
      </c>
      <c r="S41" s="229">
        <f t="shared" si="43"/>
        <v>76</v>
      </c>
      <c r="T41" s="229">
        <f t="shared" si="43"/>
        <v>81</v>
      </c>
      <c r="U41" s="229">
        <f t="shared" si="43"/>
        <v>86</v>
      </c>
      <c r="V41" s="229">
        <f t="shared" si="43"/>
        <v>91</v>
      </c>
      <c r="W41" s="229">
        <f t="shared" si="43"/>
        <v>96</v>
      </c>
      <c r="X41" s="229">
        <f t="shared" si="43"/>
        <v>101</v>
      </c>
      <c r="Y41" s="229">
        <f t="shared" si="43"/>
        <v>106</v>
      </c>
      <c r="Z41" s="229">
        <f t="shared" si="43"/>
        <v>111</v>
      </c>
      <c r="AA41" s="229">
        <f t="shared" si="43"/>
        <v>116</v>
      </c>
      <c r="AB41" s="229">
        <f t="shared" si="43"/>
        <v>121</v>
      </c>
      <c r="AC41" s="229">
        <f t="shared" si="43"/>
        <v>126</v>
      </c>
      <c r="AD41" s="229">
        <f t="shared" ref="AD41:AI41" si="44">AD17-$B$14</f>
        <v>131</v>
      </c>
      <c r="AE41" s="230">
        <f t="shared" si="44"/>
        <v>136</v>
      </c>
      <c r="AF41" s="272">
        <f t="shared" si="44"/>
        <v>141</v>
      </c>
      <c r="AG41" s="182">
        <f t="shared" si="44"/>
        <v>146</v>
      </c>
      <c r="AH41" s="182">
        <f t="shared" si="44"/>
        <v>151</v>
      </c>
      <c r="AI41" s="270">
        <f t="shared" si="44"/>
        <v>151</v>
      </c>
      <c r="AJ41" s="270">
        <f t="shared" si="43"/>
        <v>156</v>
      </c>
      <c r="AK41" s="182">
        <f t="shared" si="43"/>
        <v>212</v>
      </c>
    </row>
    <row r="42" spans="1:40" x14ac:dyDescent="0.25">
      <c r="A42" s="216" t="s">
        <v>42</v>
      </c>
      <c r="B42" s="16"/>
      <c r="C42" s="16"/>
      <c r="D42" s="16"/>
      <c r="E42" s="16"/>
      <c r="F42" s="16"/>
      <c r="G42" s="16"/>
      <c r="H42" s="16"/>
      <c r="I42" s="16"/>
      <c r="J42" s="277">
        <v>30</v>
      </c>
      <c r="K42" s="278">
        <v>62</v>
      </c>
      <c r="L42" s="279">
        <v>114</v>
      </c>
      <c r="M42" s="279">
        <v>249</v>
      </c>
      <c r="N42" s="279">
        <v>536</v>
      </c>
      <c r="O42" s="279">
        <v>987</v>
      </c>
      <c r="P42" s="279">
        <v>1998</v>
      </c>
      <c r="Q42" s="279">
        <v>4289</v>
      </c>
      <c r="R42" s="279">
        <v>7600</v>
      </c>
      <c r="S42" s="280">
        <f t="shared" ref="S42" si="45">R42*2</f>
        <v>15200</v>
      </c>
      <c r="T42" s="280">
        <f t="shared" ref="T42" si="46">S42*2</f>
        <v>30400</v>
      </c>
      <c r="U42" s="280">
        <f t="shared" ref="U42" si="47">T42*2</f>
        <v>60800</v>
      </c>
      <c r="V42" s="280">
        <f t="shared" ref="V42" si="48">U42*2</f>
        <v>121600</v>
      </c>
      <c r="W42" s="280">
        <f t="shared" ref="W42" si="49">V42*2</f>
        <v>243200</v>
      </c>
      <c r="X42" s="280">
        <f t="shared" ref="X42" si="50">W42*2</f>
        <v>486400</v>
      </c>
      <c r="Y42" s="280">
        <f t="shared" ref="Y42" si="51">X42*2</f>
        <v>972800</v>
      </c>
      <c r="Z42" s="280">
        <f t="shared" ref="Z42:AC42" si="52">Y42*2</f>
        <v>1945600</v>
      </c>
      <c r="AA42" s="280">
        <f t="shared" si="52"/>
        <v>3891200</v>
      </c>
      <c r="AB42" s="280">
        <f t="shared" si="52"/>
        <v>7782400</v>
      </c>
      <c r="AC42" s="280">
        <f t="shared" si="52"/>
        <v>15564800</v>
      </c>
      <c r="AD42" s="280">
        <f t="shared" ref="AD42" si="53">AC42*2</f>
        <v>31129600</v>
      </c>
      <c r="AE42" s="280">
        <f t="shared" ref="AE42" si="54">AD42*2</f>
        <v>62259200</v>
      </c>
      <c r="AF42" s="178">
        <f t="shared" ref="AF42" si="55">AE42*2</f>
        <v>124518400</v>
      </c>
      <c r="AG42" s="178">
        <f t="shared" ref="AG42:AH42" si="56">AF42*2</f>
        <v>249036800</v>
      </c>
      <c r="AH42" s="178">
        <f t="shared" si="56"/>
        <v>498073600</v>
      </c>
      <c r="AI42" s="178">
        <f t="shared" ref="AI42" si="57">AG42*2</f>
        <v>498073600</v>
      </c>
      <c r="AJ42" s="178">
        <f>AJ18</f>
        <v>1392156000</v>
      </c>
      <c r="AK42" s="179">
        <f>AJ42</f>
        <v>1392156000</v>
      </c>
    </row>
    <row r="43" spans="1:40" x14ac:dyDescent="0.25">
      <c r="A43" s="41" t="s">
        <v>157</v>
      </c>
      <c r="B43" s="16"/>
      <c r="C43" s="16"/>
      <c r="D43" s="16"/>
      <c r="E43" s="16"/>
      <c r="F43" s="16"/>
      <c r="G43" s="16"/>
      <c r="H43" s="16"/>
      <c r="I43" s="16"/>
      <c r="J43" s="185">
        <f>(J17-B14)/(LOG(J42/1)/LOG(2))</f>
        <v>7.1328266481677165</v>
      </c>
      <c r="K43" s="166">
        <f>(K17-$J$17)/(LOG(K42/$J$42)/LOG(2))</f>
        <v>4.7741551768942267</v>
      </c>
      <c r="L43" s="166">
        <f t="shared" ref="L43:AK43" si="58">(L17-$J$17)/(LOG(L42/$J$42)/LOG(2))</f>
        <v>5.1921095633020746</v>
      </c>
      <c r="M43" s="166">
        <f t="shared" si="58"/>
        <v>4.9130209635244562</v>
      </c>
      <c r="N43" s="166">
        <f t="shared" si="58"/>
        <v>4.5681877329756686</v>
      </c>
      <c r="O43" s="166">
        <f t="shared" si="58"/>
        <v>4.5634778670485563</v>
      </c>
      <c r="P43" s="166">
        <f t="shared" si="58"/>
        <v>4.4573209497047444</v>
      </c>
      <c r="Q43" s="166">
        <f t="shared" si="58"/>
        <v>4.3298901364730362</v>
      </c>
      <c r="R43" s="166">
        <f>(R17-$J$17)/(LOG(R42/$J$42)/LOG(2))</f>
        <v>4.508513703920614</v>
      </c>
      <c r="S43" s="175">
        <f t="shared" si="58"/>
        <v>4.5632151110707024</v>
      </c>
      <c r="T43" s="175">
        <f t="shared" si="58"/>
        <v>4.6069596844198566</v>
      </c>
      <c r="U43" s="175">
        <f t="shared" si="58"/>
        <v>4.642739760905795</v>
      </c>
      <c r="V43" s="175">
        <f t="shared" si="58"/>
        <v>4.6725489745455357</v>
      </c>
      <c r="W43" s="175">
        <f t="shared" si="58"/>
        <v>4.6977668198324229</v>
      </c>
      <c r="X43" s="175">
        <f t="shared" si="58"/>
        <v>4.7193782242129911</v>
      </c>
      <c r="Y43" s="175">
        <f t="shared" si="58"/>
        <v>4.7381052030290425</v>
      </c>
      <c r="Z43" s="175">
        <f t="shared" si="58"/>
        <v>4.7544890971976113</v>
      </c>
      <c r="AA43" s="175">
        <f t="shared" si="58"/>
        <v>4.7689437600116147</v>
      </c>
      <c r="AB43" s="175">
        <f t="shared" si="58"/>
        <v>4.7817910001150663</v>
      </c>
      <c r="AC43" s="175">
        <f t="shared" si="58"/>
        <v>4.7932848230535523</v>
      </c>
      <c r="AD43" s="175">
        <f t="shared" ref="AD43" si="59">(AD17-$J$17)/(LOG(AD42/$J$42)/LOG(2))</f>
        <v>4.8036283948621872</v>
      </c>
      <c r="AE43" s="175">
        <f t="shared" ref="AE43" si="60">(AE17-$J$17)/(LOG(AE42/$J$42)/LOG(2))</f>
        <v>4.8129861554250279</v>
      </c>
      <c r="AF43" s="180">
        <f t="shared" ref="AF43" si="61">(AF17-$J$17)/(LOG(AF42/$J$42)/LOG(2))</f>
        <v>4.8214926259209081</v>
      </c>
      <c r="AG43" s="180">
        <f t="shared" ref="AG43:AH43" si="62">(AG17-$J$17)/(LOG(AG42/$J$42)/LOG(2))</f>
        <v>4.8292589171646112</v>
      </c>
      <c r="AH43" s="180">
        <f t="shared" si="62"/>
        <v>4.8363776098379265</v>
      </c>
      <c r="AI43" s="180">
        <f t="shared" ref="AI43" si="63">(AI17-$J$17)/(LOG(AI42/$J$42)/LOG(2))</f>
        <v>4.8363776098379265</v>
      </c>
      <c r="AJ43" s="180">
        <f t="shared" si="58"/>
        <v>4.7511006091922026</v>
      </c>
      <c r="AK43" s="181">
        <f t="shared" si="58"/>
        <v>6.9499570894795024</v>
      </c>
    </row>
    <row r="44" spans="1:40" x14ac:dyDescent="0.25">
      <c r="A44" s="41" t="s">
        <v>62</v>
      </c>
      <c r="B44" s="16"/>
      <c r="C44" s="16"/>
      <c r="D44" s="16"/>
      <c r="E44" s="16"/>
      <c r="F44" s="16"/>
      <c r="G44" s="16"/>
      <c r="H44" s="16"/>
      <c r="I44" s="16"/>
      <c r="J44" s="228">
        <f>J42-J45-27</f>
        <v>3</v>
      </c>
      <c r="K44" s="142">
        <f>K42-K45-58</f>
        <v>4</v>
      </c>
      <c r="L44" s="142">
        <f>L42-L45-99</f>
        <v>13</v>
      </c>
      <c r="M44" s="142">
        <f>M42-M45-221</f>
        <v>23</v>
      </c>
      <c r="N44" s="142">
        <f>N42-N45-486</f>
        <v>40</v>
      </c>
      <c r="O44" s="142">
        <f>O42-O45-879</f>
        <v>84</v>
      </c>
      <c r="P44" s="142">
        <f>P42-P45-1792</f>
        <v>148</v>
      </c>
      <c r="Q44" s="142">
        <f>Q42-Q45-3848</f>
        <v>323</v>
      </c>
      <c r="R44" s="142">
        <f>R42-R45-6577</f>
        <v>774</v>
      </c>
      <c r="S44" s="176"/>
      <c r="T44" s="176"/>
      <c r="U44" s="176"/>
      <c r="V44" s="176"/>
      <c r="W44" s="176"/>
      <c r="X44" s="176"/>
      <c r="Y44" s="176"/>
      <c r="Z44" s="176"/>
      <c r="AA44" s="176"/>
      <c r="AB44" s="176"/>
      <c r="AC44" s="176"/>
      <c r="AD44" s="176"/>
      <c r="AE44" s="176"/>
      <c r="AF44" s="104"/>
      <c r="AG44" s="104"/>
      <c r="AH44" s="104"/>
      <c r="AI44" s="104"/>
      <c r="AJ44" s="104"/>
      <c r="AK44" s="105"/>
    </row>
    <row r="45" spans="1:40" x14ac:dyDescent="0.25">
      <c r="A45" s="49" t="s">
        <v>43</v>
      </c>
      <c r="B45" s="38"/>
      <c r="C45" s="39"/>
      <c r="D45" s="39"/>
      <c r="E45" s="39"/>
      <c r="F45" s="39"/>
      <c r="G45" s="39"/>
      <c r="H45" s="39"/>
      <c r="I45" s="39"/>
      <c r="J45" s="67">
        <v>0</v>
      </c>
      <c r="K45" s="68">
        <v>0</v>
      </c>
      <c r="L45" s="52">
        <v>2</v>
      </c>
      <c r="M45" s="52">
        <v>5</v>
      </c>
      <c r="N45" s="52">
        <v>10</v>
      </c>
      <c r="O45" s="52">
        <v>24</v>
      </c>
      <c r="P45" s="52">
        <v>58</v>
      </c>
      <c r="Q45" s="52">
        <v>118</v>
      </c>
      <c r="R45" s="52">
        <v>249</v>
      </c>
      <c r="S45" s="177"/>
      <c r="T45" s="177"/>
      <c r="U45" s="177"/>
      <c r="V45" s="177"/>
      <c r="W45" s="177"/>
      <c r="X45" s="177"/>
      <c r="Y45" s="177"/>
      <c r="Z45" s="177"/>
      <c r="AA45" s="177"/>
      <c r="AB45" s="177"/>
      <c r="AC45" s="177"/>
      <c r="AD45" s="177"/>
      <c r="AE45" s="177"/>
      <c r="AF45" s="104"/>
      <c r="AG45" s="104"/>
      <c r="AH45" s="104"/>
      <c r="AI45" s="104"/>
      <c r="AJ45" s="104"/>
      <c r="AK45" s="105"/>
    </row>
    <row r="46" spans="1:40" x14ac:dyDescent="0.25">
      <c r="B46" s="3"/>
      <c r="J46" s="35"/>
      <c r="K46" s="35"/>
      <c r="L46" s="35"/>
      <c r="M46" s="35"/>
      <c r="N46" s="35"/>
      <c r="O46" s="35"/>
      <c r="P46" s="35"/>
      <c r="Q46" s="35"/>
      <c r="R46" s="35"/>
      <c r="S46" s="35"/>
      <c r="T46" s="35"/>
      <c r="U46" s="35"/>
      <c r="V46" s="35"/>
      <c r="W46" s="35"/>
      <c r="X46" s="35"/>
      <c r="Y46" s="35"/>
      <c r="Z46" s="35"/>
      <c r="AA46" s="35"/>
    </row>
    <row r="47" spans="1:40" x14ac:dyDescent="0.25">
      <c r="A47" s="74" t="s">
        <v>48</v>
      </c>
      <c r="AA47" s="16"/>
    </row>
    <row r="48" spans="1:40" x14ac:dyDescent="0.25">
      <c r="A48" s="4" t="s">
        <v>0</v>
      </c>
      <c r="B48" s="184" t="s">
        <v>118</v>
      </c>
      <c r="C48" s="5" t="s">
        <v>3</v>
      </c>
      <c r="D48" s="184" t="s">
        <v>50</v>
      </c>
      <c r="E48" s="58" t="s">
        <v>2</v>
      </c>
      <c r="F48" s="59" t="s">
        <v>189</v>
      </c>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5"/>
      <c r="AK48" s="47"/>
    </row>
    <row r="49" spans="1:37" x14ac:dyDescent="0.25">
      <c r="A49" s="41" t="s">
        <v>12</v>
      </c>
      <c r="B49" s="13">
        <f>'Population by Age - Wikipedia'!D23</f>
        <v>9.323168516819004E-3</v>
      </c>
      <c r="C49" s="12">
        <f>$B$5*B49</f>
        <v>12979304.989700677</v>
      </c>
      <c r="D49" s="22">
        <f>'Infection Rate by Age'!B4</f>
        <v>0.01</v>
      </c>
      <c r="E49" s="5"/>
      <c r="F49" s="16"/>
      <c r="G49" s="16"/>
      <c r="H49" s="16"/>
      <c r="I49" s="16"/>
      <c r="J49" s="18">
        <f t="shared" ref="J49:AJ49" si="64">J$18*$D$49</f>
        <v>0.3</v>
      </c>
      <c r="K49" s="19">
        <f t="shared" si="64"/>
        <v>0.6</v>
      </c>
      <c r="L49" s="19">
        <f t="shared" si="64"/>
        <v>1.2</v>
      </c>
      <c r="M49" s="19">
        <f t="shared" si="64"/>
        <v>2.4</v>
      </c>
      <c r="N49" s="19">
        <f t="shared" si="64"/>
        <v>4.8</v>
      </c>
      <c r="O49" s="19">
        <f t="shared" si="64"/>
        <v>9.6</v>
      </c>
      <c r="P49" s="19">
        <f t="shared" si="64"/>
        <v>19.2</v>
      </c>
      <c r="Q49" s="19">
        <f t="shared" si="64"/>
        <v>38.4</v>
      </c>
      <c r="R49" s="19">
        <f t="shared" si="64"/>
        <v>76.8</v>
      </c>
      <c r="S49" s="19">
        <f t="shared" si="64"/>
        <v>153.6</v>
      </c>
      <c r="T49" s="19">
        <f t="shared" si="64"/>
        <v>307.2</v>
      </c>
      <c r="U49" s="19">
        <f t="shared" si="64"/>
        <v>614.4</v>
      </c>
      <c r="V49" s="19">
        <f t="shared" si="64"/>
        <v>1228.8</v>
      </c>
      <c r="W49" s="19">
        <f t="shared" si="64"/>
        <v>2457.6</v>
      </c>
      <c r="X49" s="19">
        <f t="shared" si="64"/>
        <v>4915.2</v>
      </c>
      <c r="Y49" s="19">
        <f t="shared" si="64"/>
        <v>9830.4</v>
      </c>
      <c r="Z49" s="19">
        <f t="shared" si="64"/>
        <v>19660.8</v>
      </c>
      <c r="AA49" s="19">
        <f t="shared" si="64"/>
        <v>39321.599999999999</v>
      </c>
      <c r="AB49" s="19">
        <f t="shared" si="64"/>
        <v>78643.199999999997</v>
      </c>
      <c r="AC49" s="19">
        <f t="shared" si="64"/>
        <v>157286.39999999999</v>
      </c>
      <c r="AD49" s="19">
        <f t="shared" si="64"/>
        <v>314572.79999999999</v>
      </c>
      <c r="AE49" s="60">
        <f t="shared" si="64"/>
        <v>629145.59999999998</v>
      </c>
      <c r="AF49" s="18">
        <f t="shared" si="64"/>
        <v>1258291.2</v>
      </c>
      <c r="AG49" s="19">
        <f t="shared" si="64"/>
        <v>2516582.3999999999</v>
      </c>
      <c r="AH49" s="19">
        <f t="shared" si="64"/>
        <v>5033164.7999999998</v>
      </c>
      <c r="AI49" s="19">
        <f t="shared" si="64"/>
        <v>10066329.6</v>
      </c>
      <c r="AJ49" s="60">
        <f t="shared" si="64"/>
        <v>13921560</v>
      </c>
      <c r="AK49" s="45"/>
    </row>
    <row r="50" spans="1:37" x14ac:dyDescent="0.25">
      <c r="A50" s="41"/>
      <c r="B50" s="6"/>
      <c r="C50" s="10"/>
      <c r="D50" s="8"/>
      <c r="E50" s="27">
        <v>0.14799999999999999</v>
      </c>
      <c r="F50" s="15">
        <v>7.9000000000000001E-2</v>
      </c>
      <c r="G50" s="10"/>
      <c r="H50" s="15"/>
      <c r="I50" s="10"/>
      <c r="J50" s="29">
        <f t="shared" ref="J50:AJ50" si="65">J$18*$D$49*$E$50</f>
        <v>4.4399999999999995E-2</v>
      </c>
      <c r="K50" s="30">
        <f t="shared" si="65"/>
        <v>8.879999999999999E-2</v>
      </c>
      <c r="L50" s="30">
        <f t="shared" si="65"/>
        <v>0.17759999999999998</v>
      </c>
      <c r="M50" s="30">
        <f t="shared" si="65"/>
        <v>0.35519999999999996</v>
      </c>
      <c r="N50" s="30">
        <f t="shared" si="65"/>
        <v>0.71039999999999992</v>
      </c>
      <c r="O50" s="30">
        <f t="shared" si="65"/>
        <v>1.4207999999999998</v>
      </c>
      <c r="P50" s="30">
        <f t="shared" si="65"/>
        <v>2.8415999999999997</v>
      </c>
      <c r="Q50" s="30">
        <f t="shared" si="65"/>
        <v>5.6831999999999994</v>
      </c>
      <c r="R50" s="30">
        <f t="shared" si="65"/>
        <v>11.366399999999999</v>
      </c>
      <c r="S50" s="30">
        <f t="shared" si="65"/>
        <v>22.732799999999997</v>
      </c>
      <c r="T50" s="30">
        <f t="shared" si="65"/>
        <v>45.465599999999995</v>
      </c>
      <c r="U50" s="30">
        <f t="shared" si="65"/>
        <v>90.93119999999999</v>
      </c>
      <c r="V50" s="30">
        <f t="shared" si="65"/>
        <v>181.86239999999998</v>
      </c>
      <c r="W50" s="30">
        <f t="shared" si="65"/>
        <v>363.72479999999996</v>
      </c>
      <c r="X50" s="30">
        <f t="shared" si="65"/>
        <v>727.44959999999992</v>
      </c>
      <c r="Y50" s="30">
        <f t="shared" si="65"/>
        <v>1454.8991999999998</v>
      </c>
      <c r="Z50" s="30">
        <f t="shared" si="65"/>
        <v>2909.7983999999997</v>
      </c>
      <c r="AA50" s="30">
        <f t="shared" si="65"/>
        <v>5819.5967999999993</v>
      </c>
      <c r="AB50" s="30">
        <f t="shared" si="65"/>
        <v>11639.193599999999</v>
      </c>
      <c r="AC50" s="30">
        <f t="shared" si="65"/>
        <v>23278.387199999997</v>
      </c>
      <c r="AD50" s="30">
        <f t="shared" si="65"/>
        <v>46556.774399999995</v>
      </c>
      <c r="AE50" s="71">
        <f t="shared" si="65"/>
        <v>93113.54879999999</v>
      </c>
      <c r="AF50" s="29">
        <f t="shared" si="65"/>
        <v>186227.09759999998</v>
      </c>
      <c r="AG50" s="30">
        <f t="shared" si="65"/>
        <v>372454.19519999996</v>
      </c>
      <c r="AH50" s="30">
        <f t="shared" si="65"/>
        <v>744908.39039999992</v>
      </c>
      <c r="AI50" s="30">
        <f t="shared" si="65"/>
        <v>1489816.7807999998</v>
      </c>
      <c r="AJ50" s="71">
        <f t="shared" si="65"/>
        <v>2060390.88</v>
      </c>
      <c r="AK50" s="45"/>
    </row>
    <row r="51" spans="1:37" x14ac:dyDescent="0.25">
      <c r="A51" s="41" t="s">
        <v>13</v>
      </c>
      <c r="B51" s="6">
        <f>'Population by Age - Wikipedia'!D18</f>
        <v>2.3488646898463382E-2</v>
      </c>
      <c r="C51" s="10">
        <f t="shared" ref="C51:C65" si="66">$B$5*B51</f>
        <v>32699860.711577188</v>
      </c>
      <c r="D51" s="23">
        <f>'Infection Rate by Age'!B5</f>
        <v>2.9000000000000001E-2</v>
      </c>
      <c r="E51" s="17"/>
      <c r="F51" s="16"/>
      <c r="G51" s="16"/>
      <c r="H51" s="16"/>
      <c r="I51" s="16"/>
      <c r="J51" s="20">
        <f t="shared" ref="J51:AJ51" si="67">J$18*$D$51</f>
        <v>0.87</v>
      </c>
      <c r="K51" s="21">
        <f t="shared" si="67"/>
        <v>1.74</v>
      </c>
      <c r="L51" s="21">
        <f t="shared" si="67"/>
        <v>3.48</v>
      </c>
      <c r="M51" s="21">
        <f t="shared" si="67"/>
        <v>6.96</v>
      </c>
      <c r="N51" s="21">
        <f t="shared" si="67"/>
        <v>13.92</v>
      </c>
      <c r="O51" s="21">
        <f t="shared" si="67"/>
        <v>27.84</v>
      </c>
      <c r="P51" s="21">
        <f t="shared" si="67"/>
        <v>55.68</v>
      </c>
      <c r="Q51" s="21">
        <f t="shared" si="67"/>
        <v>111.36</v>
      </c>
      <c r="R51" s="21">
        <f t="shared" si="67"/>
        <v>222.72</v>
      </c>
      <c r="S51" s="21">
        <f t="shared" si="67"/>
        <v>445.44</v>
      </c>
      <c r="T51" s="21">
        <f t="shared" si="67"/>
        <v>890.88</v>
      </c>
      <c r="U51" s="21">
        <f t="shared" si="67"/>
        <v>1781.76</v>
      </c>
      <c r="V51" s="21">
        <f t="shared" si="67"/>
        <v>3563.52</v>
      </c>
      <c r="W51" s="21">
        <f t="shared" si="67"/>
        <v>7127.04</v>
      </c>
      <c r="X51" s="21">
        <f t="shared" si="67"/>
        <v>14254.08</v>
      </c>
      <c r="Y51" s="21">
        <f t="shared" si="67"/>
        <v>28508.16</v>
      </c>
      <c r="Z51" s="21">
        <f t="shared" si="67"/>
        <v>57016.32</v>
      </c>
      <c r="AA51" s="21">
        <f t="shared" si="67"/>
        <v>114032.64</v>
      </c>
      <c r="AB51" s="21">
        <f t="shared" si="67"/>
        <v>228065.28</v>
      </c>
      <c r="AC51" s="21">
        <f t="shared" si="67"/>
        <v>456130.56</v>
      </c>
      <c r="AD51" s="21">
        <f t="shared" si="67"/>
        <v>912261.12</v>
      </c>
      <c r="AE51" s="72">
        <f t="shared" si="67"/>
        <v>1824522.24</v>
      </c>
      <c r="AF51" s="20">
        <f t="shared" si="67"/>
        <v>3649044.48</v>
      </c>
      <c r="AG51" s="21">
        <f t="shared" si="67"/>
        <v>7298088.96</v>
      </c>
      <c r="AH51" s="21">
        <f t="shared" si="67"/>
        <v>14596177.92</v>
      </c>
      <c r="AI51" s="21">
        <f t="shared" si="67"/>
        <v>29192355.84</v>
      </c>
      <c r="AJ51" s="72">
        <f t="shared" si="67"/>
        <v>40372524</v>
      </c>
      <c r="AK51" s="45"/>
    </row>
    <row r="52" spans="1:37" x14ac:dyDescent="0.25">
      <c r="A52" s="41"/>
      <c r="B52" s="6"/>
      <c r="C52" s="10"/>
      <c r="D52" s="8"/>
      <c r="E52" s="27">
        <v>0.08</v>
      </c>
      <c r="F52" s="15">
        <v>0.13200000000000001</v>
      </c>
      <c r="G52" s="10"/>
      <c r="H52" s="15"/>
      <c r="I52" s="10"/>
      <c r="J52" s="29">
        <f t="shared" ref="J52:AJ52" si="68">J$18*$D$51*$E$52</f>
        <v>6.9599999999999995E-2</v>
      </c>
      <c r="K52" s="30">
        <f t="shared" si="68"/>
        <v>0.13919999999999999</v>
      </c>
      <c r="L52" s="30">
        <f t="shared" si="68"/>
        <v>0.27839999999999998</v>
      </c>
      <c r="M52" s="30">
        <f t="shared" si="68"/>
        <v>0.55679999999999996</v>
      </c>
      <c r="N52" s="30">
        <f t="shared" si="68"/>
        <v>1.1135999999999999</v>
      </c>
      <c r="O52" s="30">
        <f t="shared" si="68"/>
        <v>2.2271999999999998</v>
      </c>
      <c r="P52" s="30">
        <f t="shared" si="68"/>
        <v>4.4543999999999997</v>
      </c>
      <c r="Q52" s="30">
        <f t="shared" si="68"/>
        <v>8.9087999999999994</v>
      </c>
      <c r="R52" s="30">
        <f t="shared" si="68"/>
        <v>17.817599999999999</v>
      </c>
      <c r="S52" s="30">
        <f t="shared" si="68"/>
        <v>35.635199999999998</v>
      </c>
      <c r="T52" s="30">
        <f t="shared" si="68"/>
        <v>71.270399999999995</v>
      </c>
      <c r="U52" s="30">
        <f t="shared" si="68"/>
        <v>142.54079999999999</v>
      </c>
      <c r="V52" s="30">
        <f t="shared" si="68"/>
        <v>285.08159999999998</v>
      </c>
      <c r="W52" s="30">
        <f t="shared" si="68"/>
        <v>570.16319999999996</v>
      </c>
      <c r="X52" s="30">
        <f t="shared" si="68"/>
        <v>1140.3263999999999</v>
      </c>
      <c r="Y52" s="30">
        <f t="shared" si="68"/>
        <v>2280.6527999999998</v>
      </c>
      <c r="Z52" s="30">
        <f t="shared" si="68"/>
        <v>4561.3055999999997</v>
      </c>
      <c r="AA52" s="30">
        <f t="shared" si="68"/>
        <v>9122.6111999999994</v>
      </c>
      <c r="AB52" s="30">
        <f t="shared" si="68"/>
        <v>18245.222399999999</v>
      </c>
      <c r="AC52" s="30">
        <f t="shared" si="68"/>
        <v>36490.444799999997</v>
      </c>
      <c r="AD52" s="30">
        <f t="shared" si="68"/>
        <v>72980.889599999995</v>
      </c>
      <c r="AE52" s="71">
        <f t="shared" si="68"/>
        <v>145961.77919999999</v>
      </c>
      <c r="AF52" s="29">
        <f t="shared" si="68"/>
        <v>291923.55839999998</v>
      </c>
      <c r="AG52" s="30">
        <f t="shared" si="68"/>
        <v>583847.11679999996</v>
      </c>
      <c r="AH52" s="30">
        <f t="shared" si="68"/>
        <v>1167694.2335999999</v>
      </c>
      <c r="AI52" s="30">
        <f t="shared" si="68"/>
        <v>2335388.4671999998</v>
      </c>
      <c r="AJ52" s="71">
        <f t="shared" si="68"/>
        <v>3229801.92</v>
      </c>
      <c r="AK52" s="45"/>
    </row>
    <row r="53" spans="1:37" x14ac:dyDescent="0.25">
      <c r="A53" s="41" t="s">
        <v>14</v>
      </c>
      <c r="B53" s="6">
        <f>'Population by Age - Wikipedia'!D16</f>
        <v>5.2953236529497287E-2</v>
      </c>
      <c r="C53" s="10">
        <f t="shared" si="66"/>
        <v>73719165.953958824</v>
      </c>
      <c r="D53" s="23">
        <f>'Infection Rate by Age'!B6</f>
        <v>0.121</v>
      </c>
      <c r="E53" s="17"/>
      <c r="F53" s="10"/>
      <c r="G53" s="10"/>
      <c r="H53" s="10"/>
      <c r="I53" s="10"/>
      <c r="J53" s="20">
        <f t="shared" ref="J53:AJ53" si="69">J$18*$D$53</f>
        <v>3.63</v>
      </c>
      <c r="K53" s="21">
        <f t="shared" si="69"/>
        <v>7.26</v>
      </c>
      <c r="L53" s="21">
        <f t="shared" si="69"/>
        <v>14.52</v>
      </c>
      <c r="M53" s="21">
        <f t="shared" si="69"/>
        <v>29.04</v>
      </c>
      <c r="N53" s="21">
        <f t="shared" si="69"/>
        <v>58.08</v>
      </c>
      <c r="O53" s="21">
        <f t="shared" si="69"/>
        <v>116.16</v>
      </c>
      <c r="P53" s="21">
        <f t="shared" si="69"/>
        <v>232.32</v>
      </c>
      <c r="Q53" s="21">
        <f t="shared" si="69"/>
        <v>464.64</v>
      </c>
      <c r="R53" s="21">
        <f t="shared" si="69"/>
        <v>929.28</v>
      </c>
      <c r="S53" s="21">
        <f t="shared" si="69"/>
        <v>1858.56</v>
      </c>
      <c r="T53" s="21">
        <f t="shared" si="69"/>
        <v>3717.12</v>
      </c>
      <c r="U53" s="21">
        <f t="shared" si="69"/>
        <v>7434.24</v>
      </c>
      <c r="V53" s="21">
        <f t="shared" si="69"/>
        <v>14868.48</v>
      </c>
      <c r="W53" s="21">
        <f t="shared" si="69"/>
        <v>29736.959999999999</v>
      </c>
      <c r="X53" s="21">
        <f t="shared" si="69"/>
        <v>59473.919999999998</v>
      </c>
      <c r="Y53" s="21">
        <f t="shared" si="69"/>
        <v>118947.84</v>
      </c>
      <c r="Z53" s="21">
        <f t="shared" si="69"/>
        <v>237895.67999999999</v>
      </c>
      <c r="AA53" s="21">
        <f t="shared" si="69"/>
        <v>475791.35999999999</v>
      </c>
      <c r="AB53" s="21">
        <f t="shared" si="69"/>
        <v>951582.71999999997</v>
      </c>
      <c r="AC53" s="21">
        <f t="shared" si="69"/>
        <v>1903165.4399999999</v>
      </c>
      <c r="AD53" s="21">
        <f t="shared" si="69"/>
        <v>3806330.8799999999</v>
      </c>
      <c r="AE53" s="72">
        <f t="shared" si="69"/>
        <v>7612661.7599999998</v>
      </c>
      <c r="AF53" s="20">
        <f t="shared" si="69"/>
        <v>15225323.52</v>
      </c>
      <c r="AG53" s="21">
        <f t="shared" si="69"/>
        <v>30450647.039999999</v>
      </c>
      <c r="AH53" s="21">
        <f t="shared" si="69"/>
        <v>60901294.079999998</v>
      </c>
      <c r="AI53" s="21">
        <f t="shared" si="69"/>
        <v>121802588.16</v>
      </c>
      <c r="AJ53" s="72">
        <f t="shared" si="69"/>
        <v>168450876</v>
      </c>
      <c r="AK53" s="45"/>
    </row>
    <row r="54" spans="1:37" x14ac:dyDescent="0.25">
      <c r="A54" s="41"/>
      <c r="B54" s="6"/>
      <c r="C54" s="10"/>
      <c r="D54" s="8"/>
      <c r="E54" s="27">
        <v>3.5999999999999997E-2</v>
      </c>
      <c r="F54" s="15">
        <v>0.23699999999999999</v>
      </c>
      <c r="G54" s="10"/>
      <c r="H54" s="15"/>
      <c r="I54" s="10"/>
      <c r="J54" s="29">
        <f t="shared" ref="J54:AJ54" si="70">J$18*$D$53*$E$54</f>
        <v>0.13067999999999999</v>
      </c>
      <c r="K54" s="30">
        <f t="shared" si="70"/>
        <v>0.26135999999999998</v>
      </c>
      <c r="L54" s="30">
        <f t="shared" si="70"/>
        <v>0.52271999999999996</v>
      </c>
      <c r="M54" s="30">
        <f t="shared" si="70"/>
        <v>1.0454399999999999</v>
      </c>
      <c r="N54" s="30">
        <f t="shared" si="70"/>
        <v>2.0908799999999998</v>
      </c>
      <c r="O54" s="30">
        <f t="shared" si="70"/>
        <v>4.1817599999999997</v>
      </c>
      <c r="P54" s="30">
        <f t="shared" si="70"/>
        <v>8.3635199999999994</v>
      </c>
      <c r="Q54" s="30">
        <f t="shared" si="70"/>
        <v>16.727039999999999</v>
      </c>
      <c r="R54" s="30">
        <f t="shared" si="70"/>
        <v>33.454079999999998</v>
      </c>
      <c r="S54" s="30">
        <f t="shared" si="70"/>
        <v>66.908159999999995</v>
      </c>
      <c r="T54" s="30">
        <f t="shared" si="70"/>
        <v>133.81631999999999</v>
      </c>
      <c r="U54" s="30">
        <f t="shared" si="70"/>
        <v>267.63263999999998</v>
      </c>
      <c r="V54" s="30">
        <f t="shared" si="70"/>
        <v>535.26527999999996</v>
      </c>
      <c r="W54" s="30">
        <f t="shared" si="70"/>
        <v>1070.5305599999999</v>
      </c>
      <c r="X54" s="30">
        <f t="shared" si="70"/>
        <v>2141.0611199999998</v>
      </c>
      <c r="Y54" s="30">
        <f t="shared" si="70"/>
        <v>4282.1222399999997</v>
      </c>
      <c r="Z54" s="30">
        <f t="shared" si="70"/>
        <v>8564.2444799999994</v>
      </c>
      <c r="AA54" s="30">
        <f t="shared" si="70"/>
        <v>17128.488959999999</v>
      </c>
      <c r="AB54" s="30">
        <f t="shared" si="70"/>
        <v>34256.977919999998</v>
      </c>
      <c r="AC54" s="30">
        <f t="shared" si="70"/>
        <v>68513.955839999995</v>
      </c>
      <c r="AD54" s="30">
        <f t="shared" si="70"/>
        <v>137027.91167999999</v>
      </c>
      <c r="AE54" s="71">
        <f t="shared" si="70"/>
        <v>274055.82335999998</v>
      </c>
      <c r="AF54" s="29">
        <f t="shared" si="70"/>
        <v>548111.64671999996</v>
      </c>
      <c r="AG54" s="30">
        <f t="shared" si="70"/>
        <v>1096223.2934399999</v>
      </c>
      <c r="AH54" s="30">
        <f t="shared" si="70"/>
        <v>2192446.5868799998</v>
      </c>
      <c r="AI54" s="30">
        <f t="shared" si="70"/>
        <v>4384893.1737599997</v>
      </c>
      <c r="AJ54" s="71">
        <f t="shared" si="70"/>
        <v>6064231.5359999994</v>
      </c>
      <c r="AK54" s="45"/>
    </row>
    <row r="55" spans="1:37" x14ac:dyDescent="0.25">
      <c r="A55" s="41" t="s">
        <v>15</v>
      </c>
      <c r="B55" s="6">
        <f>'Population by Age - Wikipedia'!D14</f>
        <v>7.2853736141516481E-2</v>
      </c>
      <c r="C55" s="10">
        <f t="shared" si="66"/>
        <v>101423765.89182901</v>
      </c>
      <c r="D55" s="23">
        <f>'Infection Rate by Age'!B7</f>
        <v>0.159</v>
      </c>
      <c r="E55" s="17"/>
      <c r="F55" s="10"/>
      <c r="G55" s="10"/>
      <c r="H55" s="10"/>
      <c r="I55" s="10"/>
      <c r="J55" s="20">
        <f t="shared" ref="J55:AJ55" si="71">J$18*$D$55</f>
        <v>4.7700000000000005</v>
      </c>
      <c r="K55" s="21">
        <f t="shared" si="71"/>
        <v>9.5400000000000009</v>
      </c>
      <c r="L55" s="21">
        <f t="shared" si="71"/>
        <v>19.080000000000002</v>
      </c>
      <c r="M55" s="21">
        <f t="shared" si="71"/>
        <v>38.160000000000004</v>
      </c>
      <c r="N55" s="21">
        <f t="shared" si="71"/>
        <v>76.320000000000007</v>
      </c>
      <c r="O55" s="21">
        <f t="shared" si="71"/>
        <v>152.64000000000001</v>
      </c>
      <c r="P55" s="21">
        <f t="shared" si="71"/>
        <v>305.28000000000003</v>
      </c>
      <c r="Q55" s="21">
        <f t="shared" si="71"/>
        <v>610.56000000000006</v>
      </c>
      <c r="R55" s="21">
        <f t="shared" si="71"/>
        <v>1221.1200000000001</v>
      </c>
      <c r="S55" s="21">
        <f t="shared" si="71"/>
        <v>2442.2400000000002</v>
      </c>
      <c r="T55" s="21">
        <f t="shared" si="71"/>
        <v>4884.4800000000005</v>
      </c>
      <c r="U55" s="21">
        <f t="shared" si="71"/>
        <v>9768.9600000000009</v>
      </c>
      <c r="V55" s="21">
        <f t="shared" si="71"/>
        <v>19537.920000000002</v>
      </c>
      <c r="W55" s="21">
        <f t="shared" si="71"/>
        <v>39075.840000000004</v>
      </c>
      <c r="X55" s="21">
        <f t="shared" si="71"/>
        <v>78151.680000000008</v>
      </c>
      <c r="Y55" s="21">
        <f t="shared" si="71"/>
        <v>156303.36000000002</v>
      </c>
      <c r="Z55" s="21">
        <f t="shared" si="71"/>
        <v>312606.72000000003</v>
      </c>
      <c r="AA55" s="21">
        <f t="shared" si="71"/>
        <v>625213.44000000006</v>
      </c>
      <c r="AB55" s="21">
        <f t="shared" si="71"/>
        <v>1250426.8800000001</v>
      </c>
      <c r="AC55" s="21">
        <f t="shared" si="71"/>
        <v>2500853.7600000002</v>
      </c>
      <c r="AD55" s="21">
        <f t="shared" si="71"/>
        <v>5001707.5200000005</v>
      </c>
      <c r="AE55" s="72">
        <f t="shared" si="71"/>
        <v>10003415.040000001</v>
      </c>
      <c r="AF55" s="20">
        <f t="shared" si="71"/>
        <v>20006830.080000002</v>
      </c>
      <c r="AG55" s="21">
        <f t="shared" si="71"/>
        <v>40013660.160000004</v>
      </c>
      <c r="AH55" s="21">
        <f t="shared" si="71"/>
        <v>80027320.320000008</v>
      </c>
      <c r="AI55" s="21">
        <f t="shared" si="71"/>
        <v>160054640.64000002</v>
      </c>
      <c r="AJ55" s="72">
        <f t="shared" si="71"/>
        <v>221352804</v>
      </c>
      <c r="AK55" s="45"/>
    </row>
    <row r="56" spans="1:37" x14ac:dyDescent="0.25">
      <c r="A56" s="41"/>
      <c r="B56" s="6"/>
      <c r="C56" s="10"/>
      <c r="D56" s="8"/>
      <c r="E56" s="27">
        <v>1.2999999999999999E-2</v>
      </c>
      <c r="F56" s="15">
        <v>0.28899999999999998</v>
      </c>
      <c r="G56" s="10"/>
      <c r="H56" s="15"/>
      <c r="I56" s="10"/>
      <c r="J56" s="29">
        <f t="shared" ref="J56:AJ56" si="72">J$18*$D$55*$E$56</f>
        <v>6.2010000000000003E-2</v>
      </c>
      <c r="K56" s="30">
        <f t="shared" si="72"/>
        <v>0.12402000000000001</v>
      </c>
      <c r="L56" s="30">
        <f t="shared" si="72"/>
        <v>0.24804000000000001</v>
      </c>
      <c r="M56" s="30">
        <f t="shared" si="72"/>
        <v>0.49608000000000002</v>
      </c>
      <c r="N56" s="30">
        <f t="shared" si="72"/>
        <v>0.99216000000000004</v>
      </c>
      <c r="O56" s="30">
        <f t="shared" si="72"/>
        <v>1.9843200000000001</v>
      </c>
      <c r="P56" s="30">
        <f t="shared" si="72"/>
        <v>3.9686400000000002</v>
      </c>
      <c r="Q56" s="30">
        <f t="shared" si="72"/>
        <v>7.9372800000000003</v>
      </c>
      <c r="R56" s="30">
        <f t="shared" si="72"/>
        <v>15.874560000000001</v>
      </c>
      <c r="S56" s="30">
        <f t="shared" si="72"/>
        <v>31.749120000000001</v>
      </c>
      <c r="T56" s="30">
        <f t="shared" si="72"/>
        <v>63.498240000000003</v>
      </c>
      <c r="U56" s="30">
        <f t="shared" si="72"/>
        <v>126.99648000000001</v>
      </c>
      <c r="V56" s="30">
        <f t="shared" si="72"/>
        <v>253.99296000000001</v>
      </c>
      <c r="W56" s="30">
        <f t="shared" si="72"/>
        <v>507.98592000000002</v>
      </c>
      <c r="X56" s="30">
        <f t="shared" si="72"/>
        <v>1015.97184</v>
      </c>
      <c r="Y56" s="30">
        <f t="shared" si="72"/>
        <v>2031.9436800000001</v>
      </c>
      <c r="Z56" s="30">
        <f t="shared" si="72"/>
        <v>4063.8873600000002</v>
      </c>
      <c r="AA56" s="30">
        <f t="shared" si="72"/>
        <v>8127.7747200000003</v>
      </c>
      <c r="AB56" s="30">
        <f t="shared" si="72"/>
        <v>16255.549440000001</v>
      </c>
      <c r="AC56" s="30">
        <f t="shared" si="72"/>
        <v>32511.098880000001</v>
      </c>
      <c r="AD56" s="30">
        <f t="shared" si="72"/>
        <v>65022.197760000003</v>
      </c>
      <c r="AE56" s="71">
        <f t="shared" si="72"/>
        <v>130044.39552000001</v>
      </c>
      <c r="AF56" s="29">
        <f t="shared" si="72"/>
        <v>260088.79104000001</v>
      </c>
      <c r="AG56" s="30">
        <f t="shared" si="72"/>
        <v>520177.58208000002</v>
      </c>
      <c r="AH56" s="30">
        <f t="shared" si="72"/>
        <v>1040355.16416</v>
      </c>
      <c r="AI56" s="30">
        <f t="shared" si="72"/>
        <v>2080710.3283200001</v>
      </c>
      <c r="AJ56" s="71">
        <f t="shared" si="72"/>
        <v>2877586.452</v>
      </c>
      <c r="AK56" s="45"/>
    </row>
    <row r="57" spans="1:37" x14ac:dyDescent="0.25">
      <c r="A57" s="41" t="s">
        <v>16</v>
      </c>
      <c r="B57" s="6">
        <f>'Population by Age - Wikipedia'!D12</f>
        <v>0.11129032093824395</v>
      </c>
      <c r="C57" s="10">
        <f t="shared" si="66"/>
        <v>154933488.03610194</v>
      </c>
      <c r="D57" s="23">
        <f>'Infection Rate by Age'!B8</f>
        <v>0.17100000000000001</v>
      </c>
      <c r="E57" s="17"/>
      <c r="F57" s="10"/>
      <c r="G57" s="10"/>
      <c r="H57" s="10"/>
      <c r="I57" s="10"/>
      <c r="J57" s="20">
        <f t="shared" ref="J57:AJ57" si="73">J$18*$D$57</f>
        <v>5.1300000000000008</v>
      </c>
      <c r="K57" s="21">
        <f t="shared" si="73"/>
        <v>10.260000000000002</v>
      </c>
      <c r="L57" s="21">
        <f t="shared" si="73"/>
        <v>20.520000000000003</v>
      </c>
      <c r="M57" s="21">
        <f t="shared" si="73"/>
        <v>41.040000000000006</v>
      </c>
      <c r="N57" s="21">
        <f t="shared" si="73"/>
        <v>82.080000000000013</v>
      </c>
      <c r="O57" s="21">
        <f t="shared" si="73"/>
        <v>164.16000000000003</v>
      </c>
      <c r="P57" s="21">
        <f t="shared" si="73"/>
        <v>328.32000000000005</v>
      </c>
      <c r="Q57" s="21">
        <f t="shared" si="73"/>
        <v>656.6400000000001</v>
      </c>
      <c r="R57" s="21">
        <f t="shared" si="73"/>
        <v>1313.2800000000002</v>
      </c>
      <c r="S57" s="21">
        <f t="shared" si="73"/>
        <v>2626.5600000000004</v>
      </c>
      <c r="T57" s="21">
        <f t="shared" si="73"/>
        <v>5253.1200000000008</v>
      </c>
      <c r="U57" s="21">
        <f t="shared" si="73"/>
        <v>10506.240000000002</v>
      </c>
      <c r="V57" s="21">
        <f t="shared" si="73"/>
        <v>21012.480000000003</v>
      </c>
      <c r="W57" s="21">
        <f t="shared" si="73"/>
        <v>42024.960000000006</v>
      </c>
      <c r="X57" s="21">
        <f t="shared" si="73"/>
        <v>84049.920000000013</v>
      </c>
      <c r="Y57" s="21">
        <f t="shared" si="73"/>
        <v>168099.84000000003</v>
      </c>
      <c r="Z57" s="21">
        <f t="shared" si="73"/>
        <v>336199.68000000005</v>
      </c>
      <c r="AA57" s="21">
        <f t="shared" si="73"/>
        <v>672399.3600000001</v>
      </c>
      <c r="AB57" s="21">
        <f t="shared" si="73"/>
        <v>1344798.7200000002</v>
      </c>
      <c r="AC57" s="21">
        <f t="shared" si="73"/>
        <v>2689597.4400000004</v>
      </c>
      <c r="AD57" s="21">
        <f t="shared" si="73"/>
        <v>5379194.8800000008</v>
      </c>
      <c r="AE57" s="72">
        <f t="shared" si="73"/>
        <v>10758389.760000002</v>
      </c>
      <c r="AF57" s="20">
        <f t="shared" si="73"/>
        <v>21516779.520000003</v>
      </c>
      <c r="AG57" s="21">
        <f t="shared" si="73"/>
        <v>43033559.040000007</v>
      </c>
      <c r="AH57" s="21">
        <f t="shared" si="73"/>
        <v>86067118.080000013</v>
      </c>
      <c r="AI57" s="21">
        <f t="shared" si="73"/>
        <v>172134236.16000003</v>
      </c>
      <c r="AJ57" s="72">
        <f t="shared" si="73"/>
        <v>238058676.00000003</v>
      </c>
      <c r="AK57" s="45"/>
    </row>
    <row r="58" spans="1:37" x14ac:dyDescent="0.25">
      <c r="A58" s="41"/>
      <c r="B58" s="6"/>
      <c r="C58" s="10"/>
      <c r="D58" s="8"/>
      <c r="E58" s="27">
        <v>4.0000000000000001E-3</v>
      </c>
      <c r="F58" s="15">
        <v>0.21099999999999999</v>
      </c>
      <c r="G58" s="10"/>
      <c r="H58" s="15"/>
      <c r="I58" s="10"/>
      <c r="J58" s="29">
        <f t="shared" ref="J58:AJ58" si="74">J$18*$D$57*$E$58</f>
        <v>2.0520000000000004E-2</v>
      </c>
      <c r="K58" s="30">
        <f t="shared" si="74"/>
        <v>4.1040000000000007E-2</v>
      </c>
      <c r="L58" s="30">
        <f t="shared" si="74"/>
        <v>8.2080000000000014E-2</v>
      </c>
      <c r="M58" s="30">
        <f t="shared" si="74"/>
        <v>0.16416000000000003</v>
      </c>
      <c r="N58" s="30">
        <f t="shared" si="74"/>
        <v>0.32832000000000006</v>
      </c>
      <c r="O58" s="30">
        <f t="shared" si="74"/>
        <v>0.65664000000000011</v>
      </c>
      <c r="P58" s="30">
        <f t="shared" si="74"/>
        <v>1.3132800000000002</v>
      </c>
      <c r="Q58" s="30">
        <f t="shared" si="74"/>
        <v>2.6265600000000004</v>
      </c>
      <c r="R58" s="30">
        <f t="shared" si="74"/>
        <v>5.2531200000000009</v>
      </c>
      <c r="S58" s="30">
        <f t="shared" si="74"/>
        <v>10.506240000000002</v>
      </c>
      <c r="T58" s="30">
        <f t="shared" si="74"/>
        <v>21.012480000000004</v>
      </c>
      <c r="U58" s="30">
        <f t="shared" si="74"/>
        <v>42.024960000000007</v>
      </c>
      <c r="V58" s="30">
        <f t="shared" si="74"/>
        <v>84.049920000000014</v>
      </c>
      <c r="W58" s="30">
        <f t="shared" si="74"/>
        <v>168.09984000000003</v>
      </c>
      <c r="X58" s="30">
        <f t="shared" si="74"/>
        <v>336.19968000000006</v>
      </c>
      <c r="Y58" s="30">
        <f t="shared" si="74"/>
        <v>672.39936000000012</v>
      </c>
      <c r="Z58" s="30">
        <f t="shared" si="74"/>
        <v>1344.7987200000002</v>
      </c>
      <c r="AA58" s="30">
        <f t="shared" si="74"/>
        <v>2689.5974400000005</v>
      </c>
      <c r="AB58" s="30">
        <f t="shared" si="74"/>
        <v>5379.1948800000009</v>
      </c>
      <c r="AC58" s="30">
        <f t="shared" si="74"/>
        <v>10758.389760000002</v>
      </c>
      <c r="AD58" s="30">
        <f t="shared" si="74"/>
        <v>21516.779520000004</v>
      </c>
      <c r="AE58" s="71">
        <f t="shared" si="74"/>
        <v>43033.559040000007</v>
      </c>
      <c r="AF58" s="29">
        <f t="shared" si="74"/>
        <v>86067.118080000015</v>
      </c>
      <c r="AG58" s="30">
        <f t="shared" si="74"/>
        <v>172134.23616000003</v>
      </c>
      <c r="AH58" s="30">
        <f t="shared" si="74"/>
        <v>344268.47232000006</v>
      </c>
      <c r="AI58" s="30">
        <f t="shared" si="74"/>
        <v>688536.94464000012</v>
      </c>
      <c r="AJ58" s="71">
        <f t="shared" si="74"/>
        <v>952234.70400000014</v>
      </c>
      <c r="AK58" s="45"/>
    </row>
    <row r="59" spans="1:37" x14ac:dyDescent="0.25">
      <c r="A59" s="41" t="s">
        <v>17</v>
      </c>
      <c r="B59" s="6">
        <f>'Population by Age - Wikipedia'!D10</f>
        <v>0.14348178625853722</v>
      </c>
      <c r="C59" s="10">
        <f t="shared" si="66"/>
        <v>199749029.63054013</v>
      </c>
      <c r="D59" s="23">
        <f>'Infection Rate by Age'!B9</f>
        <v>0.219</v>
      </c>
      <c r="E59" s="17"/>
      <c r="F59" s="10"/>
      <c r="G59" s="14"/>
      <c r="H59" s="10"/>
      <c r="I59" s="10"/>
      <c r="J59" s="20">
        <f t="shared" ref="J59:AJ59" si="75">J$18*$D$59</f>
        <v>6.57</v>
      </c>
      <c r="K59" s="21">
        <f t="shared" si="75"/>
        <v>13.14</v>
      </c>
      <c r="L59" s="21">
        <f t="shared" si="75"/>
        <v>26.28</v>
      </c>
      <c r="M59" s="21">
        <f t="shared" si="75"/>
        <v>52.56</v>
      </c>
      <c r="N59" s="21">
        <f t="shared" si="75"/>
        <v>105.12</v>
      </c>
      <c r="O59" s="21">
        <f t="shared" si="75"/>
        <v>210.24</v>
      </c>
      <c r="P59" s="21">
        <f t="shared" si="75"/>
        <v>420.48</v>
      </c>
      <c r="Q59" s="21">
        <f t="shared" si="75"/>
        <v>840.96</v>
      </c>
      <c r="R59" s="21">
        <f t="shared" si="75"/>
        <v>1681.92</v>
      </c>
      <c r="S59" s="21">
        <f t="shared" si="75"/>
        <v>3363.84</v>
      </c>
      <c r="T59" s="21">
        <f t="shared" si="75"/>
        <v>6727.68</v>
      </c>
      <c r="U59" s="21">
        <f t="shared" si="75"/>
        <v>13455.36</v>
      </c>
      <c r="V59" s="21">
        <f t="shared" si="75"/>
        <v>26910.720000000001</v>
      </c>
      <c r="W59" s="21">
        <f t="shared" si="75"/>
        <v>53821.440000000002</v>
      </c>
      <c r="X59" s="21">
        <f t="shared" si="75"/>
        <v>107642.88</v>
      </c>
      <c r="Y59" s="21">
        <f t="shared" si="75"/>
        <v>215285.76000000001</v>
      </c>
      <c r="Z59" s="21">
        <f t="shared" si="75"/>
        <v>430571.52000000002</v>
      </c>
      <c r="AA59" s="21">
        <f t="shared" si="75"/>
        <v>861143.04000000004</v>
      </c>
      <c r="AB59" s="21">
        <f t="shared" si="75"/>
        <v>1722286.0800000001</v>
      </c>
      <c r="AC59" s="21">
        <f t="shared" si="75"/>
        <v>3444572.1600000001</v>
      </c>
      <c r="AD59" s="21">
        <f t="shared" si="75"/>
        <v>6889144.3200000003</v>
      </c>
      <c r="AE59" s="72">
        <f t="shared" si="75"/>
        <v>13778288.640000001</v>
      </c>
      <c r="AF59" s="20">
        <f t="shared" si="75"/>
        <v>27556577.280000001</v>
      </c>
      <c r="AG59" s="21">
        <f t="shared" si="75"/>
        <v>55113154.560000002</v>
      </c>
      <c r="AH59" s="21">
        <f t="shared" si="75"/>
        <v>110226309.12</v>
      </c>
      <c r="AI59" s="21">
        <f t="shared" si="75"/>
        <v>220452618.24000001</v>
      </c>
      <c r="AJ59" s="72">
        <f t="shared" si="75"/>
        <v>304882164</v>
      </c>
      <c r="AK59" s="45"/>
    </row>
    <row r="60" spans="1:37" x14ac:dyDescent="0.25">
      <c r="A60" s="41"/>
      <c r="B60" s="6"/>
      <c r="C60" s="10"/>
      <c r="D60" s="8"/>
      <c r="E60" s="27">
        <v>2E-3</v>
      </c>
      <c r="F60" s="15">
        <v>2.5999999999999999E-2</v>
      </c>
      <c r="G60" s="10"/>
      <c r="H60" s="15"/>
      <c r="I60" s="10"/>
      <c r="J60" s="29">
        <f t="shared" ref="J60:AJ60" si="76">J$18*$D$59*$E$60</f>
        <v>1.3140000000000001E-2</v>
      </c>
      <c r="K60" s="30">
        <f t="shared" si="76"/>
        <v>2.6280000000000001E-2</v>
      </c>
      <c r="L60" s="30">
        <f t="shared" si="76"/>
        <v>5.2560000000000003E-2</v>
      </c>
      <c r="M60" s="30">
        <f t="shared" si="76"/>
        <v>0.10512000000000001</v>
      </c>
      <c r="N60" s="30">
        <f t="shared" si="76"/>
        <v>0.21024000000000001</v>
      </c>
      <c r="O60" s="30">
        <f t="shared" si="76"/>
        <v>0.42048000000000002</v>
      </c>
      <c r="P60" s="30">
        <f t="shared" si="76"/>
        <v>0.84096000000000004</v>
      </c>
      <c r="Q60" s="30">
        <f t="shared" si="76"/>
        <v>1.6819200000000001</v>
      </c>
      <c r="R60" s="30">
        <f t="shared" si="76"/>
        <v>3.3638400000000002</v>
      </c>
      <c r="S60" s="30">
        <f t="shared" si="76"/>
        <v>6.7276800000000003</v>
      </c>
      <c r="T60" s="30">
        <f t="shared" si="76"/>
        <v>13.455360000000001</v>
      </c>
      <c r="U60" s="30">
        <f t="shared" si="76"/>
        <v>26.910720000000001</v>
      </c>
      <c r="V60" s="30">
        <f t="shared" si="76"/>
        <v>53.821440000000003</v>
      </c>
      <c r="W60" s="30">
        <f t="shared" si="76"/>
        <v>107.64288000000001</v>
      </c>
      <c r="X60" s="30">
        <f t="shared" si="76"/>
        <v>215.28576000000001</v>
      </c>
      <c r="Y60" s="30">
        <f t="shared" si="76"/>
        <v>430.57152000000002</v>
      </c>
      <c r="Z60" s="30">
        <f t="shared" si="76"/>
        <v>861.14304000000004</v>
      </c>
      <c r="AA60" s="30">
        <f t="shared" si="76"/>
        <v>1722.2860800000001</v>
      </c>
      <c r="AB60" s="30">
        <f t="shared" si="76"/>
        <v>3444.5721600000002</v>
      </c>
      <c r="AC60" s="30">
        <f t="shared" si="76"/>
        <v>6889.1443200000003</v>
      </c>
      <c r="AD60" s="30">
        <f t="shared" si="76"/>
        <v>13778.288640000001</v>
      </c>
      <c r="AE60" s="71">
        <f t="shared" si="76"/>
        <v>27556.577280000001</v>
      </c>
      <c r="AF60" s="29">
        <f t="shared" si="76"/>
        <v>55113.154560000003</v>
      </c>
      <c r="AG60" s="30">
        <f t="shared" si="76"/>
        <v>110226.30912000001</v>
      </c>
      <c r="AH60" s="30">
        <f t="shared" si="76"/>
        <v>220452.61824000001</v>
      </c>
      <c r="AI60" s="30">
        <f t="shared" si="76"/>
        <v>440905.23648000002</v>
      </c>
      <c r="AJ60" s="71">
        <f t="shared" si="76"/>
        <v>609764.32799999998</v>
      </c>
      <c r="AK60" s="45"/>
    </row>
    <row r="61" spans="1:37" x14ac:dyDescent="0.25">
      <c r="A61" s="41" t="s">
        <v>18</v>
      </c>
      <c r="B61" s="6">
        <f>'Population by Age - Wikipedia'!D8</f>
        <v>0.17577512670206416</v>
      </c>
      <c r="C61" s="10">
        <f t="shared" si="66"/>
        <v>244706397.28903884</v>
      </c>
      <c r="D61" s="23">
        <f>'Infection Rate by Age'!B10</f>
        <v>0.23200000000000001</v>
      </c>
      <c r="E61" s="17"/>
      <c r="F61" s="10"/>
      <c r="G61" s="10"/>
      <c r="H61" s="10"/>
      <c r="I61" s="10"/>
      <c r="J61" s="20">
        <f t="shared" ref="J61:AJ61" si="77">J$18*$D$61</f>
        <v>6.96</v>
      </c>
      <c r="K61" s="21">
        <f t="shared" si="77"/>
        <v>13.92</v>
      </c>
      <c r="L61" s="21">
        <f t="shared" si="77"/>
        <v>27.84</v>
      </c>
      <c r="M61" s="21">
        <f t="shared" si="77"/>
        <v>55.68</v>
      </c>
      <c r="N61" s="21">
        <f t="shared" si="77"/>
        <v>111.36</v>
      </c>
      <c r="O61" s="21">
        <f t="shared" si="77"/>
        <v>222.72</v>
      </c>
      <c r="P61" s="21">
        <f t="shared" si="77"/>
        <v>445.44</v>
      </c>
      <c r="Q61" s="21">
        <f t="shared" si="77"/>
        <v>890.88</v>
      </c>
      <c r="R61" s="21">
        <f t="shared" si="77"/>
        <v>1781.76</v>
      </c>
      <c r="S61" s="21">
        <f t="shared" si="77"/>
        <v>3563.52</v>
      </c>
      <c r="T61" s="21">
        <f t="shared" si="77"/>
        <v>7127.04</v>
      </c>
      <c r="U61" s="21">
        <f t="shared" si="77"/>
        <v>14254.08</v>
      </c>
      <c r="V61" s="21">
        <f t="shared" si="77"/>
        <v>28508.16</v>
      </c>
      <c r="W61" s="21">
        <f t="shared" si="77"/>
        <v>57016.32</v>
      </c>
      <c r="X61" s="21">
        <f t="shared" si="77"/>
        <v>114032.64</v>
      </c>
      <c r="Y61" s="21">
        <f t="shared" si="77"/>
        <v>228065.28</v>
      </c>
      <c r="Z61" s="21">
        <f t="shared" si="77"/>
        <v>456130.56</v>
      </c>
      <c r="AA61" s="21">
        <f t="shared" si="77"/>
        <v>912261.12</v>
      </c>
      <c r="AB61" s="21">
        <f t="shared" si="77"/>
        <v>1824522.24</v>
      </c>
      <c r="AC61" s="21">
        <f t="shared" si="77"/>
        <v>3649044.48</v>
      </c>
      <c r="AD61" s="21">
        <f t="shared" si="77"/>
        <v>7298088.96</v>
      </c>
      <c r="AE61" s="72">
        <f t="shared" si="77"/>
        <v>14596177.92</v>
      </c>
      <c r="AF61" s="20">
        <f t="shared" si="77"/>
        <v>29192355.84</v>
      </c>
      <c r="AG61" s="21">
        <f t="shared" si="77"/>
        <v>58384711.68</v>
      </c>
      <c r="AH61" s="21">
        <f t="shared" si="77"/>
        <v>116769423.36</v>
      </c>
      <c r="AI61" s="21">
        <f t="shared" si="77"/>
        <v>233538846.72</v>
      </c>
      <c r="AJ61" s="72">
        <f t="shared" si="77"/>
        <v>322980192</v>
      </c>
      <c r="AK61" s="45"/>
    </row>
    <row r="62" spans="1:37" x14ac:dyDescent="0.25">
      <c r="A62" s="41"/>
      <c r="B62" s="6"/>
      <c r="C62" s="10"/>
      <c r="D62" s="8"/>
      <c r="E62" s="27">
        <v>2E-3</v>
      </c>
      <c r="F62" s="15">
        <v>2.5999999999999999E-2</v>
      </c>
      <c r="G62" s="10"/>
      <c r="H62" s="15"/>
      <c r="I62" s="10"/>
      <c r="J62" s="29">
        <f t="shared" ref="J62:AJ62" si="78">J$18*$D$61*$E$62</f>
        <v>1.392E-2</v>
      </c>
      <c r="K62" s="30">
        <f t="shared" si="78"/>
        <v>2.784E-2</v>
      </c>
      <c r="L62" s="30">
        <f t="shared" si="78"/>
        <v>5.568E-2</v>
      </c>
      <c r="M62" s="30">
        <f t="shared" si="78"/>
        <v>0.11136</v>
      </c>
      <c r="N62" s="30">
        <f t="shared" si="78"/>
        <v>0.22272</v>
      </c>
      <c r="O62" s="30">
        <f t="shared" si="78"/>
        <v>0.44544</v>
      </c>
      <c r="P62" s="30">
        <f t="shared" si="78"/>
        <v>0.89088000000000001</v>
      </c>
      <c r="Q62" s="30">
        <f t="shared" si="78"/>
        <v>1.78176</v>
      </c>
      <c r="R62" s="30">
        <f t="shared" si="78"/>
        <v>3.56352</v>
      </c>
      <c r="S62" s="30">
        <f t="shared" si="78"/>
        <v>7.12704</v>
      </c>
      <c r="T62" s="30">
        <f t="shared" si="78"/>
        <v>14.25408</v>
      </c>
      <c r="U62" s="30">
        <f t="shared" si="78"/>
        <v>28.50816</v>
      </c>
      <c r="V62" s="30">
        <f t="shared" si="78"/>
        <v>57.01632</v>
      </c>
      <c r="W62" s="30">
        <f t="shared" si="78"/>
        <v>114.03264</v>
      </c>
      <c r="X62" s="30">
        <f t="shared" si="78"/>
        <v>228.06528</v>
      </c>
      <c r="Y62" s="30">
        <f t="shared" si="78"/>
        <v>456.13056</v>
      </c>
      <c r="Z62" s="30">
        <f t="shared" si="78"/>
        <v>912.26112000000001</v>
      </c>
      <c r="AA62" s="30">
        <f t="shared" si="78"/>
        <v>1824.52224</v>
      </c>
      <c r="AB62" s="30">
        <f t="shared" si="78"/>
        <v>3649.04448</v>
      </c>
      <c r="AC62" s="30">
        <f t="shared" si="78"/>
        <v>7298.08896</v>
      </c>
      <c r="AD62" s="30">
        <f t="shared" si="78"/>
        <v>14596.17792</v>
      </c>
      <c r="AE62" s="71">
        <f t="shared" si="78"/>
        <v>29192.35584</v>
      </c>
      <c r="AF62" s="29">
        <f t="shared" si="78"/>
        <v>58384.71168</v>
      </c>
      <c r="AG62" s="30">
        <f t="shared" si="78"/>
        <v>116769.42336</v>
      </c>
      <c r="AH62" s="30">
        <f t="shared" si="78"/>
        <v>233538.84672</v>
      </c>
      <c r="AI62" s="30">
        <f t="shared" si="78"/>
        <v>467077.69344</v>
      </c>
      <c r="AJ62" s="71">
        <f t="shared" si="78"/>
        <v>645960.38399999996</v>
      </c>
      <c r="AK62" s="45"/>
    </row>
    <row r="63" spans="1:37" x14ac:dyDescent="0.25">
      <c r="A63" s="42" t="s">
        <v>19</v>
      </c>
      <c r="B63" s="6">
        <f>'Population by Age - Wikipedia'!D6</f>
        <v>0.20913789496692137</v>
      </c>
      <c r="C63" s="10">
        <f t="shared" si="66"/>
        <v>291152575.30556941</v>
      </c>
      <c r="D63" s="23">
        <f>'Infection Rate by Age'!B11</f>
        <v>3.7999999999999999E-2</v>
      </c>
      <c r="E63" s="17"/>
      <c r="F63" s="10"/>
      <c r="G63" s="10"/>
      <c r="H63" s="10"/>
      <c r="I63" s="10"/>
      <c r="J63" s="20">
        <f t="shared" ref="J63:AJ63" si="79">J$18*$D$63</f>
        <v>1.1399999999999999</v>
      </c>
      <c r="K63" s="21">
        <f t="shared" si="79"/>
        <v>2.2799999999999998</v>
      </c>
      <c r="L63" s="21">
        <f t="shared" si="79"/>
        <v>4.5599999999999996</v>
      </c>
      <c r="M63" s="21">
        <f t="shared" si="79"/>
        <v>9.1199999999999992</v>
      </c>
      <c r="N63" s="21">
        <f t="shared" si="79"/>
        <v>18.239999999999998</v>
      </c>
      <c r="O63" s="21">
        <f t="shared" si="79"/>
        <v>36.479999999999997</v>
      </c>
      <c r="P63" s="21">
        <f t="shared" si="79"/>
        <v>72.959999999999994</v>
      </c>
      <c r="Q63" s="21">
        <f t="shared" si="79"/>
        <v>145.91999999999999</v>
      </c>
      <c r="R63" s="21">
        <f t="shared" si="79"/>
        <v>291.83999999999997</v>
      </c>
      <c r="S63" s="21">
        <f t="shared" si="79"/>
        <v>583.67999999999995</v>
      </c>
      <c r="T63" s="21">
        <f t="shared" si="79"/>
        <v>1167.3599999999999</v>
      </c>
      <c r="U63" s="21">
        <f t="shared" si="79"/>
        <v>2334.7199999999998</v>
      </c>
      <c r="V63" s="21">
        <f t="shared" si="79"/>
        <v>4669.4399999999996</v>
      </c>
      <c r="W63" s="21">
        <f t="shared" si="79"/>
        <v>9338.8799999999992</v>
      </c>
      <c r="X63" s="21">
        <f t="shared" si="79"/>
        <v>18677.759999999998</v>
      </c>
      <c r="Y63" s="21">
        <f t="shared" si="79"/>
        <v>37355.519999999997</v>
      </c>
      <c r="Z63" s="21">
        <f t="shared" si="79"/>
        <v>74711.039999999994</v>
      </c>
      <c r="AA63" s="21">
        <f t="shared" si="79"/>
        <v>149422.07999999999</v>
      </c>
      <c r="AB63" s="21">
        <f t="shared" si="79"/>
        <v>298844.15999999997</v>
      </c>
      <c r="AC63" s="21">
        <f t="shared" si="79"/>
        <v>597688.31999999995</v>
      </c>
      <c r="AD63" s="21">
        <f t="shared" si="79"/>
        <v>1195376.6399999999</v>
      </c>
      <c r="AE63" s="72">
        <f t="shared" si="79"/>
        <v>2390753.2799999998</v>
      </c>
      <c r="AF63" s="20">
        <f t="shared" si="79"/>
        <v>4781506.5599999996</v>
      </c>
      <c r="AG63" s="21">
        <f t="shared" si="79"/>
        <v>9563013.1199999992</v>
      </c>
      <c r="AH63" s="21">
        <f t="shared" si="79"/>
        <v>19126026.239999998</v>
      </c>
      <c r="AI63" s="21">
        <f t="shared" si="79"/>
        <v>38252052.479999997</v>
      </c>
      <c r="AJ63" s="72">
        <f t="shared" si="79"/>
        <v>52901928</v>
      </c>
      <c r="AK63" s="45"/>
    </row>
    <row r="64" spans="1:37" x14ac:dyDescent="0.25">
      <c r="A64" s="42"/>
      <c r="B64" s="6"/>
      <c r="C64" s="10"/>
      <c r="D64" s="8"/>
      <c r="E64" s="27">
        <v>2E-3</v>
      </c>
      <c r="F64" s="15"/>
      <c r="G64" s="10"/>
      <c r="H64" s="15"/>
      <c r="I64" s="10"/>
      <c r="J64" s="29">
        <f t="shared" ref="J64:AJ64" si="80">J$18*$D$63*$E$64</f>
        <v>2.2799999999999999E-3</v>
      </c>
      <c r="K64" s="30">
        <f t="shared" si="80"/>
        <v>4.5599999999999998E-3</v>
      </c>
      <c r="L64" s="30">
        <f t="shared" si="80"/>
        <v>9.1199999999999996E-3</v>
      </c>
      <c r="M64" s="30">
        <f t="shared" si="80"/>
        <v>1.8239999999999999E-2</v>
      </c>
      <c r="N64" s="30">
        <f t="shared" si="80"/>
        <v>3.6479999999999999E-2</v>
      </c>
      <c r="O64" s="30">
        <f t="shared" si="80"/>
        <v>7.2959999999999997E-2</v>
      </c>
      <c r="P64" s="30">
        <f t="shared" si="80"/>
        <v>0.14591999999999999</v>
      </c>
      <c r="Q64" s="30">
        <f t="shared" si="80"/>
        <v>0.29183999999999999</v>
      </c>
      <c r="R64" s="30">
        <f t="shared" si="80"/>
        <v>0.58367999999999998</v>
      </c>
      <c r="S64" s="30">
        <f t="shared" si="80"/>
        <v>1.16736</v>
      </c>
      <c r="T64" s="30">
        <f t="shared" si="80"/>
        <v>2.3347199999999999</v>
      </c>
      <c r="U64" s="30">
        <f t="shared" si="80"/>
        <v>4.6694399999999998</v>
      </c>
      <c r="V64" s="30">
        <f t="shared" si="80"/>
        <v>9.3388799999999996</v>
      </c>
      <c r="W64" s="30">
        <f t="shared" si="80"/>
        <v>18.677759999999999</v>
      </c>
      <c r="X64" s="30">
        <f t="shared" si="80"/>
        <v>37.355519999999999</v>
      </c>
      <c r="Y64" s="30">
        <f t="shared" si="80"/>
        <v>74.711039999999997</v>
      </c>
      <c r="Z64" s="30">
        <f t="shared" si="80"/>
        <v>149.42207999999999</v>
      </c>
      <c r="AA64" s="30">
        <f t="shared" si="80"/>
        <v>298.84415999999999</v>
      </c>
      <c r="AB64" s="30">
        <f t="shared" si="80"/>
        <v>597.68831999999998</v>
      </c>
      <c r="AC64" s="30">
        <f t="shared" si="80"/>
        <v>1195.37664</v>
      </c>
      <c r="AD64" s="30">
        <f t="shared" si="80"/>
        <v>2390.7532799999999</v>
      </c>
      <c r="AE64" s="71">
        <f t="shared" si="80"/>
        <v>4781.5065599999998</v>
      </c>
      <c r="AF64" s="29">
        <f t="shared" si="80"/>
        <v>9563.0131199999996</v>
      </c>
      <c r="AG64" s="30">
        <f t="shared" si="80"/>
        <v>19126.026239999999</v>
      </c>
      <c r="AH64" s="30">
        <f t="shared" si="80"/>
        <v>38252.052479999998</v>
      </c>
      <c r="AI64" s="30">
        <f t="shared" si="80"/>
        <v>76504.104959999997</v>
      </c>
      <c r="AJ64" s="71">
        <f t="shared" si="80"/>
        <v>105803.856</v>
      </c>
      <c r="AK64" s="45"/>
    </row>
    <row r="65" spans="1:37" x14ac:dyDescent="0.25">
      <c r="A65" s="42" t="s">
        <v>20</v>
      </c>
      <c r="B65" s="6">
        <f>'Population by Age - Wikipedia'!D4</f>
        <v>0.19798812289970874</v>
      </c>
      <c r="C65" s="10">
        <f t="shared" si="66"/>
        <v>275630353.22356695</v>
      </c>
      <c r="D65" s="23">
        <f>'Infection Rate by Age'!B12</f>
        <v>2.1000000000000001E-2</v>
      </c>
      <c r="E65" s="17"/>
      <c r="F65" s="10"/>
      <c r="G65" s="10"/>
      <c r="H65" s="10"/>
      <c r="I65" s="10"/>
      <c r="J65" s="20">
        <f t="shared" ref="J65:AJ65" si="81">J$18*$D$65</f>
        <v>0.63</v>
      </c>
      <c r="K65" s="21">
        <f t="shared" si="81"/>
        <v>1.26</v>
      </c>
      <c r="L65" s="21">
        <f t="shared" si="81"/>
        <v>2.52</v>
      </c>
      <c r="M65" s="21">
        <f t="shared" si="81"/>
        <v>5.04</v>
      </c>
      <c r="N65" s="21">
        <f t="shared" si="81"/>
        <v>10.08</v>
      </c>
      <c r="O65" s="21">
        <f t="shared" si="81"/>
        <v>20.16</v>
      </c>
      <c r="P65" s="21">
        <f t="shared" si="81"/>
        <v>40.32</v>
      </c>
      <c r="Q65" s="21">
        <f t="shared" si="81"/>
        <v>80.64</v>
      </c>
      <c r="R65" s="21">
        <f t="shared" si="81"/>
        <v>161.28</v>
      </c>
      <c r="S65" s="21">
        <f t="shared" si="81"/>
        <v>322.56</v>
      </c>
      <c r="T65" s="21">
        <f t="shared" si="81"/>
        <v>645.12</v>
      </c>
      <c r="U65" s="21">
        <f t="shared" si="81"/>
        <v>1290.24</v>
      </c>
      <c r="V65" s="21">
        <f t="shared" si="81"/>
        <v>2580.48</v>
      </c>
      <c r="W65" s="21">
        <f t="shared" si="81"/>
        <v>5160.96</v>
      </c>
      <c r="X65" s="21">
        <f t="shared" si="81"/>
        <v>10321.92</v>
      </c>
      <c r="Y65" s="21">
        <f t="shared" si="81"/>
        <v>20643.84</v>
      </c>
      <c r="Z65" s="21">
        <f t="shared" si="81"/>
        <v>41287.68</v>
      </c>
      <c r="AA65" s="21">
        <f t="shared" si="81"/>
        <v>82575.360000000001</v>
      </c>
      <c r="AB65" s="21">
        <f t="shared" si="81"/>
        <v>165150.72</v>
      </c>
      <c r="AC65" s="21">
        <f t="shared" si="81"/>
        <v>330301.44</v>
      </c>
      <c r="AD65" s="21">
        <f t="shared" si="81"/>
        <v>660602.88</v>
      </c>
      <c r="AE65" s="72">
        <f t="shared" si="81"/>
        <v>1321205.76</v>
      </c>
      <c r="AF65" s="20">
        <f t="shared" si="81"/>
        <v>2642411.52</v>
      </c>
      <c r="AG65" s="21">
        <f t="shared" si="81"/>
        <v>5284823.04</v>
      </c>
      <c r="AH65" s="21">
        <f t="shared" si="81"/>
        <v>10569646.08</v>
      </c>
      <c r="AI65" s="21">
        <f t="shared" si="81"/>
        <v>21139292.16</v>
      </c>
      <c r="AJ65" s="72">
        <f t="shared" si="81"/>
        <v>29235276</v>
      </c>
      <c r="AK65" s="45"/>
    </row>
    <row r="66" spans="1:37" x14ac:dyDescent="0.25">
      <c r="A66" s="42"/>
      <c r="B66" s="7"/>
      <c r="C66" s="11"/>
      <c r="D66" s="26"/>
      <c r="E66" s="28">
        <v>0</v>
      </c>
      <c r="F66" s="15"/>
      <c r="G66" s="10"/>
      <c r="H66" s="10"/>
      <c r="I66" s="10"/>
      <c r="J66" s="31">
        <f t="shared" ref="J66:AJ66" si="82">J$18*$D$65*$E$66</f>
        <v>0</v>
      </c>
      <c r="K66" s="32">
        <f t="shared" si="82"/>
        <v>0</v>
      </c>
      <c r="L66" s="32">
        <f t="shared" si="82"/>
        <v>0</v>
      </c>
      <c r="M66" s="32">
        <f t="shared" si="82"/>
        <v>0</v>
      </c>
      <c r="N66" s="32">
        <f t="shared" si="82"/>
        <v>0</v>
      </c>
      <c r="O66" s="32">
        <f t="shared" si="82"/>
        <v>0</v>
      </c>
      <c r="P66" s="32">
        <f t="shared" si="82"/>
        <v>0</v>
      </c>
      <c r="Q66" s="32">
        <f t="shared" si="82"/>
        <v>0</v>
      </c>
      <c r="R66" s="32">
        <f t="shared" si="82"/>
        <v>0</v>
      </c>
      <c r="S66" s="32">
        <f t="shared" si="82"/>
        <v>0</v>
      </c>
      <c r="T66" s="32">
        <f t="shared" si="82"/>
        <v>0</v>
      </c>
      <c r="U66" s="32">
        <f t="shared" si="82"/>
        <v>0</v>
      </c>
      <c r="V66" s="32">
        <f t="shared" si="82"/>
        <v>0</v>
      </c>
      <c r="W66" s="32">
        <f t="shared" si="82"/>
        <v>0</v>
      </c>
      <c r="X66" s="32">
        <f t="shared" si="82"/>
        <v>0</v>
      </c>
      <c r="Y66" s="32">
        <f t="shared" si="82"/>
        <v>0</v>
      </c>
      <c r="Z66" s="32">
        <f t="shared" si="82"/>
        <v>0</v>
      </c>
      <c r="AA66" s="32">
        <f t="shared" si="82"/>
        <v>0</v>
      </c>
      <c r="AB66" s="32">
        <f t="shared" si="82"/>
        <v>0</v>
      </c>
      <c r="AC66" s="32">
        <f t="shared" si="82"/>
        <v>0</v>
      </c>
      <c r="AD66" s="32">
        <f t="shared" si="82"/>
        <v>0</v>
      </c>
      <c r="AE66" s="73">
        <f t="shared" si="82"/>
        <v>0</v>
      </c>
      <c r="AF66" s="29">
        <f t="shared" si="82"/>
        <v>0</v>
      </c>
      <c r="AG66" s="30">
        <f t="shared" si="82"/>
        <v>0</v>
      </c>
      <c r="AH66" s="30">
        <f t="shared" si="82"/>
        <v>0</v>
      </c>
      <c r="AI66" s="30">
        <f t="shared" si="82"/>
        <v>0</v>
      </c>
      <c r="AJ66" s="71">
        <f t="shared" si="82"/>
        <v>0</v>
      </c>
      <c r="AK66" s="45"/>
    </row>
    <row r="67" spans="1:37" x14ac:dyDescent="0.25">
      <c r="A67" s="41" t="s">
        <v>39</v>
      </c>
      <c r="B67" s="14"/>
      <c r="C67" s="10"/>
      <c r="D67" s="10"/>
      <c r="E67" s="15"/>
      <c r="F67" s="10"/>
      <c r="G67" s="10"/>
      <c r="H67" s="10"/>
      <c r="I67" s="10"/>
      <c r="J67" s="18">
        <f t="shared" ref="J67:Z67" si="83">SUM(J49,J51,J53,J55,J57,J59,J61,J63,J65)</f>
        <v>30.000000000000004</v>
      </c>
      <c r="K67" s="19">
        <f t="shared" si="83"/>
        <v>60.000000000000007</v>
      </c>
      <c r="L67" s="19">
        <f t="shared" si="83"/>
        <v>120.00000000000001</v>
      </c>
      <c r="M67" s="19">
        <f t="shared" si="83"/>
        <v>240.00000000000003</v>
      </c>
      <c r="N67" s="19">
        <f t="shared" si="83"/>
        <v>480.00000000000006</v>
      </c>
      <c r="O67" s="19">
        <f>SUM(O49,O51,O53,O55,O57,O59,O61,O63,O65)</f>
        <v>960.00000000000011</v>
      </c>
      <c r="P67" s="19">
        <f t="shared" si="83"/>
        <v>1920.0000000000002</v>
      </c>
      <c r="Q67" s="19">
        <f t="shared" si="83"/>
        <v>3840.0000000000005</v>
      </c>
      <c r="R67" s="19">
        <f t="shared" si="83"/>
        <v>7680.0000000000009</v>
      </c>
      <c r="S67" s="19">
        <f t="shared" si="83"/>
        <v>15360.000000000002</v>
      </c>
      <c r="T67" s="19">
        <f t="shared" si="83"/>
        <v>30720.000000000004</v>
      </c>
      <c r="U67" s="19">
        <f t="shared" si="83"/>
        <v>61440.000000000007</v>
      </c>
      <c r="V67" s="19">
        <f t="shared" si="83"/>
        <v>122880.00000000001</v>
      </c>
      <c r="W67" s="19">
        <f t="shared" si="83"/>
        <v>245760.00000000003</v>
      </c>
      <c r="X67" s="19">
        <f t="shared" si="83"/>
        <v>491520.00000000006</v>
      </c>
      <c r="Y67" s="19">
        <f t="shared" si="83"/>
        <v>983040.00000000012</v>
      </c>
      <c r="Z67" s="19">
        <f t="shared" si="83"/>
        <v>1966080.0000000002</v>
      </c>
      <c r="AA67" s="19">
        <f t="shared" ref="AA67:AC68" si="84">SUM(AA49,AA51,AA53,AA55,AA57,AA59,AA61,AA63,AA65)</f>
        <v>3932160.0000000005</v>
      </c>
      <c r="AB67" s="19">
        <f t="shared" si="84"/>
        <v>7864320.0000000009</v>
      </c>
      <c r="AC67" s="19">
        <f t="shared" si="84"/>
        <v>15728640.000000002</v>
      </c>
      <c r="AD67" s="19">
        <f t="shared" ref="AD67:AJ67" si="85">SUM(AD49,AD51,AD53,AD55,AD57,AD59,AD61,AD63,AD65)</f>
        <v>31457280.000000004</v>
      </c>
      <c r="AE67" s="19">
        <f t="shared" si="85"/>
        <v>62914560.000000007</v>
      </c>
      <c r="AF67" s="18">
        <f t="shared" si="85"/>
        <v>125829120.00000001</v>
      </c>
      <c r="AG67" s="19">
        <f t="shared" si="85"/>
        <v>251658240.00000003</v>
      </c>
      <c r="AH67" s="19">
        <f t="shared" ref="AH67" si="86">SUM(AH49,AH51,AH53,AH55,AH57,AH59,AH61,AH63,AH65)</f>
        <v>503316480.00000006</v>
      </c>
      <c r="AI67" s="19">
        <f t="shared" si="85"/>
        <v>1006632960.0000001</v>
      </c>
      <c r="AJ67" s="60">
        <f t="shared" si="85"/>
        <v>1392156000</v>
      </c>
      <c r="AK67" s="45"/>
    </row>
    <row r="68" spans="1:37" x14ac:dyDescent="0.25">
      <c r="A68" s="43" t="s">
        <v>38</v>
      </c>
      <c r="B68" s="44"/>
      <c r="C68" s="11"/>
      <c r="D68" s="11"/>
      <c r="E68" s="38"/>
      <c r="F68" s="11"/>
      <c r="G68" s="11"/>
      <c r="H68" s="11"/>
      <c r="I68" s="11"/>
      <c r="J68" s="31">
        <f>SUM(J50,J52,J54,J56,J58,J60,J62,J64,J66)</f>
        <v>0.35654999999999992</v>
      </c>
      <c r="K68" s="32">
        <f>SUM(K50,K52,K54,K56,K58,K60,K62,K64,K66)</f>
        <v>0.71309999999999985</v>
      </c>
      <c r="L68" s="32">
        <f t="shared" ref="L68:Z68" si="87">SUM(L50,L52,L54,L56,L58,L60,L62,L64,L66)</f>
        <v>1.4261999999999997</v>
      </c>
      <c r="M68" s="32">
        <f t="shared" si="87"/>
        <v>2.8523999999999994</v>
      </c>
      <c r="N68" s="32">
        <f t="shared" si="87"/>
        <v>5.7047999999999988</v>
      </c>
      <c r="O68" s="32">
        <f t="shared" si="87"/>
        <v>11.409599999999998</v>
      </c>
      <c r="P68" s="32">
        <f t="shared" si="87"/>
        <v>22.819199999999995</v>
      </c>
      <c r="Q68" s="32">
        <f t="shared" si="87"/>
        <v>45.63839999999999</v>
      </c>
      <c r="R68" s="32">
        <f t="shared" si="87"/>
        <v>91.27679999999998</v>
      </c>
      <c r="S68" s="32">
        <f t="shared" si="87"/>
        <v>182.55359999999996</v>
      </c>
      <c r="T68" s="32">
        <f t="shared" si="87"/>
        <v>365.10719999999992</v>
      </c>
      <c r="U68" s="32">
        <f t="shared" si="87"/>
        <v>730.21439999999984</v>
      </c>
      <c r="V68" s="32">
        <f t="shared" si="87"/>
        <v>1460.4287999999997</v>
      </c>
      <c r="W68" s="32">
        <f t="shared" si="87"/>
        <v>2920.8575999999994</v>
      </c>
      <c r="X68" s="32">
        <f t="shared" si="87"/>
        <v>5841.7151999999987</v>
      </c>
      <c r="Y68" s="32">
        <f t="shared" si="87"/>
        <v>11683.430399999997</v>
      </c>
      <c r="Z68" s="32">
        <f t="shared" si="87"/>
        <v>23366.860799999995</v>
      </c>
      <c r="AA68" s="32">
        <f t="shared" si="84"/>
        <v>46733.72159999999</v>
      </c>
      <c r="AB68" s="32">
        <f t="shared" si="84"/>
        <v>93467.44319999998</v>
      </c>
      <c r="AC68" s="32">
        <f t="shared" si="84"/>
        <v>186934.88639999996</v>
      </c>
      <c r="AD68" s="32">
        <f t="shared" ref="AD68:AJ68" si="88">SUM(AD50,AD52,AD54,AD56,AD58,AD60,AD62,AD64,AD66)</f>
        <v>373869.77279999992</v>
      </c>
      <c r="AE68" s="32">
        <f t="shared" si="88"/>
        <v>747739.54559999984</v>
      </c>
      <c r="AF68" s="31">
        <f t="shared" si="88"/>
        <v>1495479.0911999997</v>
      </c>
      <c r="AG68" s="32">
        <f t="shared" si="88"/>
        <v>2990958.1823999994</v>
      </c>
      <c r="AH68" s="32">
        <f t="shared" ref="AH68" si="89">SUM(AH50,AH52,AH54,AH56,AH58,AH60,AH62,AH64,AH66)</f>
        <v>5981916.3647999987</v>
      </c>
      <c r="AI68" s="32">
        <f t="shared" si="88"/>
        <v>11963832.729599997</v>
      </c>
      <c r="AJ68" s="73">
        <f t="shared" si="88"/>
        <v>16545774.059999999</v>
      </c>
      <c r="AK68" s="45"/>
    </row>
    <row r="69" spans="1:37" x14ac:dyDescent="0.25">
      <c r="A69" s="42"/>
      <c r="B69" s="14"/>
      <c r="C69" s="10"/>
      <c r="D69" s="10"/>
      <c r="E69" s="15"/>
      <c r="F69" s="10"/>
      <c r="G69" s="10"/>
      <c r="H69" s="10"/>
      <c r="I69" s="10"/>
      <c r="J69" s="45"/>
      <c r="K69" s="45"/>
      <c r="L69" s="45"/>
      <c r="M69" s="45"/>
      <c r="N69" s="45"/>
      <c r="O69" s="45"/>
      <c r="P69" s="45"/>
      <c r="Q69" s="45"/>
      <c r="R69" s="45"/>
      <c r="S69" s="45"/>
      <c r="T69" s="45"/>
      <c r="U69" s="45"/>
      <c r="V69" s="45"/>
      <c r="W69" s="45"/>
      <c r="X69" s="45"/>
      <c r="Y69" s="45"/>
      <c r="Z69" s="45"/>
      <c r="AA69" s="45"/>
    </row>
    <row r="70" spans="1:37" x14ac:dyDescent="0.25">
      <c r="A70" s="54" t="s">
        <v>49</v>
      </c>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7" x14ac:dyDescent="0.25">
      <c r="A71" s="4"/>
      <c r="B71" s="9" t="s">
        <v>5</v>
      </c>
      <c r="C71" s="9" t="s">
        <v>3</v>
      </c>
      <c r="D71" s="9"/>
      <c r="E71" s="59" t="s">
        <v>2</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5"/>
      <c r="AK71" s="47"/>
    </row>
    <row r="72" spans="1:37" x14ac:dyDescent="0.25">
      <c r="A72" s="48" t="s">
        <v>1</v>
      </c>
      <c r="B72" s="24">
        <v>3.9E-2</v>
      </c>
      <c r="C72" s="10">
        <f>$B$5 * B72</f>
        <v>54294084</v>
      </c>
      <c r="D72" s="16"/>
      <c r="E72" s="16"/>
      <c r="F72" s="16"/>
      <c r="G72" s="16"/>
      <c r="H72" s="16"/>
      <c r="I72" s="16"/>
      <c r="J72" s="18">
        <f t="shared" ref="J72:AJ72" si="90">J$18*$B$72</f>
        <v>1.17</v>
      </c>
      <c r="K72" s="19">
        <f t="shared" si="90"/>
        <v>2.34</v>
      </c>
      <c r="L72" s="19">
        <f t="shared" si="90"/>
        <v>4.68</v>
      </c>
      <c r="M72" s="19">
        <f t="shared" si="90"/>
        <v>9.36</v>
      </c>
      <c r="N72" s="19">
        <f t="shared" si="90"/>
        <v>18.72</v>
      </c>
      <c r="O72" s="19">
        <f t="shared" si="90"/>
        <v>37.44</v>
      </c>
      <c r="P72" s="19">
        <f t="shared" si="90"/>
        <v>74.88</v>
      </c>
      <c r="Q72" s="19">
        <f t="shared" si="90"/>
        <v>149.76</v>
      </c>
      <c r="R72" s="19">
        <f t="shared" si="90"/>
        <v>299.52</v>
      </c>
      <c r="S72" s="19">
        <f t="shared" si="90"/>
        <v>599.04</v>
      </c>
      <c r="T72" s="19">
        <f t="shared" si="90"/>
        <v>1198.08</v>
      </c>
      <c r="U72" s="19">
        <f t="shared" si="90"/>
        <v>2396.16</v>
      </c>
      <c r="V72" s="19">
        <f t="shared" si="90"/>
        <v>4792.32</v>
      </c>
      <c r="W72" s="19">
        <f t="shared" si="90"/>
        <v>9584.64</v>
      </c>
      <c r="X72" s="19">
        <f t="shared" si="90"/>
        <v>19169.28</v>
      </c>
      <c r="Y72" s="19">
        <f t="shared" si="90"/>
        <v>38338.559999999998</v>
      </c>
      <c r="Z72" s="19">
        <f t="shared" si="90"/>
        <v>76677.119999999995</v>
      </c>
      <c r="AA72" s="19">
        <f t="shared" si="90"/>
        <v>153354.23999999999</v>
      </c>
      <c r="AB72" s="19">
        <f t="shared" si="90"/>
        <v>306708.47999999998</v>
      </c>
      <c r="AC72" s="19">
        <f t="shared" si="90"/>
        <v>613416.95999999996</v>
      </c>
      <c r="AD72" s="19">
        <f t="shared" si="90"/>
        <v>1226833.9199999999</v>
      </c>
      <c r="AE72" s="19">
        <f t="shared" si="90"/>
        <v>2453667.8399999999</v>
      </c>
      <c r="AF72" s="18">
        <f t="shared" si="90"/>
        <v>4907335.6799999997</v>
      </c>
      <c r="AG72" s="19">
        <f t="shared" si="90"/>
        <v>9814671.3599999994</v>
      </c>
      <c r="AH72" s="19">
        <f t="shared" si="90"/>
        <v>19629342.719999999</v>
      </c>
      <c r="AI72" s="19">
        <f t="shared" si="90"/>
        <v>39258685.439999998</v>
      </c>
      <c r="AJ72" s="60">
        <f t="shared" si="90"/>
        <v>54294084</v>
      </c>
      <c r="AK72" s="45"/>
    </row>
    <row r="73" spans="1:37" x14ac:dyDescent="0.25">
      <c r="A73" s="48"/>
      <c r="B73" s="16"/>
      <c r="C73" s="16"/>
      <c r="D73" s="25"/>
      <c r="E73" s="46">
        <v>0.105</v>
      </c>
      <c r="F73" s="16"/>
      <c r="G73" s="16"/>
      <c r="H73" s="16"/>
      <c r="I73" s="16"/>
      <c r="J73" s="29">
        <f>J72*$E$73</f>
        <v>0.12284999999999999</v>
      </c>
      <c r="K73" s="30">
        <f t="shared" ref="K73:Z73" si="91">K72*$E$73</f>
        <v>0.24569999999999997</v>
      </c>
      <c r="L73" s="30">
        <f t="shared" si="91"/>
        <v>0.49139999999999995</v>
      </c>
      <c r="M73" s="30">
        <f t="shared" si="91"/>
        <v>0.9827999999999999</v>
      </c>
      <c r="N73" s="30">
        <f t="shared" si="91"/>
        <v>1.9655999999999998</v>
      </c>
      <c r="O73" s="30">
        <f t="shared" si="91"/>
        <v>3.9311999999999996</v>
      </c>
      <c r="P73" s="30">
        <f t="shared" si="91"/>
        <v>7.8623999999999992</v>
      </c>
      <c r="Q73" s="30">
        <f t="shared" si="91"/>
        <v>15.724799999999998</v>
      </c>
      <c r="R73" s="30">
        <f t="shared" si="91"/>
        <v>31.449599999999997</v>
      </c>
      <c r="S73" s="30">
        <f t="shared" si="91"/>
        <v>62.899199999999993</v>
      </c>
      <c r="T73" s="30">
        <f t="shared" si="91"/>
        <v>125.79839999999999</v>
      </c>
      <c r="U73" s="30">
        <f t="shared" si="91"/>
        <v>251.59679999999997</v>
      </c>
      <c r="V73" s="30">
        <f t="shared" si="91"/>
        <v>503.19359999999995</v>
      </c>
      <c r="W73" s="30">
        <f t="shared" si="91"/>
        <v>1006.3871999999999</v>
      </c>
      <c r="X73" s="30">
        <f t="shared" si="91"/>
        <v>2012.7743999999998</v>
      </c>
      <c r="Y73" s="30">
        <f t="shared" si="91"/>
        <v>4025.5487999999996</v>
      </c>
      <c r="Z73" s="30">
        <f t="shared" si="91"/>
        <v>8051.0975999999991</v>
      </c>
      <c r="AA73" s="30">
        <f>AA72*$E$73</f>
        <v>16102.195199999998</v>
      </c>
      <c r="AB73" s="30">
        <f>AB72*$E$73</f>
        <v>32204.390399999997</v>
      </c>
      <c r="AC73" s="30">
        <f>AC72*$E$73</f>
        <v>64408.780799999993</v>
      </c>
      <c r="AD73" s="30">
        <f t="shared" ref="AD73:AJ73" si="92">AD72*$E$73</f>
        <v>128817.56159999999</v>
      </c>
      <c r="AE73" s="30">
        <f t="shared" si="92"/>
        <v>257635.12319999997</v>
      </c>
      <c r="AF73" s="29">
        <f t="shared" si="92"/>
        <v>515270.24639999995</v>
      </c>
      <c r="AG73" s="30">
        <f t="shared" si="92"/>
        <v>1030540.4927999999</v>
      </c>
      <c r="AH73" s="30">
        <f t="shared" ref="AH73" si="93">AH72*$E$73</f>
        <v>2061080.9855999998</v>
      </c>
      <c r="AI73" s="30">
        <f t="shared" si="92"/>
        <v>4122161.9711999996</v>
      </c>
      <c r="AJ73" s="71">
        <f t="shared" si="92"/>
        <v>5700878.8199999994</v>
      </c>
      <c r="AK73" s="45"/>
    </row>
    <row r="74" spans="1:37" x14ac:dyDescent="0.25">
      <c r="A74" s="48" t="s">
        <v>4</v>
      </c>
      <c r="B74" s="24">
        <v>8.8999999999999996E-2</v>
      </c>
      <c r="C74" s="10">
        <f>$B$5 * B74</f>
        <v>123901884</v>
      </c>
      <c r="D74" s="47"/>
      <c r="E74" s="16"/>
      <c r="F74" s="16"/>
      <c r="G74" s="16"/>
      <c r="H74" s="16"/>
      <c r="I74" s="16"/>
      <c r="J74" s="20">
        <f t="shared" ref="J74:AJ74" si="94">J$18*$B$74</f>
        <v>2.67</v>
      </c>
      <c r="K74" s="21">
        <f t="shared" si="94"/>
        <v>5.34</v>
      </c>
      <c r="L74" s="21">
        <f t="shared" si="94"/>
        <v>10.68</v>
      </c>
      <c r="M74" s="21">
        <f t="shared" si="94"/>
        <v>21.36</v>
      </c>
      <c r="N74" s="21">
        <f t="shared" si="94"/>
        <v>42.72</v>
      </c>
      <c r="O74" s="21">
        <f t="shared" si="94"/>
        <v>85.44</v>
      </c>
      <c r="P74" s="21">
        <f t="shared" si="94"/>
        <v>170.88</v>
      </c>
      <c r="Q74" s="21">
        <f t="shared" si="94"/>
        <v>341.76</v>
      </c>
      <c r="R74" s="21">
        <f t="shared" si="94"/>
        <v>683.52</v>
      </c>
      <c r="S74" s="21">
        <f t="shared" si="94"/>
        <v>1367.04</v>
      </c>
      <c r="T74" s="21">
        <f t="shared" si="94"/>
        <v>2734.08</v>
      </c>
      <c r="U74" s="21">
        <f t="shared" si="94"/>
        <v>5468.16</v>
      </c>
      <c r="V74" s="21">
        <f t="shared" si="94"/>
        <v>10936.32</v>
      </c>
      <c r="W74" s="21">
        <f t="shared" si="94"/>
        <v>21872.639999999999</v>
      </c>
      <c r="X74" s="21">
        <f t="shared" si="94"/>
        <v>43745.279999999999</v>
      </c>
      <c r="Y74" s="21">
        <f t="shared" si="94"/>
        <v>87490.559999999998</v>
      </c>
      <c r="Z74" s="21">
        <f t="shared" si="94"/>
        <v>174981.12</v>
      </c>
      <c r="AA74" s="21">
        <f t="shared" si="94"/>
        <v>349962.23999999999</v>
      </c>
      <c r="AB74" s="21">
        <f t="shared" si="94"/>
        <v>699924.47999999998</v>
      </c>
      <c r="AC74" s="21">
        <f t="shared" si="94"/>
        <v>1399848.96</v>
      </c>
      <c r="AD74" s="21">
        <f t="shared" si="94"/>
        <v>2799697.9199999999</v>
      </c>
      <c r="AE74" s="21">
        <f t="shared" si="94"/>
        <v>5599395.8399999999</v>
      </c>
      <c r="AF74" s="20">
        <f t="shared" si="94"/>
        <v>11198791.68</v>
      </c>
      <c r="AG74" s="21">
        <f t="shared" si="94"/>
        <v>22397583.359999999</v>
      </c>
      <c r="AH74" s="21">
        <f t="shared" si="94"/>
        <v>44795166.719999999</v>
      </c>
      <c r="AI74" s="21">
        <f t="shared" si="94"/>
        <v>89590333.439999998</v>
      </c>
      <c r="AJ74" s="72">
        <f t="shared" si="94"/>
        <v>123901884</v>
      </c>
      <c r="AK74" s="45"/>
    </row>
    <row r="75" spans="1:37" x14ac:dyDescent="0.25">
      <c r="A75" s="48"/>
      <c r="B75" s="16"/>
      <c r="C75" s="16"/>
      <c r="D75" s="25"/>
      <c r="E75" s="46">
        <v>7.2999999999999995E-2</v>
      </c>
      <c r="F75" s="16"/>
      <c r="G75" s="16"/>
      <c r="H75" s="16"/>
      <c r="I75" s="16"/>
      <c r="J75" s="29">
        <f t="shared" ref="J75:Z75" si="95">J74*$E$75</f>
        <v>0.19490999999999997</v>
      </c>
      <c r="K75" s="30">
        <f t="shared" si="95"/>
        <v>0.38981999999999994</v>
      </c>
      <c r="L75" s="30">
        <f t="shared" si="95"/>
        <v>0.77963999999999989</v>
      </c>
      <c r="M75" s="30">
        <f t="shared" si="95"/>
        <v>1.5592799999999998</v>
      </c>
      <c r="N75" s="30">
        <f t="shared" si="95"/>
        <v>3.1185599999999996</v>
      </c>
      <c r="O75" s="30">
        <f t="shared" si="95"/>
        <v>6.2371199999999991</v>
      </c>
      <c r="P75" s="30">
        <f t="shared" si="95"/>
        <v>12.474239999999998</v>
      </c>
      <c r="Q75" s="30">
        <f t="shared" si="95"/>
        <v>24.948479999999996</v>
      </c>
      <c r="R75" s="30">
        <f t="shared" si="95"/>
        <v>49.896959999999993</v>
      </c>
      <c r="S75" s="30">
        <f t="shared" si="95"/>
        <v>99.793919999999986</v>
      </c>
      <c r="T75" s="30">
        <f t="shared" si="95"/>
        <v>199.58783999999997</v>
      </c>
      <c r="U75" s="30">
        <f t="shared" si="95"/>
        <v>399.17567999999994</v>
      </c>
      <c r="V75" s="30">
        <f t="shared" si="95"/>
        <v>798.35135999999989</v>
      </c>
      <c r="W75" s="30">
        <f t="shared" si="95"/>
        <v>1596.7027199999998</v>
      </c>
      <c r="X75" s="30">
        <f t="shared" si="95"/>
        <v>3193.4054399999995</v>
      </c>
      <c r="Y75" s="30">
        <f t="shared" si="95"/>
        <v>6386.8108799999991</v>
      </c>
      <c r="Z75" s="30">
        <f t="shared" si="95"/>
        <v>12773.621759999998</v>
      </c>
      <c r="AA75" s="30">
        <f>AA74*$E$75</f>
        <v>25547.243519999996</v>
      </c>
      <c r="AB75" s="30">
        <f>AB74*$E$75</f>
        <v>51094.487039999993</v>
      </c>
      <c r="AC75" s="30">
        <f>AC74*$E$75</f>
        <v>102188.97407999999</v>
      </c>
      <c r="AD75" s="30">
        <f t="shared" ref="AD75:AJ75" si="96">AD74*$E$75</f>
        <v>204377.94815999997</v>
      </c>
      <c r="AE75" s="30">
        <f t="shared" si="96"/>
        <v>408755.89631999994</v>
      </c>
      <c r="AF75" s="29">
        <f t="shared" si="96"/>
        <v>817511.79263999988</v>
      </c>
      <c r="AG75" s="30">
        <f t="shared" si="96"/>
        <v>1635023.5852799998</v>
      </c>
      <c r="AH75" s="30">
        <f t="shared" ref="AH75" si="97">AH74*$E$75</f>
        <v>3270047.1705599995</v>
      </c>
      <c r="AI75" s="30">
        <f t="shared" si="96"/>
        <v>6540094.3411199991</v>
      </c>
      <c r="AJ75" s="71">
        <f t="shared" si="96"/>
        <v>9044837.5319999997</v>
      </c>
      <c r="AK75" s="45"/>
    </row>
    <row r="76" spans="1:37" x14ac:dyDescent="0.25">
      <c r="A76" s="48" t="s">
        <v>6</v>
      </c>
      <c r="B76" s="24">
        <v>0.2</v>
      </c>
      <c r="C76" s="10">
        <f>$B$5 * B76</f>
        <v>278431200</v>
      </c>
      <c r="D76" s="47"/>
      <c r="E76" s="16"/>
      <c r="F76" s="16"/>
      <c r="G76" s="16"/>
      <c r="H76" s="16"/>
      <c r="I76" s="16"/>
      <c r="J76" s="20">
        <f t="shared" ref="J76:AJ76" si="98">J$18*$B$76</f>
        <v>6</v>
      </c>
      <c r="K76" s="21">
        <f t="shared" si="98"/>
        <v>12</v>
      </c>
      <c r="L76" s="21">
        <f t="shared" si="98"/>
        <v>24</v>
      </c>
      <c r="M76" s="21">
        <f t="shared" si="98"/>
        <v>48</v>
      </c>
      <c r="N76" s="21">
        <f t="shared" si="98"/>
        <v>96</v>
      </c>
      <c r="O76" s="21">
        <f t="shared" si="98"/>
        <v>192</v>
      </c>
      <c r="P76" s="21">
        <f t="shared" si="98"/>
        <v>384</v>
      </c>
      <c r="Q76" s="21">
        <f t="shared" si="98"/>
        <v>768</v>
      </c>
      <c r="R76" s="21">
        <f t="shared" si="98"/>
        <v>1536</v>
      </c>
      <c r="S76" s="21">
        <f t="shared" si="98"/>
        <v>3072</v>
      </c>
      <c r="T76" s="21">
        <f t="shared" si="98"/>
        <v>6144</v>
      </c>
      <c r="U76" s="21">
        <f t="shared" si="98"/>
        <v>12288</v>
      </c>
      <c r="V76" s="21">
        <f t="shared" si="98"/>
        <v>24576</v>
      </c>
      <c r="W76" s="21">
        <f t="shared" si="98"/>
        <v>49152</v>
      </c>
      <c r="X76" s="21">
        <f t="shared" si="98"/>
        <v>98304</v>
      </c>
      <c r="Y76" s="21">
        <f t="shared" si="98"/>
        <v>196608</v>
      </c>
      <c r="Z76" s="21">
        <f t="shared" si="98"/>
        <v>393216</v>
      </c>
      <c r="AA76" s="21">
        <f t="shared" si="98"/>
        <v>786432</v>
      </c>
      <c r="AB76" s="21">
        <f t="shared" si="98"/>
        <v>1572864</v>
      </c>
      <c r="AC76" s="21">
        <f t="shared" si="98"/>
        <v>3145728</v>
      </c>
      <c r="AD76" s="21">
        <f t="shared" si="98"/>
        <v>6291456</v>
      </c>
      <c r="AE76" s="21">
        <f t="shared" si="98"/>
        <v>12582912</v>
      </c>
      <c r="AF76" s="20">
        <f t="shared" si="98"/>
        <v>25165824</v>
      </c>
      <c r="AG76" s="21">
        <f t="shared" si="98"/>
        <v>50331648</v>
      </c>
      <c r="AH76" s="21">
        <f t="shared" si="98"/>
        <v>100663296</v>
      </c>
      <c r="AI76" s="21">
        <f t="shared" si="98"/>
        <v>201326592</v>
      </c>
      <c r="AJ76" s="72">
        <f t="shared" si="98"/>
        <v>278431200</v>
      </c>
      <c r="AK76" s="45"/>
    </row>
    <row r="77" spans="1:37" x14ac:dyDescent="0.25">
      <c r="A77" s="48"/>
      <c r="B77" s="16"/>
      <c r="C77" s="16"/>
      <c r="D77" s="25"/>
      <c r="E77" s="46">
        <v>6.3E-2</v>
      </c>
      <c r="F77" s="16"/>
      <c r="G77" s="16"/>
      <c r="H77" s="16"/>
      <c r="I77" s="16"/>
      <c r="J77" s="29">
        <f t="shared" ref="J77:Z77" si="99">J76*$E$77</f>
        <v>0.378</v>
      </c>
      <c r="K77" s="30">
        <f t="shared" si="99"/>
        <v>0.75600000000000001</v>
      </c>
      <c r="L77" s="30">
        <f t="shared" si="99"/>
        <v>1.512</v>
      </c>
      <c r="M77" s="30">
        <f t="shared" si="99"/>
        <v>3.024</v>
      </c>
      <c r="N77" s="30">
        <f t="shared" si="99"/>
        <v>6.048</v>
      </c>
      <c r="O77" s="30">
        <f t="shared" si="99"/>
        <v>12.096</v>
      </c>
      <c r="P77" s="30">
        <f t="shared" si="99"/>
        <v>24.192</v>
      </c>
      <c r="Q77" s="30">
        <f t="shared" si="99"/>
        <v>48.384</v>
      </c>
      <c r="R77" s="30">
        <f t="shared" si="99"/>
        <v>96.768000000000001</v>
      </c>
      <c r="S77" s="30">
        <f t="shared" si="99"/>
        <v>193.536</v>
      </c>
      <c r="T77" s="30">
        <f t="shared" si="99"/>
        <v>387.072</v>
      </c>
      <c r="U77" s="30">
        <f t="shared" si="99"/>
        <v>774.14400000000001</v>
      </c>
      <c r="V77" s="30">
        <f t="shared" si="99"/>
        <v>1548.288</v>
      </c>
      <c r="W77" s="30">
        <f t="shared" si="99"/>
        <v>3096.576</v>
      </c>
      <c r="X77" s="30">
        <f t="shared" si="99"/>
        <v>6193.152</v>
      </c>
      <c r="Y77" s="30">
        <f t="shared" si="99"/>
        <v>12386.304</v>
      </c>
      <c r="Z77" s="30">
        <f t="shared" si="99"/>
        <v>24772.608</v>
      </c>
      <c r="AA77" s="30">
        <f>AA76*$E$77</f>
        <v>49545.216</v>
      </c>
      <c r="AB77" s="30">
        <f>AB76*$E$77</f>
        <v>99090.432000000001</v>
      </c>
      <c r="AC77" s="30">
        <f>AC76*$E$77</f>
        <v>198180.864</v>
      </c>
      <c r="AD77" s="30">
        <f t="shared" ref="AD77:AJ77" si="100">AD76*$E$77</f>
        <v>396361.728</v>
      </c>
      <c r="AE77" s="30">
        <f t="shared" si="100"/>
        <v>792723.45600000001</v>
      </c>
      <c r="AF77" s="29">
        <f>AF76*$E$77</f>
        <v>1585446.912</v>
      </c>
      <c r="AG77" s="30">
        <f t="shared" si="100"/>
        <v>3170893.824</v>
      </c>
      <c r="AH77" s="30">
        <f t="shared" ref="AH77" si="101">AH76*$E$77</f>
        <v>6341787.648</v>
      </c>
      <c r="AI77" s="30">
        <f t="shared" si="100"/>
        <v>12683575.296</v>
      </c>
      <c r="AJ77" s="71">
        <f t="shared" si="100"/>
        <v>17541165.600000001</v>
      </c>
      <c r="AK77" s="45"/>
    </row>
    <row r="78" spans="1:37" x14ac:dyDescent="0.25">
      <c r="A78" s="48" t="s">
        <v>7</v>
      </c>
      <c r="B78" s="24">
        <v>0.29799999999999999</v>
      </c>
      <c r="C78" s="10">
        <f>$B$5 * B78</f>
        <v>414862488</v>
      </c>
      <c r="D78" s="47"/>
      <c r="E78" s="16"/>
      <c r="F78" s="16"/>
      <c r="G78" s="16"/>
      <c r="H78" s="16"/>
      <c r="I78" s="16"/>
      <c r="J78" s="20">
        <f t="shared" ref="J78:AJ78" si="102">J$18*$B$78</f>
        <v>8.94</v>
      </c>
      <c r="K78" s="21">
        <f t="shared" si="102"/>
        <v>17.88</v>
      </c>
      <c r="L78" s="21">
        <f t="shared" si="102"/>
        <v>35.76</v>
      </c>
      <c r="M78" s="21">
        <f t="shared" si="102"/>
        <v>71.52</v>
      </c>
      <c r="N78" s="21">
        <f t="shared" si="102"/>
        <v>143.04</v>
      </c>
      <c r="O78" s="21">
        <f t="shared" si="102"/>
        <v>286.08</v>
      </c>
      <c r="P78" s="21">
        <f t="shared" si="102"/>
        <v>572.16</v>
      </c>
      <c r="Q78" s="21">
        <f t="shared" si="102"/>
        <v>1144.32</v>
      </c>
      <c r="R78" s="21">
        <f t="shared" si="102"/>
        <v>2288.64</v>
      </c>
      <c r="S78" s="21">
        <f t="shared" si="102"/>
        <v>4577.28</v>
      </c>
      <c r="T78" s="21">
        <f t="shared" si="102"/>
        <v>9154.56</v>
      </c>
      <c r="U78" s="21">
        <f t="shared" si="102"/>
        <v>18309.12</v>
      </c>
      <c r="V78" s="21">
        <f t="shared" si="102"/>
        <v>36618.239999999998</v>
      </c>
      <c r="W78" s="21">
        <f t="shared" si="102"/>
        <v>73236.479999999996</v>
      </c>
      <c r="X78" s="21">
        <f t="shared" si="102"/>
        <v>146472.95999999999</v>
      </c>
      <c r="Y78" s="21">
        <f t="shared" si="102"/>
        <v>292945.91999999998</v>
      </c>
      <c r="Z78" s="21">
        <f t="shared" si="102"/>
        <v>585891.83999999997</v>
      </c>
      <c r="AA78" s="21">
        <f t="shared" si="102"/>
        <v>1171783.6799999999</v>
      </c>
      <c r="AB78" s="21">
        <f t="shared" si="102"/>
        <v>2343567.3599999999</v>
      </c>
      <c r="AC78" s="21">
        <f t="shared" si="102"/>
        <v>4687134.7199999997</v>
      </c>
      <c r="AD78" s="21">
        <f t="shared" si="102"/>
        <v>9374269.4399999995</v>
      </c>
      <c r="AE78" s="21">
        <f t="shared" si="102"/>
        <v>18748538.879999999</v>
      </c>
      <c r="AF78" s="20">
        <f t="shared" si="102"/>
        <v>37497077.759999998</v>
      </c>
      <c r="AG78" s="21">
        <f t="shared" si="102"/>
        <v>74994155.519999996</v>
      </c>
      <c r="AH78" s="21">
        <f t="shared" si="102"/>
        <v>149988311.03999999</v>
      </c>
      <c r="AI78" s="21">
        <f t="shared" si="102"/>
        <v>299976622.07999998</v>
      </c>
      <c r="AJ78" s="72">
        <f t="shared" si="102"/>
        <v>414862488</v>
      </c>
      <c r="AK78" s="45"/>
    </row>
    <row r="79" spans="1:37" x14ac:dyDescent="0.25">
      <c r="A79" s="48"/>
      <c r="B79" s="16"/>
      <c r="C79" s="16"/>
      <c r="D79" s="25"/>
      <c r="E79" s="46">
        <v>0.06</v>
      </c>
      <c r="F79" s="16"/>
      <c r="G79" s="16"/>
      <c r="H79" s="16"/>
      <c r="I79" s="16"/>
      <c r="J79" s="29">
        <f t="shared" ref="J79:Z79" si="103">J78*$E$79</f>
        <v>0.53639999999999999</v>
      </c>
      <c r="K79" s="30">
        <f t="shared" si="103"/>
        <v>1.0728</v>
      </c>
      <c r="L79" s="30">
        <f t="shared" si="103"/>
        <v>2.1456</v>
      </c>
      <c r="M79" s="30">
        <f t="shared" si="103"/>
        <v>4.2911999999999999</v>
      </c>
      <c r="N79" s="30">
        <f t="shared" si="103"/>
        <v>8.5823999999999998</v>
      </c>
      <c r="O79" s="30">
        <f t="shared" si="103"/>
        <v>17.1648</v>
      </c>
      <c r="P79" s="30">
        <f t="shared" si="103"/>
        <v>34.329599999999999</v>
      </c>
      <c r="Q79" s="30">
        <f t="shared" si="103"/>
        <v>68.659199999999998</v>
      </c>
      <c r="R79" s="30">
        <f t="shared" si="103"/>
        <v>137.3184</v>
      </c>
      <c r="S79" s="30">
        <f t="shared" si="103"/>
        <v>274.63679999999999</v>
      </c>
      <c r="T79" s="30">
        <f t="shared" si="103"/>
        <v>549.27359999999999</v>
      </c>
      <c r="U79" s="30">
        <f t="shared" si="103"/>
        <v>1098.5472</v>
      </c>
      <c r="V79" s="30">
        <f t="shared" si="103"/>
        <v>2197.0944</v>
      </c>
      <c r="W79" s="30">
        <f t="shared" si="103"/>
        <v>4394.1887999999999</v>
      </c>
      <c r="X79" s="30">
        <f t="shared" si="103"/>
        <v>8788.3775999999998</v>
      </c>
      <c r="Y79" s="30">
        <f t="shared" si="103"/>
        <v>17576.7552</v>
      </c>
      <c r="Z79" s="30">
        <f t="shared" si="103"/>
        <v>35153.510399999999</v>
      </c>
      <c r="AA79" s="30">
        <f>AA78*$E$79</f>
        <v>70307.020799999998</v>
      </c>
      <c r="AB79" s="30">
        <f>AB78*$E$79</f>
        <v>140614.0416</v>
      </c>
      <c r="AC79" s="30">
        <f>AC78*$E$79</f>
        <v>281228.08319999999</v>
      </c>
      <c r="AD79" s="30">
        <f t="shared" ref="AD79:AJ79" si="104">AD78*$E$79</f>
        <v>562456.16639999999</v>
      </c>
      <c r="AE79" s="30">
        <f t="shared" si="104"/>
        <v>1124912.3328</v>
      </c>
      <c r="AF79" s="29">
        <f t="shared" si="104"/>
        <v>2249824.6655999999</v>
      </c>
      <c r="AG79" s="30">
        <f t="shared" si="104"/>
        <v>4499649.3311999999</v>
      </c>
      <c r="AH79" s="30">
        <f t="shared" ref="AH79" si="105">AH78*$E$79</f>
        <v>8999298.6623999998</v>
      </c>
      <c r="AI79" s="30">
        <f t="shared" si="104"/>
        <v>17998597.3248</v>
      </c>
      <c r="AJ79" s="71">
        <f t="shared" si="104"/>
        <v>24891749.279999997</v>
      </c>
      <c r="AK79" s="45"/>
    </row>
    <row r="80" spans="1:37" x14ac:dyDescent="0.25">
      <c r="A80" s="48" t="s">
        <v>8</v>
      </c>
      <c r="B80" s="24">
        <v>9.5E-4</v>
      </c>
      <c r="C80" s="10">
        <f>$B$5 * B80</f>
        <v>1322548.2</v>
      </c>
      <c r="D80" s="47"/>
      <c r="E80" s="16"/>
      <c r="F80" s="16"/>
      <c r="G80" s="16"/>
      <c r="H80" s="16"/>
      <c r="I80" s="16"/>
      <c r="J80" s="20">
        <f t="shared" ref="J80:AJ80" si="106">J$18*$B$80</f>
        <v>2.8500000000000001E-2</v>
      </c>
      <c r="K80" s="21">
        <f t="shared" si="106"/>
        <v>5.7000000000000002E-2</v>
      </c>
      <c r="L80" s="21">
        <f t="shared" si="106"/>
        <v>0.114</v>
      </c>
      <c r="M80" s="21">
        <f t="shared" si="106"/>
        <v>0.22800000000000001</v>
      </c>
      <c r="N80" s="21">
        <f t="shared" si="106"/>
        <v>0.45600000000000002</v>
      </c>
      <c r="O80" s="21">
        <f t="shared" si="106"/>
        <v>0.91200000000000003</v>
      </c>
      <c r="P80" s="21">
        <f t="shared" si="106"/>
        <v>1.8240000000000001</v>
      </c>
      <c r="Q80" s="21">
        <f t="shared" si="106"/>
        <v>3.6480000000000001</v>
      </c>
      <c r="R80" s="21">
        <f t="shared" si="106"/>
        <v>7.2960000000000003</v>
      </c>
      <c r="S80" s="21">
        <f t="shared" si="106"/>
        <v>14.592000000000001</v>
      </c>
      <c r="T80" s="21">
        <f t="shared" si="106"/>
        <v>29.184000000000001</v>
      </c>
      <c r="U80" s="21">
        <f t="shared" si="106"/>
        <v>58.368000000000002</v>
      </c>
      <c r="V80" s="21">
        <f t="shared" si="106"/>
        <v>116.736</v>
      </c>
      <c r="W80" s="21">
        <f t="shared" si="106"/>
        <v>233.47200000000001</v>
      </c>
      <c r="X80" s="21">
        <f t="shared" si="106"/>
        <v>466.94400000000002</v>
      </c>
      <c r="Y80" s="21">
        <f t="shared" si="106"/>
        <v>933.88800000000003</v>
      </c>
      <c r="Z80" s="21">
        <f t="shared" si="106"/>
        <v>1867.7760000000001</v>
      </c>
      <c r="AA80" s="21">
        <f t="shared" si="106"/>
        <v>3735.5520000000001</v>
      </c>
      <c r="AB80" s="21">
        <f t="shared" si="106"/>
        <v>7471.1040000000003</v>
      </c>
      <c r="AC80" s="21">
        <f t="shared" si="106"/>
        <v>14942.208000000001</v>
      </c>
      <c r="AD80" s="21">
        <f t="shared" si="106"/>
        <v>29884.416000000001</v>
      </c>
      <c r="AE80" s="21">
        <f t="shared" si="106"/>
        <v>59768.832000000002</v>
      </c>
      <c r="AF80" s="20">
        <f t="shared" si="106"/>
        <v>119537.664</v>
      </c>
      <c r="AG80" s="21">
        <f t="shared" si="106"/>
        <v>239075.32800000001</v>
      </c>
      <c r="AH80" s="21">
        <f t="shared" si="106"/>
        <v>478150.65600000002</v>
      </c>
      <c r="AI80" s="21">
        <f t="shared" si="106"/>
        <v>956301.31200000003</v>
      </c>
      <c r="AJ80" s="72">
        <f t="shared" si="106"/>
        <v>1322548.2</v>
      </c>
      <c r="AK80" s="45"/>
    </row>
    <row r="81" spans="1:37" x14ac:dyDescent="0.25">
      <c r="A81" s="48"/>
      <c r="B81" s="16"/>
      <c r="C81" s="16"/>
      <c r="D81" s="25"/>
      <c r="E81" s="46">
        <v>5.6000000000000001E-2</v>
      </c>
      <c r="F81" s="16"/>
      <c r="G81" s="16"/>
      <c r="H81" s="16"/>
      <c r="I81" s="16"/>
      <c r="J81" s="29">
        <f t="shared" ref="J81:Z81" si="107">J80*$E$81</f>
        <v>1.5960000000000002E-3</v>
      </c>
      <c r="K81" s="30">
        <f t="shared" si="107"/>
        <v>3.1920000000000004E-3</v>
      </c>
      <c r="L81" s="30">
        <f t="shared" si="107"/>
        <v>6.3840000000000008E-3</v>
      </c>
      <c r="M81" s="30">
        <f t="shared" si="107"/>
        <v>1.2768000000000002E-2</v>
      </c>
      <c r="N81" s="30">
        <f t="shared" si="107"/>
        <v>2.5536000000000003E-2</v>
      </c>
      <c r="O81" s="30">
        <f t="shared" si="107"/>
        <v>5.1072000000000006E-2</v>
      </c>
      <c r="P81" s="30">
        <f t="shared" si="107"/>
        <v>0.10214400000000001</v>
      </c>
      <c r="Q81" s="30">
        <f t="shared" si="107"/>
        <v>0.20428800000000003</v>
      </c>
      <c r="R81" s="30">
        <f t="shared" si="107"/>
        <v>0.40857600000000005</v>
      </c>
      <c r="S81" s="30">
        <f t="shared" si="107"/>
        <v>0.8171520000000001</v>
      </c>
      <c r="T81" s="30">
        <f t="shared" si="107"/>
        <v>1.6343040000000002</v>
      </c>
      <c r="U81" s="30">
        <f t="shared" si="107"/>
        <v>3.2686080000000004</v>
      </c>
      <c r="V81" s="30">
        <f t="shared" si="107"/>
        <v>6.5372160000000008</v>
      </c>
      <c r="W81" s="30">
        <f t="shared" si="107"/>
        <v>13.074432000000002</v>
      </c>
      <c r="X81" s="30">
        <f t="shared" si="107"/>
        <v>26.148864000000003</v>
      </c>
      <c r="Y81" s="30">
        <f t="shared" si="107"/>
        <v>52.297728000000006</v>
      </c>
      <c r="Z81" s="30">
        <f t="shared" si="107"/>
        <v>104.59545600000001</v>
      </c>
      <c r="AA81" s="30">
        <f>AA80*$E$81</f>
        <v>209.19091200000003</v>
      </c>
      <c r="AB81" s="30">
        <f>AB80*$E$81</f>
        <v>418.38182400000005</v>
      </c>
      <c r="AC81" s="30">
        <f>AC80*$E$81</f>
        <v>836.7636480000001</v>
      </c>
      <c r="AD81" s="30">
        <f t="shared" ref="AD81:AJ81" si="108">AD80*$E$81</f>
        <v>1673.5272960000002</v>
      </c>
      <c r="AE81" s="30">
        <f t="shared" si="108"/>
        <v>3347.0545920000004</v>
      </c>
      <c r="AF81" s="29">
        <f t="shared" si="108"/>
        <v>6694.1091840000008</v>
      </c>
      <c r="AG81" s="30">
        <f t="shared" si="108"/>
        <v>13388.218368000002</v>
      </c>
      <c r="AH81" s="30">
        <f t="shared" ref="AH81" si="109">AH80*$E$81</f>
        <v>26776.436736000003</v>
      </c>
      <c r="AI81" s="30">
        <f t="shared" si="108"/>
        <v>53552.873472000007</v>
      </c>
      <c r="AJ81" s="71">
        <f t="shared" si="108"/>
        <v>74062.699200000003</v>
      </c>
      <c r="AK81" s="45"/>
    </row>
    <row r="82" spans="1:37" x14ac:dyDescent="0.25">
      <c r="A82" s="48" t="s">
        <v>9</v>
      </c>
      <c r="B82" s="24">
        <v>0.14000000000000001</v>
      </c>
      <c r="C82" s="10">
        <f>$B$5 * B82</f>
        <v>194901840.00000003</v>
      </c>
      <c r="D82" s="47"/>
      <c r="E82" s="16"/>
      <c r="F82" s="16"/>
      <c r="G82" s="16"/>
      <c r="H82" s="16"/>
      <c r="I82" s="16"/>
      <c r="J82" s="20">
        <f t="shared" ref="J82:AJ82" si="110">J$18*$B$82</f>
        <v>4.2</v>
      </c>
      <c r="K82" s="21">
        <f t="shared" si="110"/>
        <v>8.4</v>
      </c>
      <c r="L82" s="21">
        <f t="shared" si="110"/>
        <v>16.8</v>
      </c>
      <c r="M82" s="21">
        <f t="shared" si="110"/>
        <v>33.6</v>
      </c>
      <c r="N82" s="21">
        <f t="shared" si="110"/>
        <v>67.2</v>
      </c>
      <c r="O82" s="21">
        <f t="shared" si="110"/>
        <v>134.4</v>
      </c>
      <c r="P82" s="21">
        <f t="shared" si="110"/>
        <v>268.8</v>
      </c>
      <c r="Q82" s="21">
        <f t="shared" si="110"/>
        <v>537.6</v>
      </c>
      <c r="R82" s="21">
        <f t="shared" si="110"/>
        <v>1075.2</v>
      </c>
      <c r="S82" s="21">
        <f t="shared" si="110"/>
        <v>2150.4</v>
      </c>
      <c r="T82" s="21">
        <f t="shared" si="110"/>
        <v>4300.8</v>
      </c>
      <c r="U82" s="21">
        <f t="shared" si="110"/>
        <v>8601.6</v>
      </c>
      <c r="V82" s="21">
        <f t="shared" si="110"/>
        <v>17203.2</v>
      </c>
      <c r="W82" s="21">
        <f t="shared" si="110"/>
        <v>34406.400000000001</v>
      </c>
      <c r="X82" s="21">
        <f t="shared" si="110"/>
        <v>68812.800000000003</v>
      </c>
      <c r="Y82" s="21">
        <f t="shared" si="110"/>
        <v>137625.60000000001</v>
      </c>
      <c r="Z82" s="21">
        <f t="shared" si="110"/>
        <v>275251.20000000001</v>
      </c>
      <c r="AA82" s="21">
        <f t="shared" si="110"/>
        <v>550502.40000000002</v>
      </c>
      <c r="AB82" s="21">
        <f t="shared" si="110"/>
        <v>1101004.8</v>
      </c>
      <c r="AC82" s="21">
        <f t="shared" si="110"/>
        <v>2202009.6000000001</v>
      </c>
      <c r="AD82" s="21">
        <f t="shared" si="110"/>
        <v>4404019.2000000002</v>
      </c>
      <c r="AE82" s="21">
        <f t="shared" si="110"/>
        <v>8808038.4000000004</v>
      </c>
      <c r="AF82" s="20">
        <f t="shared" si="110"/>
        <v>17616076.800000001</v>
      </c>
      <c r="AG82" s="21">
        <f t="shared" si="110"/>
        <v>35232153.600000001</v>
      </c>
      <c r="AH82" s="21">
        <f t="shared" si="110"/>
        <v>70464307.200000003</v>
      </c>
      <c r="AI82" s="21">
        <f t="shared" si="110"/>
        <v>140928614.40000001</v>
      </c>
      <c r="AJ82" s="72">
        <f t="shared" si="110"/>
        <v>194901840.00000003</v>
      </c>
      <c r="AK82" s="45"/>
    </row>
    <row r="83" spans="1:37" x14ac:dyDescent="0.25">
      <c r="A83" s="37"/>
      <c r="B83" s="39"/>
      <c r="C83" s="39"/>
      <c r="D83" s="55"/>
      <c r="E83" s="56" t="s">
        <v>10</v>
      </c>
      <c r="F83" s="39"/>
      <c r="G83" s="39"/>
      <c r="H83" s="39"/>
      <c r="I83" s="39"/>
      <c r="J83" s="29" t="s">
        <v>10</v>
      </c>
      <c r="K83" s="30" t="s">
        <v>10</v>
      </c>
      <c r="L83" s="30" t="s">
        <v>10</v>
      </c>
      <c r="M83" s="30" t="s">
        <v>10</v>
      </c>
      <c r="N83" s="30" t="s">
        <v>10</v>
      </c>
      <c r="O83" s="30" t="s">
        <v>10</v>
      </c>
      <c r="P83" s="30" t="s">
        <v>10</v>
      </c>
      <c r="Q83" s="30" t="s">
        <v>10</v>
      </c>
      <c r="R83" s="30" t="s">
        <v>10</v>
      </c>
      <c r="S83" s="30" t="s">
        <v>10</v>
      </c>
      <c r="T83" s="30" t="s">
        <v>10</v>
      </c>
      <c r="U83" s="30" t="s">
        <v>10</v>
      </c>
      <c r="V83" s="30" t="s">
        <v>10</v>
      </c>
      <c r="W83" s="30" t="s">
        <v>10</v>
      </c>
      <c r="X83" s="30" t="s">
        <v>10</v>
      </c>
      <c r="Y83" s="30" t="s">
        <v>10</v>
      </c>
      <c r="Z83" s="30" t="s">
        <v>10</v>
      </c>
      <c r="AA83" s="30" t="s">
        <v>10</v>
      </c>
      <c r="AB83" s="30" t="s">
        <v>10</v>
      </c>
      <c r="AC83" s="30" t="s">
        <v>10</v>
      </c>
      <c r="AD83" s="30" t="s">
        <v>10</v>
      </c>
      <c r="AE83" s="30" t="s">
        <v>10</v>
      </c>
      <c r="AF83" s="29" t="s">
        <v>10</v>
      </c>
      <c r="AG83" s="30" t="s">
        <v>10</v>
      </c>
      <c r="AH83" s="30" t="s">
        <v>10</v>
      </c>
      <c r="AI83" s="30" t="s">
        <v>10</v>
      </c>
      <c r="AJ83" s="71" t="s">
        <v>10</v>
      </c>
      <c r="AK83" s="45"/>
    </row>
    <row r="84" spans="1:37" x14ac:dyDescent="0.25">
      <c r="A84" s="41" t="s">
        <v>200</v>
      </c>
      <c r="B84" s="16"/>
      <c r="C84" s="16"/>
      <c r="D84" s="47"/>
      <c r="E84" s="16"/>
      <c r="F84" s="16"/>
      <c r="G84" s="16"/>
      <c r="H84" s="16"/>
      <c r="I84" s="16"/>
      <c r="J84" s="18">
        <f>SUM(J72,J74,J76,J78,J80,J82)</f>
        <v>23.008500000000002</v>
      </c>
      <c r="K84" s="19">
        <f t="shared" ref="K84:Z84" si="111">SUM(K72,K74,K76,K78,K80,K82)</f>
        <v>46.017000000000003</v>
      </c>
      <c r="L84" s="19">
        <f t="shared" si="111"/>
        <v>92.034000000000006</v>
      </c>
      <c r="M84" s="19">
        <f t="shared" si="111"/>
        <v>184.06800000000001</v>
      </c>
      <c r="N84" s="19">
        <f t="shared" si="111"/>
        <v>368.13600000000002</v>
      </c>
      <c r="O84" s="19">
        <f t="shared" si="111"/>
        <v>736.27200000000005</v>
      </c>
      <c r="P84" s="19">
        <f>SUM(P72,P74,P76,P78,P80,P82)</f>
        <v>1472.5440000000001</v>
      </c>
      <c r="Q84" s="19">
        <f t="shared" si="111"/>
        <v>2945.0880000000002</v>
      </c>
      <c r="R84" s="19">
        <f t="shared" si="111"/>
        <v>5890.1760000000004</v>
      </c>
      <c r="S84" s="19">
        <f t="shared" si="111"/>
        <v>11780.352000000001</v>
      </c>
      <c r="T84" s="19">
        <f t="shared" si="111"/>
        <v>23560.704000000002</v>
      </c>
      <c r="U84" s="19">
        <f t="shared" si="111"/>
        <v>47121.408000000003</v>
      </c>
      <c r="V84" s="19">
        <f t="shared" si="111"/>
        <v>94242.816000000006</v>
      </c>
      <c r="W84" s="19">
        <f t="shared" si="111"/>
        <v>188485.63200000001</v>
      </c>
      <c r="X84" s="19">
        <f t="shared" si="111"/>
        <v>376971.26400000002</v>
      </c>
      <c r="Y84" s="19">
        <f t="shared" si="111"/>
        <v>753942.52800000005</v>
      </c>
      <c r="Z84" s="19">
        <f t="shared" si="111"/>
        <v>1507885.0560000001</v>
      </c>
      <c r="AA84" s="19">
        <f t="shared" ref="AA84:AC85" si="112">SUM(AA72,AA74,AA76,AA78,AA80,AA82)</f>
        <v>3015770.1120000002</v>
      </c>
      <c r="AB84" s="19">
        <f t="shared" si="112"/>
        <v>6031540.2240000004</v>
      </c>
      <c r="AC84" s="19">
        <f t="shared" si="112"/>
        <v>12063080.448000001</v>
      </c>
      <c r="AD84" s="19">
        <f t="shared" ref="AD84:AJ84" si="113">SUM(AD72,AD74,AD76,AD78,AD80,AD82)</f>
        <v>24126160.896000002</v>
      </c>
      <c r="AE84" s="19">
        <f t="shared" si="113"/>
        <v>48252321.792000003</v>
      </c>
      <c r="AF84" s="18">
        <f t="shared" si="113"/>
        <v>96504643.584000006</v>
      </c>
      <c r="AG84" s="19">
        <f t="shared" si="113"/>
        <v>193009287.16800001</v>
      </c>
      <c r="AH84" s="19">
        <f t="shared" ref="AH84" si="114">SUM(AH72,AH74,AH76,AH78,AH80,AH82)</f>
        <v>386018574.33600003</v>
      </c>
      <c r="AI84" s="19">
        <f t="shared" si="113"/>
        <v>772037148.67200005</v>
      </c>
      <c r="AJ84" s="60">
        <f t="shared" si="113"/>
        <v>1067714044.2</v>
      </c>
      <c r="AK84" s="45"/>
    </row>
    <row r="85" spans="1:37" x14ac:dyDescent="0.25">
      <c r="A85" s="37" t="s">
        <v>40</v>
      </c>
      <c r="B85" s="39"/>
      <c r="C85" s="39"/>
      <c r="D85" s="39"/>
      <c r="E85" s="39"/>
      <c r="F85" s="39"/>
      <c r="G85" s="39"/>
      <c r="H85" s="39"/>
      <c r="I85" s="39"/>
      <c r="J85" s="31">
        <f>SUM(J73,J75,J77,J79,J81,J83)</f>
        <v>1.2337559999999999</v>
      </c>
      <c r="K85" s="32">
        <f t="shared" ref="K85:Z85" si="115">SUM(K73,K75,K77,K79,K81,K83)</f>
        <v>2.4675119999999997</v>
      </c>
      <c r="L85" s="32">
        <f t="shared" si="115"/>
        <v>4.9350239999999994</v>
      </c>
      <c r="M85" s="32">
        <f t="shared" si="115"/>
        <v>9.8700479999999988</v>
      </c>
      <c r="N85" s="32">
        <f t="shared" si="115"/>
        <v>19.740095999999998</v>
      </c>
      <c r="O85" s="32">
        <f t="shared" si="115"/>
        <v>39.480191999999995</v>
      </c>
      <c r="P85" s="32">
        <f t="shared" si="115"/>
        <v>78.960383999999991</v>
      </c>
      <c r="Q85" s="32">
        <f t="shared" si="115"/>
        <v>157.92076799999998</v>
      </c>
      <c r="R85" s="32">
        <f t="shared" si="115"/>
        <v>315.84153599999996</v>
      </c>
      <c r="S85" s="32">
        <f t="shared" si="115"/>
        <v>631.68307199999992</v>
      </c>
      <c r="T85" s="32">
        <f t="shared" si="115"/>
        <v>1263.3661439999998</v>
      </c>
      <c r="U85" s="32">
        <f t="shared" si="115"/>
        <v>2526.7322879999997</v>
      </c>
      <c r="V85" s="32">
        <f t="shared" si="115"/>
        <v>5053.4645759999994</v>
      </c>
      <c r="W85" s="32">
        <f t="shared" si="115"/>
        <v>10106.929151999999</v>
      </c>
      <c r="X85" s="32">
        <f t="shared" si="115"/>
        <v>20213.858303999998</v>
      </c>
      <c r="Y85" s="32">
        <f t="shared" si="115"/>
        <v>40427.716607999995</v>
      </c>
      <c r="Z85" s="32">
        <f t="shared" si="115"/>
        <v>80855.43321599999</v>
      </c>
      <c r="AA85" s="32">
        <f t="shared" si="112"/>
        <v>161710.86643199998</v>
      </c>
      <c r="AB85" s="32">
        <f t="shared" si="112"/>
        <v>323421.73286399996</v>
      </c>
      <c r="AC85" s="32">
        <f t="shared" si="112"/>
        <v>646843.46572799992</v>
      </c>
      <c r="AD85" s="32">
        <f t="shared" ref="AD85:AJ85" si="116">SUM(AD73,AD75,AD77,AD79,AD81,AD83)</f>
        <v>1293686.9314559998</v>
      </c>
      <c r="AE85" s="32">
        <f t="shared" si="116"/>
        <v>2587373.8629119997</v>
      </c>
      <c r="AF85" s="31">
        <f t="shared" si="116"/>
        <v>5174747.7258239994</v>
      </c>
      <c r="AG85" s="32">
        <f t="shared" si="116"/>
        <v>10349495.451647999</v>
      </c>
      <c r="AH85" s="32">
        <f t="shared" ref="AH85" si="117">SUM(AH73,AH75,AH77,AH79,AH81,AH83)</f>
        <v>20698990.903295998</v>
      </c>
      <c r="AI85" s="32">
        <f t="shared" si="116"/>
        <v>41397981.806591995</v>
      </c>
      <c r="AJ85" s="73">
        <f t="shared" si="116"/>
        <v>57252693.93119999</v>
      </c>
      <c r="AK85" s="45"/>
    </row>
    <row r="89" spans="1:37" x14ac:dyDescent="0.25">
      <c r="E89" s="2"/>
    </row>
    <row r="90" spans="1:37" x14ac:dyDescent="0.25">
      <c r="E90" s="2"/>
    </row>
    <row r="92" spans="1:37" x14ac:dyDescent="0.25">
      <c r="E92" s="288"/>
    </row>
  </sheetData>
  <conditionalFormatting sqref="J29:AD29 AF29:AK29">
    <cfRule type="cellIs" dxfId="24" priority="34" operator="greaterThan">
      <formula>$C$8</formula>
    </cfRule>
  </conditionalFormatting>
  <conditionalFormatting sqref="J31:AJ31">
    <cfRule type="cellIs" dxfId="23" priority="33" operator="greaterThan">
      <formula>$C$9</formula>
    </cfRule>
  </conditionalFormatting>
  <conditionalFormatting sqref="J49:AJ49">
    <cfRule type="cellIs" dxfId="22" priority="32" operator="greaterThan">
      <formula>$C$49</formula>
    </cfRule>
  </conditionalFormatting>
  <conditionalFormatting sqref="J51:AJ51">
    <cfRule type="cellIs" dxfId="21" priority="31" operator="greaterThan">
      <formula>$C$51</formula>
    </cfRule>
  </conditionalFormatting>
  <conditionalFormatting sqref="J53:AJ53">
    <cfRule type="cellIs" dxfId="20" priority="30" operator="greaterThan">
      <formula>$C$53</formula>
    </cfRule>
  </conditionalFormatting>
  <conditionalFormatting sqref="J55:AJ55">
    <cfRule type="cellIs" dxfId="19" priority="22" operator="greaterThan">
      <formula>$C$55</formula>
    </cfRule>
  </conditionalFormatting>
  <conditionalFormatting sqref="J57:AJ57">
    <cfRule type="cellIs" dxfId="18" priority="21" operator="greaterThan">
      <formula>$C$57</formula>
    </cfRule>
  </conditionalFormatting>
  <conditionalFormatting sqref="J59:AJ59">
    <cfRule type="cellIs" dxfId="17" priority="20" operator="greaterThan">
      <formula>$C$59</formula>
    </cfRule>
  </conditionalFormatting>
  <conditionalFormatting sqref="J61:AJ61">
    <cfRule type="cellIs" dxfId="16" priority="19" operator="greaterThan">
      <formula>$C$61</formula>
    </cfRule>
  </conditionalFormatting>
  <conditionalFormatting sqref="J63:AJ63">
    <cfRule type="cellIs" dxfId="15" priority="18" operator="greaterThan">
      <formula>$C$63</formula>
    </cfRule>
  </conditionalFormatting>
  <conditionalFormatting sqref="J65:AJ65">
    <cfRule type="cellIs" dxfId="14" priority="17" operator="greaterThan">
      <formula>$C$65</formula>
    </cfRule>
  </conditionalFormatting>
  <conditionalFormatting sqref="J20:AJ20">
    <cfRule type="cellIs" dxfId="13" priority="16" operator="equal">
      <formula>0</formula>
    </cfRule>
  </conditionalFormatting>
  <conditionalFormatting sqref="J27:AD27 J29:AD29 AF27:AJ27 AF29:AJ29 K31:AJ31">
    <cfRule type="cellIs" dxfId="12" priority="15" operator="equal">
      <formula>0</formula>
    </cfRule>
  </conditionalFormatting>
  <conditionalFormatting sqref="D49">
    <cfRule type="cellIs" dxfId="11" priority="12" operator="greaterThan">
      <formula>$B$49</formula>
    </cfRule>
  </conditionalFormatting>
  <conditionalFormatting sqref="D51">
    <cfRule type="cellIs" dxfId="10" priority="11" operator="greaterThan">
      <formula>$B$51</formula>
    </cfRule>
  </conditionalFormatting>
  <conditionalFormatting sqref="D53">
    <cfRule type="cellIs" dxfId="9" priority="10" operator="greaterThan">
      <formula>$B$53</formula>
    </cfRule>
  </conditionalFormatting>
  <conditionalFormatting sqref="D55">
    <cfRule type="cellIs" dxfId="8" priority="9" operator="greaterThan">
      <formula>$B$55</formula>
    </cfRule>
  </conditionalFormatting>
  <conditionalFormatting sqref="D57">
    <cfRule type="cellIs" dxfId="7" priority="8" operator="greaterThan">
      <formula>$B$57</formula>
    </cfRule>
  </conditionalFormatting>
  <conditionalFormatting sqref="D59">
    <cfRule type="cellIs" dxfId="6" priority="7" operator="greaterThan">
      <formula>$B$59</formula>
    </cfRule>
  </conditionalFormatting>
  <conditionalFormatting sqref="D61">
    <cfRule type="cellIs" dxfId="5" priority="6" operator="greaterThan">
      <formula>$B$61</formula>
    </cfRule>
  </conditionalFormatting>
  <conditionalFormatting sqref="D63">
    <cfRule type="cellIs" dxfId="4" priority="5" operator="greaterThan">
      <formula>$B$63</formula>
    </cfRule>
  </conditionalFormatting>
  <conditionalFormatting sqref="D65">
    <cfRule type="cellIs" dxfId="3" priority="4" operator="greaterThan">
      <formula>$B$65</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8" r:id="rId1" location="case-fatality-rate-of-covid-19-by-age" xr:uid="{0058192C-B05A-45D2-8597-C1F9B3D9241E}"/>
    <hyperlink ref="E71" r:id="rId2" location="case-fatality-rate-of-covid-19-by-preexisting-health-conditions" xr:uid="{110A2613-24A6-4768-B90C-571B307D13E2}"/>
    <hyperlink ref="A42" r:id="rId3" xr:uid="{168ADFE7-28CA-4E37-B04A-0F894FC4F702}"/>
    <hyperlink ref="A5" r:id="rId4" xr:uid="{C82EF781-DCE9-40F2-B400-788BB6410A85}"/>
    <hyperlink ref="F48" r:id="rId5" xr:uid="{503A7334-7FEF-4AE6-896F-53AD99C1BBA1}"/>
    <hyperlink ref="B6" r:id="rId6" display="https://cmmid.github.io/topics/covid19/severity/global_cfr_estimates.html" xr:uid="{BFBD0714-5129-4D5C-8C1E-3168F1985A4F}"/>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O13" sqref="O1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1" t="s">
        <v>118</v>
      </c>
      <c r="C3" s="155">
        <f>Projections!B5</f>
        <v>1392156000</v>
      </c>
      <c r="J3" s="2"/>
    </row>
    <row r="4" spans="2:10" x14ac:dyDescent="0.25">
      <c r="B4" s="172" t="s">
        <v>135</v>
      </c>
      <c r="C4" s="155">
        <f>Projections!J18</f>
        <v>30</v>
      </c>
      <c r="J4" s="2"/>
    </row>
    <row r="5" spans="2:10" x14ac:dyDescent="0.25">
      <c r="B5" s="172" t="s">
        <v>136</v>
      </c>
      <c r="C5" s="153">
        <f>Projections!J17</f>
        <v>43895</v>
      </c>
      <c r="J5" s="2"/>
    </row>
    <row r="6" spans="2:10" x14ac:dyDescent="0.25">
      <c r="B6" s="172" t="s">
        <v>119</v>
      </c>
      <c r="C6" s="155">
        <v>7600</v>
      </c>
    </row>
    <row r="7" spans="2:10" x14ac:dyDescent="0.25">
      <c r="B7" s="172" t="s">
        <v>121</v>
      </c>
      <c r="C7" s="153">
        <f ca="1">NOW()</f>
        <v>43932.894120254627</v>
      </c>
    </row>
    <row r="8" spans="2:10" x14ac:dyDescent="0.25">
      <c r="B8" s="172" t="s">
        <v>137</v>
      </c>
      <c r="C8" s="154">
        <f ca="1">C7-C5</f>
        <v>37.894120254626614</v>
      </c>
    </row>
    <row r="9" spans="2:10" x14ac:dyDescent="0.25">
      <c r="B9" s="172" t="s">
        <v>120</v>
      </c>
      <c r="C9" s="156">
        <f ca="1">C8/(LOG(C6/C4)/LOG(2))</f>
        <v>4.7457266796111055</v>
      </c>
      <c r="D9" t="s">
        <v>97</v>
      </c>
      <c r="F9" t="s">
        <v>138</v>
      </c>
    </row>
    <row r="10" spans="2:10" x14ac:dyDescent="0.25">
      <c r="B10" s="172" t="s">
        <v>125</v>
      </c>
      <c r="C10" s="155">
        <f>Projections!C8</f>
        <v>689882.90580000007</v>
      </c>
    </row>
    <row r="11" spans="2:10" x14ac:dyDescent="0.25">
      <c r="B11" s="173" t="s">
        <v>126</v>
      </c>
      <c r="C11" s="160">
        <f>Projections!C9</f>
        <v>47959.774200000007</v>
      </c>
    </row>
    <row r="12" spans="2:10" s="69" customFormat="1" x14ac:dyDescent="0.25">
      <c r="B12" s="62" t="s">
        <v>166</v>
      </c>
      <c r="C12" s="161">
        <f>C6/Projections!B6</f>
        <v>77551.020408163269</v>
      </c>
    </row>
    <row r="13" spans="2:10" s="69" customFormat="1" x14ac:dyDescent="0.25">
      <c r="B13" s="48" t="s">
        <v>167</v>
      </c>
      <c r="C13" s="162">
        <f ca="1">(C4/Projections!B6)*(2^(((C7-21)-C5)/C9))</f>
        <v>3610.1036573544807</v>
      </c>
    </row>
    <row r="14" spans="2:10" s="69" customFormat="1" x14ac:dyDescent="0.25">
      <c r="B14" s="49" t="s">
        <v>168</v>
      </c>
      <c r="C14" s="144">
        <f ca="1">C12-C13</f>
        <v>73940.916750808785</v>
      </c>
      <c r="E14" s="158"/>
      <c r="F14" s="159" t="s">
        <v>142</v>
      </c>
      <c r="G14" s="157"/>
    </row>
    <row r="15" spans="2:10" x14ac:dyDescent="0.25">
      <c r="B15" s="4" t="s">
        <v>139</v>
      </c>
      <c r="C15" s="64">
        <f>C6*Projections!B10</f>
        <v>6156</v>
      </c>
      <c r="I15" s="152"/>
    </row>
    <row r="16" spans="2:10" x14ac:dyDescent="0.25">
      <c r="B16" s="41" t="s">
        <v>149</v>
      </c>
      <c r="C16" s="80">
        <f ca="1">(C4*Projections!B10)*(2^(((C7-21)-C5)/C9))</f>
        <v>286.57002832079871</v>
      </c>
      <c r="I16" s="152"/>
    </row>
    <row r="17" spans="2:9" x14ac:dyDescent="0.25">
      <c r="B17" s="41" t="s">
        <v>140</v>
      </c>
      <c r="C17" s="80">
        <f ca="1">C15-C16</f>
        <v>5869.4299716792011</v>
      </c>
      <c r="F17" t="s">
        <v>143</v>
      </c>
      <c r="I17" s="152"/>
    </row>
    <row r="18" spans="2:9" x14ac:dyDescent="0.25">
      <c r="B18" s="4" t="s">
        <v>145</v>
      </c>
      <c r="C18" s="64">
        <f>C6*Projections!B11</f>
        <v>1064</v>
      </c>
    </row>
    <row r="19" spans="2:9" x14ac:dyDescent="0.25">
      <c r="B19" s="41" t="s">
        <v>150</v>
      </c>
      <c r="C19" s="80">
        <f ca="1">(C4*Projections!B11)*(2^(((C7-49)-C5)/C9))</f>
        <v>0.82943684585053745</v>
      </c>
    </row>
    <row r="20" spans="2:9" x14ac:dyDescent="0.25">
      <c r="B20" s="41" t="s">
        <v>144</v>
      </c>
      <c r="C20" s="80">
        <f ca="1">C18-C19</f>
        <v>1063.1705631541495</v>
      </c>
      <c r="F20" t="s">
        <v>148</v>
      </c>
    </row>
    <row r="21" spans="2:9" x14ac:dyDescent="0.25">
      <c r="B21" s="4" t="s">
        <v>146</v>
      </c>
      <c r="C21" s="64">
        <f>C6*Projections!B12</f>
        <v>380</v>
      </c>
      <c r="I21" s="152"/>
    </row>
    <row r="22" spans="2:9" x14ac:dyDescent="0.25">
      <c r="B22" s="41" t="s">
        <v>151</v>
      </c>
      <c r="C22" s="80">
        <f ca="1">(C4*Projections!B12)*(2^(((C7-49)-C5)/C9))</f>
        <v>0.29622744494662051</v>
      </c>
      <c r="I22" s="152"/>
    </row>
    <row r="23" spans="2:9" x14ac:dyDescent="0.25">
      <c r="B23" s="41" t="s">
        <v>147</v>
      </c>
      <c r="C23" s="80">
        <f ca="1">C21-C22</f>
        <v>379.70377255505338</v>
      </c>
      <c r="I23" s="152"/>
    </row>
    <row r="24" spans="2:9" x14ac:dyDescent="0.25">
      <c r="B24" s="4" t="s">
        <v>152</v>
      </c>
      <c r="C24" s="64">
        <f>C6*Projections!B13</f>
        <v>266</v>
      </c>
    </row>
    <row r="25" spans="2:9" x14ac:dyDescent="0.25">
      <c r="B25" s="37" t="s">
        <v>153</v>
      </c>
      <c r="C25" s="61">
        <f ca="1">(C4*Projections!B13)*(2^(((C7-42)-C5)/C9))</f>
        <v>0.57642916668921196</v>
      </c>
      <c r="F25" t="s">
        <v>154</v>
      </c>
    </row>
    <row r="26" spans="2:9" x14ac:dyDescent="0.25">
      <c r="B26" s="41" t="s">
        <v>130</v>
      </c>
      <c r="C26" s="165">
        <f ca="1">C9*(LOG(C10/C21)/LOG(2))</f>
        <v>51.37788425265132</v>
      </c>
      <c r="D26" t="s">
        <v>97</v>
      </c>
      <c r="F26" s="69" t="s">
        <v>155</v>
      </c>
    </row>
    <row r="27" spans="2:9" x14ac:dyDescent="0.25">
      <c r="B27" s="37" t="s">
        <v>127</v>
      </c>
      <c r="C27" s="164">
        <f ca="1">C7+C26</f>
        <v>43984.272004507278</v>
      </c>
      <c r="F27" t="s">
        <v>156</v>
      </c>
    </row>
    <row r="28" spans="2:9" x14ac:dyDescent="0.25">
      <c r="B28" s="4" t="s">
        <v>131</v>
      </c>
      <c r="C28" s="163">
        <f ca="1">C9*(LOG(C11/C21)/LOG(2))</f>
        <v>33.123661362828102</v>
      </c>
      <c r="D28" t="s">
        <v>97</v>
      </c>
    </row>
    <row r="29" spans="2:9" x14ac:dyDescent="0.25">
      <c r="B29" s="37" t="s">
        <v>128</v>
      </c>
      <c r="C29" s="164">
        <f ca="1">C7+C28</f>
        <v>43966.017781617455</v>
      </c>
      <c r="F29" t="s">
        <v>156</v>
      </c>
    </row>
    <row r="30" spans="2:9" x14ac:dyDescent="0.25">
      <c r="B30" s="4" t="s">
        <v>132</v>
      </c>
      <c r="C30" s="163">
        <f ca="1">C9*(LOG((C3*0.6)/C12)/LOG(2))</f>
        <v>63.568297012126258</v>
      </c>
      <c r="D30" t="s">
        <v>97</v>
      </c>
    </row>
    <row r="31" spans="2:9" x14ac:dyDescent="0.25">
      <c r="B31" s="37" t="s">
        <v>129</v>
      </c>
      <c r="C31" s="164">
        <f ca="1">C7+C30</f>
        <v>43996.462417266754</v>
      </c>
    </row>
    <row r="34" spans="2:6" x14ac:dyDescent="0.25">
      <c r="B34" s="4" t="s">
        <v>133</v>
      </c>
      <c r="C34" s="153">
        <f ca="1">C7+30</f>
        <v>43962.894120254627</v>
      </c>
      <c r="F34" t="s">
        <v>169</v>
      </c>
    </row>
    <row r="35" spans="2:6" x14ac:dyDescent="0.25">
      <c r="B35" s="41" t="s">
        <v>134</v>
      </c>
      <c r="C35" s="80">
        <f ca="1">C6*(2^((C34-C7)/C9))</f>
        <v>607809.7409321405</v>
      </c>
      <c r="F35" t="s">
        <v>141</v>
      </c>
    </row>
    <row r="36" spans="2:6" x14ac:dyDescent="0.25">
      <c r="B36" s="41" t="s">
        <v>175</v>
      </c>
      <c r="C36" s="80">
        <f ca="1">C35/Projections!B6</f>
        <v>6202140.2135932697</v>
      </c>
    </row>
    <row r="37" spans="2:6" x14ac:dyDescent="0.25">
      <c r="B37" s="41" t="s">
        <v>73</v>
      </c>
      <c r="C37" s="80">
        <f ca="1">C35*Projections!B10</f>
        <v>492325.89015503385</v>
      </c>
    </row>
    <row r="38" spans="2:6" x14ac:dyDescent="0.25">
      <c r="B38" s="41" t="s">
        <v>122</v>
      </c>
      <c r="C38" s="80">
        <f ca="1">C35*Projections!B11</f>
        <v>85093.363730499681</v>
      </c>
    </row>
    <row r="39" spans="2:6" x14ac:dyDescent="0.25">
      <c r="B39" s="41" t="s">
        <v>123</v>
      </c>
      <c r="C39" s="80">
        <f ca="1">C35*Projections!B12</f>
        <v>30390.487046607028</v>
      </c>
    </row>
    <row r="40" spans="2:6" x14ac:dyDescent="0.25">
      <c r="B40" s="37" t="s">
        <v>124</v>
      </c>
      <c r="C40" s="61">
        <f ca="1">C35*Projections!B13</f>
        <v>21273.34093262492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185</v>
      </c>
    </row>
    <row r="2" spans="1:4" x14ac:dyDescent="0.25">
      <c r="A2" s="255" t="s">
        <v>184</v>
      </c>
      <c r="B2" t="s">
        <v>46</v>
      </c>
      <c r="D2" t="s">
        <v>186</v>
      </c>
    </row>
    <row r="3" spans="1:4" x14ac:dyDescent="0.25">
      <c r="A3" s="258" t="s">
        <v>21</v>
      </c>
      <c r="B3" s="259">
        <v>112806778</v>
      </c>
      <c r="C3" s="260"/>
      <c r="D3" s="5"/>
    </row>
    <row r="4" spans="1:4" x14ac:dyDescent="0.25">
      <c r="A4" s="261" t="s">
        <v>22</v>
      </c>
      <c r="B4" s="262">
        <v>126928126</v>
      </c>
      <c r="C4" s="262">
        <f>SUM(B3:B4)</f>
        <v>239734904</v>
      </c>
      <c r="D4" s="263">
        <f>C4/$B$25</f>
        <v>0.19798812289970874</v>
      </c>
    </row>
    <row r="5" spans="1:4" x14ac:dyDescent="0.25">
      <c r="A5" s="258" t="s">
        <v>23</v>
      </c>
      <c r="B5" s="259">
        <v>132709212</v>
      </c>
      <c r="C5" s="260"/>
      <c r="D5" s="5"/>
    </row>
    <row r="6" spans="1:4" x14ac:dyDescent="0.25">
      <c r="A6" s="261" t="s">
        <v>24</v>
      </c>
      <c r="B6" s="262">
        <v>120526449</v>
      </c>
      <c r="C6" s="262">
        <f>SUM(B5:B6)</f>
        <v>253235661</v>
      </c>
      <c r="D6" s="263">
        <f>C6/$B$25</f>
        <v>0.20913789496692137</v>
      </c>
    </row>
    <row r="7" spans="1:4" x14ac:dyDescent="0.25">
      <c r="A7" s="258" t="s">
        <v>25</v>
      </c>
      <c r="B7" s="259">
        <v>111424222</v>
      </c>
      <c r="C7" s="260"/>
      <c r="D7" s="5"/>
    </row>
    <row r="8" spans="1:4" x14ac:dyDescent="0.25">
      <c r="A8" s="261" t="s">
        <v>26</v>
      </c>
      <c r="B8" s="262">
        <v>101413965</v>
      </c>
      <c r="C8" s="262">
        <f>SUM(B7:B8)</f>
        <v>212838187</v>
      </c>
      <c r="D8" s="263">
        <f>C8/$B$25</f>
        <v>0.17577512670206416</v>
      </c>
    </row>
    <row r="9" spans="1:4" x14ac:dyDescent="0.25">
      <c r="A9" s="258" t="s">
        <v>27</v>
      </c>
      <c r="B9" s="259">
        <v>88594951</v>
      </c>
      <c r="C9" s="260"/>
      <c r="D9" s="5"/>
    </row>
    <row r="10" spans="1:4" x14ac:dyDescent="0.25">
      <c r="A10" s="261" t="s">
        <v>28</v>
      </c>
      <c r="B10" s="262">
        <v>85140684</v>
      </c>
      <c r="C10" s="262">
        <f>SUM(B9:B10)</f>
        <v>173735635</v>
      </c>
      <c r="D10" s="263">
        <f>C10/$B$25</f>
        <v>0.14348178625853722</v>
      </c>
    </row>
    <row r="11" spans="1:4" x14ac:dyDescent="0.25">
      <c r="A11" s="258" t="s">
        <v>29</v>
      </c>
      <c r="B11" s="259">
        <v>72438112</v>
      </c>
      <c r="C11" s="260"/>
      <c r="D11" s="5"/>
    </row>
    <row r="12" spans="1:4" x14ac:dyDescent="0.25">
      <c r="A12" s="261" t="s">
        <v>30</v>
      </c>
      <c r="B12" s="262">
        <v>62318327</v>
      </c>
      <c r="C12" s="262">
        <f>SUM(B11:B12)</f>
        <v>134756439</v>
      </c>
      <c r="D12" s="263">
        <f>C12/$B$25</f>
        <v>0.11129032093824395</v>
      </c>
    </row>
    <row r="13" spans="1:4" x14ac:dyDescent="0.25">
      <c r="A13" s="258" t="s">
        <v>31</v>
      </c>
      <c r="B13" s="259">
        <v>49069254</v>
      </c>
      <c r="C13" s="260"/>
      <c r="D13" s="5"/>
    </row>
    <row r="14" spans="1:4" x14ac:dyDescent="0.25">
      <c r="A14" s="261" t="s">
        <v>32</v>
      </c>
      <c r="B14" s="262">
        <v>39146055</v>
      </c>
      <c r="C14" s="262">
        <f>SUM(B13:B14)</f>
        <v>88215309</v>
      </c>
      <c r="D14" s="263">
        <f>C14/$B$25</f>
        <v>7.2853736141516481E-2</v>
      </c>
    </row>
    <row r="15" spans="1:4" x14ac:dyDescent="0.25">
      <c r="A15" s="258" t="s">
        <v>33</v>
      </c>
      <c r="B15" s="259">
        <v>37663707</v>
      </c>
      <c r="C15" s="260"/>
      <c r="D15" s="5"/>
    </row>
    <row r="16" spans="1:4" x14ac:dyDescent="0.25">
      <c r="A16" s="261" t="s">
        <v>34</v>
      </c>
      <c r="B16" s="262">
        <v>26454983</v>
      </c>
      <c r="C16" s="262">
        <f>SUM(B15:B16)</f>
        <v>64118690</v>
      </c>
      <c r="D16" s="263">
        <f>C16/$B$25</f>
        <v>5.2953236529497287E-2</v>
      </c>
    </row>
    <row r="17" spans="1:4" x14ac:dyDescent="0.25">
      <c r="A17" s="258" t="s">
        <v>35</v>
      </c>
      <c r="B17" s="259">
        <v>19208842</v>
      </c>
      <c r="C17" s="260"/>
      <c r="D17" s="5"/>
    </row>
    <row r="18" spans="1:4" x14ac:dyDescent="0.25">
      <c r="A18" s="264" t="s">
        <v>36</v>
      </c>
      <c r="B18" s="265">
        <v>9232503</v>
      </c>
      <c r="C18" s="265">
        <f>SUM(B17:B18)</f>
        <v>28441345</v>
      </c>
      <c r="D18" s="219">
        <f>C18/$B$25</f>
        <v>2.3488646898463382E-2</v>
      </c>
    </row>
    <row r="19" spans="1:4" x14ac:dyDescent="0.25">
      <c r="A19" s="258" t="s">
        <v>37</v>
      </c>
      <c r="B19" s="259">
        <v>6220229</v>
      </c>
      <c r="C19" s="260"/>
      <c r="D19" s="5"/>
    </row>
    <row r="20" spans="1:4" x14ac:dyDescent="0.25">
      <c r="A20" s="264" t="s">
        <v>179</v>
      </c>
      <c r="B20" s="265">
        <v>2383167</v>
      </c>
      <c r="C20" s="265"/>
      <c r="D20" s="219"/>
    </row>
    <row r="21" spans="1:4" x14ac:dyDescent="0.25">
      <c r="A21" s="264" t="s">
        <v>180</v>
      </c>
      <c r="B21" s="265">
        <v>1446534</v>
      </c>
      <c r="C21" s="266"/>
      <c r="D21" s="17"/>
    </row>
    <row r="22" spans="1:4" x14ac:dyDescent="0.25">
      <c r="A22" s="264" t="s">
        <v>181</v>
      </c>
      <c r="B22" s="265">
        <v>633297</v>
      </c>
      <c r="C22" s="266"/>
      <c r="D22" s="17"/>
    </row>
    <row r="23" spans="1:4" x14ac:dyDescent="0.25">
      <c r="A23" s="261" t="s">
        <v>182</v>
      </c>
      <c r="B23" s="262">
        <v>605778</v>
      </c>
      <c r="C23" s="262">
        <f>SUM(B19:B23)</f>
        <v>11289005</v>
      </c>
      <c r="D23" s="263">
        <f>C23/$B$25</f>
        <v>9.323168516819004E-3</v>
      </c>
    </row>
    <row r="24" spans="1:4" x14ac:dyDescent="0.25">
      <c r="A24" s="261" t="s">
        <v>183</v>
      </c>
      <c r="B24" s="262">
        <v>4489802</v>
      </c>
      <c r="C24" s="267"/>
      <c r="D24" s="263">
        <f>B24/B25</f>
        <v>3.7079601482283868E-3</v>
      </c>
    </row>
    <row r="25" spans="1:4" x14ac:dyDescent="0.25">
      <c r="A25" s="256" t="s">
        <v>46</v>
      </c>
      <c r="B25" s="257">
        <f>SUM(B3:B24)</f>
        <v>1210854977</v>
      </c>
    </row>
    <row r="26" spans="1:4" x14ac:dyDescent="0.25">
      <c r="A26" s="226"/>
    </row>
    <row r="27" spans="1:4" x14ac:dyDescent="0.25">
      <c r="A27" s="227"/>
    </row>
    <row r="28" spans="1:4" x14ac:dyDescent="0.25">
      <c r="A28" s="226"/>
    </row>
    <row r="29" spans="1:4" x14ac:dyDescent="0.25">
      <c r="A29" s="227"/>
    </row>
    <row r="30" spans="1:4" x14ac:dyDescent="0.25">
      <c r="A30" s="226"/>
    </row>
    <row r="31" spans="1:4" x14ac:dyDescent="0.25">
      <c r="A31" s="227"/>
    </row>
    <row r="32" spans="1:4" x14ac:dyDescent="0.25">
      <c r="A32" s="226"/>
    </row>
    <row r="33" spans="1:1" x14ac:dyDescent="0.25">
      <c r="A33" s="227"/>
    </row>
    <row r="34" spans="1:1" x14ac:dyDescent="0.25">
      <c r="A34" s="226"/>
    </row>
    <row r="35" spans="1:1" x14ac:dyDescent="0.25">
      <c r="A35" s="227"/>
    </row>
    <row r="36" spans="1:1" x14ac:dyDescent="0.25">
      <c r="A36" s="226"/>
    </row>
    <row r="37" spans="1:1" x14ac:dyDescent="0.25">
      <c r="A37" s="227"/>
    </row>
    <row r="38" spans="1:1" x14ac:dyDescent="0.25">
      <c r="A38" s="226"/>
    </row>
    <row r="39" spans="1:1" x14ac:dyDescent="0.25">
      <c r="A39" s="227"/>
    </row>
    <row r="40" spans="1:1" x14ac:dyDescent="0.25">
      <c r="A40" s="226"/>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82" t="s">
        <v>188</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2020-04-11T11:27:32Z</dcterms:modified>
</cp:coreProperties>
</file>