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D35E5D17-81E4-4D86-88D5-4A804078CB79}"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ABS Population by Age Range" sheetId="2" r:id="rId3"/>
    <sheet name="AU Infection Rate by Ag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1" l="1"/>
  <c r="X14" i="1"/>
  <c r="Y14" i="1"/>
  <c r="Z14" i="1"/>
  <c r="V14" i="1"/>
  <c r="U14" i="1"/>
  <c r="T14" i="1"/>
  <c r="S14" i="1"/>
  <c r="R14" i="1"/>
  <c r="Q14" i="1"/>
  <c r="P14" i="1"/>
  <c r="O14" i="1"/>
  <c r="N14" i="1"/>
  <c r="M14" i="1"/>
  <c r="L14" i="1"/>
  <c r="K14" i="1"/>
  <c r="B17" i="4"/>
  <c r="E17" i="4" s="1"/>
  <c r="H17" i="4" s="1"/>
  <c r="K17" i="4" s="1"/>
  <c r="N17" i="4" s="1"/>
  <c r="Q17" i="4" s="1"/>
  <c r="T17" i="4" s="1"/>
  <c r="W17" i="4" s="1"/>
  <c r="Z17" i="4" s="1"/>
  <c r="AC17" i="4" s="1"/>
  <c r="AF17" i="4" s="1"/>
  <c r="AI17" i="4" s="1"/>
  <c r="AL17" i="4" s="1"/>
  <c r="AO17" i="4" s="1"/>
  <c r="AP23" i="4"/>
  <c r="AO23" i="4" s="1"/>
  <c r="AN23" i="4" s="1"/>
  <c r="AM23" i="4" s="1"/>
  <c r="AL23" i="4" s="1"/>
  <c r="AK23" i="4" s="1"/>
  <c r="AJ23" i="4" s="1"/>
  <c r="AI23" i="4" s="1"/>
  <c r="AH23" i="4" s="1"/>
  <c r="AG23" i="4" s="1"/>
  <c r="AF23" i="4" s="1"/>
  <c r="AE23" i="4" s="1"/>
  <c r="AD23" i="4" s="1"/>
  <c r="AC23" i="4" s="1"/>
  <c r="AB23" i="4" s="1"/>
  <c r="AA23" i="4" s="1"/>
  <c r="Z23" i="4" s="1"/>
  <c r="Y23" i="4" s="1"/>
  <c r="X23" i="4" s="1"/>
  <c r="W23" i="4" s="1"/>
  <c r="V23" i="4" s="1"/>
  <c r="U23" i="4" s="1"/>
  <c r="T23" i="4" s="1"/>
  <c r="S23" i="4" s="1"/>
  <c r="R23" i="4" s="1"/>
  <c r="Q23" i="4" s="1"/>
  <c r="P23" i="4" s="1"/>
  <c r="O23" i="4" s="1"/>
  <c r="N23" i="4" s="1"/>
  <c r="M23" i="4" s="1"/>
  <c r="L23" i="4" s="1"/>
  <c r="K23" i="4" s="1"/>
  <c r="J23" i="4" s="1"/>
  <c r="I23" i="4" s="1"/>
  <c r="H23" i="4" s="1"/>
  <c r="G23" i="4" s="1"/>
  <c r="F23" i="4" s="1"/>
  <c r="E23" i="4" s="1"/>
  <c r="D23" i="4" s="1"/>
  <c r="C23" i="4" s="1"/>
  <c r="B23" i="4" s="1"/>
  <c r="W19" i="4" l="1"/>
  <c r="H20" i="4"/>
  <c r="T18" i="4"/>
  <c r="AH21" i="4" s="1"/>
  <c r="T19" i="4"/>
  <c r="AF20" i="4"/>
  <c r="K19" i="4"/>
  <c r="AI18" i="4"/>
  <c r="K20" i="4"/>
  <c r="AI19" i="4"/>
  <c r="N18" i="4"/>
  <c r="AB21" i="4" s="1"/>
  <c r="K18" i="4"/>
  <c r="Y21" i="4" s="1"/>
  <c r="AO18" i="4"/>
  <c r="T20" i="4"/>
  <c r="W18" i="4"/>
  <c r="AK21" i="4" s="1"/>
  <c r="W20" i="4"/>
  <c r="H18" i="4"/>
  <c r="V21" i="4" s="1"/>
  <c r="AF18" i="4"/>
  <c r="H19" i="4"/>
  <c r="AF19" i="4"/>
  <c r="Z19" i="4"/>
  <c r="AL18" i="4"/>
  <c r="AI20" i="4"/>
  <c r="Z18" i="4"/>
  <c r="N19" i="4"/>
  <c r="AL19" i="4"/>
  <c r="N20" i="4"/>
  <c r="Z20" i="4"/>
  <c r="AL20" i="4"/>
  <c r="Q18" i="4"/>
  <c r="AE21" i="4" s="1"/>
  <c r="AC18" i="4"/>
  <c r="Q19" i="4"/>
  <c r="AC19" i="4"/>
  <c r="AO19" i="4"/>
  <c r="Q20" i="4"/>
  <c r="AC20" i="4"/>
  <c r="AO20" i="4"/>
  <c r="R15" i="1"/>
  <c r="S15" i="1"/>
  <c r="T15" i="1"/>
  <c r="U15" i="1"/>
  <c r="V15" i="1"/>
  <c r="W15" i="1"/>
  <c r="X15" i="1"/>
  <c r="Y15" i="1"/>
  <c r="Z15" i="1"/>
  <c r="Q15" i="1"/>
  <c r="L15" i="1"/>
  <c r="M15" i="1"/>
  <c r="N15" i="1"/>
  <c r="O15" i="1"/>
  <c r="P15" i="1"/>
  <c r="K15" i="1"/>
  <c r="I15" i="1"/>
  <c r="J15" i="1"/>
  <c r="H15" i="1"/>
  <c r="G15" i="1"/>
  <c r="R21" i="1"/>
  <c r="S21" i="1"/>
  <c r="T21" i="1"/>
  <c r="U21" i="1"/>
  <c r="V21" i="1"/>
  <c r="W21" i="1"/>
  <c r="X21" i="1"/>
  <c r="Y21" i="1"/>
  <c r="Z21" i="1"/>
  <c r="AA21" i="1"/>
  <c r="Q21" i="1"/>
  <c r="AA15" i="1"/>
  <c r="AA14" i="1"/>
  <c r="T19" i="1"/>
  <c r="G54" i="1"/>
  <c r="G53" i="1"/>
  <c r="AN21" i="4" l="1"/>
  <c r="B14" i="3"/>
  <c r="M65" i="1" l="1"/>
  <c r="S12" i="1"/>
  <c r="S13" i="1" s="1"/>
  <c r="S16" i="1"/>
  <c r="S17" i="1" s="1"/>
  <c r="S18" i="1"/>
  <c r="S20" i="1"/>
  <c r="P12" i="1"/>
  <c r="Q12" i="1" s="1"/>
  <c r="P16" i="1"/>
  <c r="P17" i="1" s="1"/>
  <c r="P18" i="1"/>
  <c r="P20" i="1"/>
  <c r="P11" i="1"/>
  <c r="Q11" i="1"/>
  <c r="R11" i="1"/>
  <c r="S11" i="1" s="1"/>
  <c r="T11" i="1" s="1"/>
  <c r="U11" i="1" s="1"/>
  <c r="V11" i="1" s="1"/>
  <c r="W11" i="1" s="1"/>
  <c r="X11" i="1" s="1"/>
  <c r="Y11" i="1" s="1"/>
  <c r="Z11" i="1" s="1"/>
  <c r="AA11" i="1" s="1"/>
  <c r="M11" i="1"/>
  <c r="N11" i="1" s="1"/>
  <c r="O11" i="1" s="1"/>
  <c r="L11" i="1"/>
  <c r="P19" i="1" l="1"/>
  <c r="S19" i="1"/>
  <c r="Q16" i="1"/>
  <c r="Q17" i="1" s="1"/>
  <c r="R12" i="1"/>
  <c r="Q13" i="1"/>
  <c r="Q18" i="1"/>
  <c r="Q20" i="1"/>
  <c r="P13" i="1"/>
  <c r="B46" i="1"/>
  <c r="B44" i="1"/>
  <c r="B42" i="1"/>
  <c r="B40" i="1"/>
  <c r="B38" i="1"/>
  <c r="B36" i="1"/>
  <c r="B34" i="1"/>
  <c r="B32" i="1"/>
  <c r="B30" i="1"/>
  <c r="Q19" i="1" l="1"/>
  <c r="R16" i="1"/>
  <c r="R17" i="1" s="1"/>
  <c r="R18" i="1"/>
  <c r="R13" i="1"/>
  <c r="R20" i="1"/>
  <c r="R19" i="1" l="1"/>
  <c r="AA12" i="1"/>
  <c r="C63" i="1"/>
  <c r="C61" i="1"/>
  <c r="C59" i="1"/>
  <c r="C57" i="1"/>
  <c r="C55" i="1"/>
  <c r="C53" i="1"/>
  <c r="G20" i="1"/>
  <c r="C5" i="3"/>
  <c r="D32" i="1" s="1"/>
  <c r="AA57" i="1" l="1"/>
  <c r="AA58" i="1" s="1"/>
  <c r="AA20" i="1"/>
  <c r="AA18" i="1"/>
  <c r="AA16" i="1"/>
  <c r="AA53" i="1"/>
  <c r="AA65" i="1" s="1"/>
  <c r="AA59" i="1"/>
  <c r="AA60" i="1" s="1"/>
  <c r="AA55" i="1"/>
  <c r="AA56" i="1" s="1"/>
  <c r="AA54" i="1"/>
  <c r="AA63" i="1"/>
  <c r="AA61" i="1"/>
  <c r="AA62" i="1" s="1"/>
  <c r="AA32" i="1"/>
  <c r="AA33" i="1"/>
  <c r="C7" i="3"/>
  <c r="D36" i="1" s="1"/>
  <c r="C4" i="3"/>
  <c r="D30" i="1" s="1"/>
  <c r="C12" i="3"/>
  <c r="D46" i="1" s="1"/>
  <c r="G47" i="1" s="1"/>
  <c r="C11" i="3"/>
  <c r="D44" i="1" s="1"/>
  <c r="C10" i="3"/>
  <c r="D42" i="1" s="1"/>
  <c r="C9" i="3"/>
  <c r="D40" i="1" s="1"/>
  <c r="C8" i="3"/>
  <c r="D38" i="1" s="1"/>
  <c r="C6" i="3"/>
  <c r="D34" i="1" s="1"/>
  <c r="AA34" i="1" s="1"/>
  <c r="C2" i="1"/>
  <c r="C3" i="1"/>
  <c r="G33" i="1"/>
  <c r="G63" i="1"/>
  <c r="G61" i="1"/>
  <c r="G59" i="1"/>
  <c r="G60" i="1" s="1"/>
  <c r="G57" i="1"/>
  <c r="G58" i="1" s="1"/>
  <c r="G55" i="1"/>
  <c r="G56" i="1" s="1"/>
  <c r="G18" i="1"/>
  <c r="G16" i="1"/>
  <c r="G17" i="1" s="1"/>
  <c r="C32" i="1"/>
  <c r="C34" i="1"/>
  <c r="C36" i="1"/>
  <c r="C38" i="1"/>
  <c r="C40" i="1"/>
  <c r="C42" i="1"/>
  <c r="C44" i="1"/>
  <c r="C46" i="1"/>
  <c r="C30" i="1"/>
  <c r="C13" i="2"/>
  <c r="D13" i="2" s="1"/>
  <c r="C25" i="2"/>
  <c r="D25" i="2" s="1"/>
  <c r="C37" i="2"/>
  <c r="D37" i="2" s="1"/>
  <c r="D49" i="2"/>
  <c r="C49" i="2"/>
  <c r="C61" i="2"/>
  <c r="D61" i="2" s="1"/>
  <c r="D73" i="2"/>
  <c r="C73" i="2"/>
  <c r="C85" i="2"/>
  <c r="D85" i="2" s="1"/>
  <c r="C107" i="2"/>
  <c r="D107" i="2" s="1"/>
  <c r="C97" i="2"/>
  <c r="D97" i="2" s="1"/>
  <c r="H11" i="1"/>
  <c r="I11" i="1" s="1"/>
  <c r="J11" i="1" s="1"/>
  <c r="K11" i="1" s="1"/>
  <c r="G13" i="1"/>
  <c r="H12" i="1"/>
  <c r="G31" i="1" l="1"/>
  <c r="G30" i="1"/>
  <c r="AA66" i="1"/>
  <c r="G39" i="1"/>
  <c r="G38" i="1"/>
  <c r="AA42" i="1"/>
  <c r="AA43" i="1"/>
  <c r="AA44" i="1"/>
  <c r="AA45" i="1"/>
  <c r="AA38" i="1"/>
  <c r="AA39" i="1"/>
  <c r="AA36" i="1"/>
  <c r="AA37" i="1"/>
  <c r="AA41" i="1"/>
  <c r="AA40" i="1"/>
  <c r="G42" i="1"/>
  <c r="G41" i="1"/>
  <c r="G44" i="1"/>
  <c r="AA30" i="1"/>
  <c r="AA31" i="1"/>
  <c r="AA35" i="1"/>
  <c r="AA47" i="1"/>
  <c r="AA46" i="1"/>
  <c r="G34" i="1"/>
  <c r="I12" i="1"/>
  <c r="J12" i="1" s="1"/>
  <c r="H57" i="1"/>
  <c r="H58" i="1" s="1"/>
  <c r="G19" i="1"/>
  <c r="I33" i="1"/>
  <c r="G35" i="1"/>
  <c r="I61" i="1"/>
  <c r="I62" i="1" s="1"/>
  <c r="H46" i="1"/>
  <c r="H55" i="1"/>
  <c r="H56" i="1" s="1"/>
  <c r="G43" i="1"/>
  <c r="H44" i="1"/>
  <c r="H63" i="1"/>
  <c r="G32" i="1"/>
  <c r="G40" i="1"/>
  <c r="H61" i="1"/>
  <c r="H62" i="1" s="1"/>
  <c r="H59" i="1"/>
  <c r="H60" i="1" s="1"/>
  <c r="I53" i="1"/>
  <c r="I54" i="1" s="1"/>
  <c r="H42" i="1"/>
  <c r="I32" i="1"/>
  <c r="H35" i="1"/>
  <c r="H39" i="1"/>
  <c r="H43" i="1"/>
  <c r="H47" i="1"/>
  <c r="G65" i="1"/>
  <c r="H53" i="1"/>
  <c r="H54" i="1" s="1"/>
  <c r="G36" i="1"/>
  <c r="I46" i="1"/>
  <c r="H32" i="1"/>
  <c r="G37" i="1"/>
  <c r="G45" i="1"/>
  <c r="H36" i="1"/>
  <c r="H33" i="1"/>
  <c r="I36" i="1"/>
  <c r="I40" i="1"/>
  <c r="H40" i="1"/>
  <c r="I41" i="1"/>
  <c r="I45" i="1"/>
  <c r="G46" i="1"/>
  <c r="H30" i="1"/>
  <c r="H37" i="1"/>
  <c r="H41" i="1"/>
  <c r="H45" i="1"/>
  <c r="I55" i="1"/>
  <c r="I56" i="1" s="1"/>
  <c r="H34" i="1"/>
  <c r="I31" i="1"/>
  <c r="H31" i="1"/>
  <c r="I57" i="1"/>
  <c r="I58" i="1" s="1"/>
  <c r="H38" i="1"/>
  <c r="G62" i="1"/>
  <c r="G66" i="1" s="1"/>
  <c r="H18" i="1"/>
  <c r="H16" i="1"/>
  <c r="H17" i="1" s="1"/>
  <c r="H13" i="1"/>
  <c r="I20" i="1"/>
  <c r="H20" i="1"/>
  <c r="I13" i="1"/>
  <c r="AA48" i="1" l="1"/>
  <c r="AA49" i="1"/>
  <c r="G49" i="1"/>
  <c r="H49" i="1"/>
  <c r="AA13" i="1"/>
  <c r="I43" i="1"/>
  <c r="I42" i="1"/>
  <c r="I16" i="1"/>
  <c r="I17" i="1" s="1"/>
  <c r="I38" i="1"/>
  <c r="I35" i="1"/>
  <c r="I37" i="1"/>
  <c r="I30" i="1"/>
  <c r="I39" i="1"/>
  <c r="I44" i="1"/>
  <c r="I63" i="1"/>
  <c r="I34" i="1"/>
  <c r="I18" i="1"/>
  <c r="I59" i="1"/>
  <c r="I60" i="1" s="1"/>
  <c r="I66" i="1" s="1"/>
  <c r="I47" i="1"/>
  <c r="J32" i="1"/>
  <c r="J41" i="1"/>
  <c r="J63" i="1"/>
  <c r="J40" i="1"/>
  <c r="J45" i="1"/>
  <c r="J34" i="1"/>
  <c r="J38" i="1"/>
  <c r="J61" i="1"/>
  <c r="J62" i="1" s="1"/>
  <c r="J18" i="1"/>
  <c r="J59" i="1"/>
  <c r="J60" i="1" s="1"/>
  <c r="J55" i="1"/>
  <c r="J56" i="1" s="1"/>
  <c r="J66" i="1" s="1"/>
  <c r="J57" i="1"/>
  <c r="J58" i="1" s="1"/>
  <c r="J46" i="1"/>
  <c r="J53" i="1"/>
  <c r="J54" i="1" s="1"/>
  <c r="J36" i="1"/>
  <c r="J42" i="1"/>
  <c r="J39" i="1"/>
  <c r="J43" i="1"/>
  <c r="J47" i="1"/>
  <c r="J16" i="1"/>
  <c r="J17" i="1" s="1"/>
  <c r="J13" i="1"/>
  <c r="J33" i="1"/>
  <c r="J31" i="1"/>
  <c r="J35" i="1"/>
  <c r="J37" i="1"/>
  <c r="J30" i="1"/>
  <c r="J20" i="1"/>
  <c r="J44" i="1"/>
  <c r="K12" i="1"/>
  <c r="H65" i="1"/>
  <c r="I19" i="1"/>
  <c r="H19" i="1"/>
  <c r="G48" i="1"/>
  <c r="H48" i="1"/>
  <c r="H66" i="1"/>
  <c r="I65" i="1"/>
  <c r="J19" i="1" l="1"/>
  <c r="J48" i="1"/>
  <c r="I48" i="1"/>
  <c r="I49" i="1"/>
  <c r="J49" i="1"/>
  <c r="J65" i="1"/>
  <c r="L12" i="1"/>
  <c r="K45" i="1"/>
  <c r="K57" i="1"/>
  <c r="K58" i="1" s="1"/>
  <c r="K13" i="1"/>
  <c r="K18" i="1"/>
  <c r="K38" i="1"/>
  <c r="K61" i="1"/>
  <c r="K62" i="1" s="1"/>
  <c r="K31" i="1"/>
  <c r="K16" i="1"/>
  <c r="K17" i="1" s="1"/>
  <c r="K39" i="1"/>
  <c r="K44" i="1"/>
  <c r="K42" i="1"/>
  <c r="K63" i="1"/>
  <c r="K40" i="1"/>
  <c r="K36" i="1"/>
  <c r="K55" i="1"/>
  <c r="K56" i="1" s="1"/>
  <c r="K34" i="1"/>
  <c r="K43" i="1"/>
  <c r="K46" i="1"/>
  <c r="K59" i="1"/>
  <c r="K60" i="1" s="1"/>
  <c r="K37" i="1"/>
  <c r="K53" i="1"/>
  <c r="K32" i="1"/>
  <c r="K30" i="1"/>
  <c r="K35" i="1"/>
  <c r="K47" i="1"/>
  <c r="K20" i="1"/>
  <c r="K41" i="1"/>
  <c r="K33" i="1"/>
  <c r="K49" i="1" l="1"/>
  <c r="K19" i="1"/>
  <c r="K48" i="1"/>
  <c r="M12" i="1"/>
  <c r="L43" i="1"/>
  <c r="L32" i="1"/>
  <c r="L44" i="1"/>
  <c r="L37" i="1"/>
  <c r="L59" i="1"/>
  <c r="L60" i="1" s="1"/>
  <c r="L13" i="1"/>
  <c r="L36" i="1"/>
  <c r="L20" i="1"/>
  <c r="L40" i="1"/>
  <c r="L30" i="1"/>
  <c r="L33" i="1"/>
  <c r="L38" i="1"/>
  <c r="L47" i="1"/>
  <c r="L57" i="1"/>
  <c r="L58" i="1" s="1"/>
  <c r="L34" i="1"/>
  <c r="L55" i="1"/>
  <c r="L56" i="1" s="1"/>
  <c r="L63" i="1"/>
  <c r="L53" i="1"/>
  <c r="L45" i="1"/>
  <c r="L42" i="1"/>
  <c r="L16" i="1"/>
  <c r="L17" i="1" s="1"/>
  <c r="L18" i="1"/>
  <c r="L41" i="1"/>
  <c r="L61" i="1"/>
  <c r="L62" i="1" s="1"/>
  <c r="L35" i="1"/>
  <c r="L46" i="1"/>
  <c r="L31" i="1"/>
  <c r="L39" i="1"/>
  <c r="K54" i="1"/>
  <c r="K66" i="1" s="1"/>
  <c r="K65" i="1"/>
  <c r="L48" i="1" l="1"/>
  <c r="L54" i="1"/>
  <c r="L66" i="1" s="1"/>
  <c r="L65" i="1"/>
  <c r="L49" i="1"/>
  <c r="N12" i="1"/>
  <c r="M40" i="1"/>
  <c r="M32" i="1"/>
  <c r="M30" i="1"/>
  <c r="M31" i="1"/>
  <c r="M39" i="1"/>
  <c r="M18" i="1"/>
  <c r="M19" i="1" s="1"/>
  <c r="M38" i="1"/>
  <c r="M53" i="1"/>
  <c r="M63" i="1"/>
  <c r="M44" i="1"/>
  <c r="M61" i="1"/>
  <c r="M62" i="1" s="1"/>
  <c r="M36" i="1"/>
  <c r="M37" i="1"/>
  <c r="M57" i="1"/>
  <c r="M58" i="1" s="1"/>
  <c r="M33" i="1"/>
  <c r="M59" i="1"/>
  <c r="M60" i="1" s="1"/>
  <c r="M41" i="1"/>
  <c r="M55" i="1"/>
  <c r="M56" i="1" s="1"/>
  <c r="M13" i="1"/>
  <c r="M43" i="1"/>
  <c r="M42" i="1"/>
  <c r="M34" i="1"/>
  <c r="M46" i="1"/>
  <c r="M16" i="1"/>
  <c r="M47" i="1"/>
  <c r="M35" i="1"/>
  <c r="M45" i="1"/>
  <c r="M20" i="1"/>
  <c r="L19" i="1"/>
  <c r="M54" i="1" l="1"/>
  <c r="M66" i="1" s="1"/>
  <c r="M49" i="1"/>
  <c r="M48" i="1"/>
  <c r="O12" i="1"/>
  <c r="N38" i="1"/>
  <c r="N44" i="1"/>
  <c r="N31" i="1"/>
  <c r="N47" i="1"/>
  <c r="N37" i="1"/>
  <c r="N42" i="1"/>
  <c r="N40" i="1"/>
  <c r="N36" i="1"/>
  <c r="N32" i="1"/>
  <c r="N34" i="1"/>
  <c r="N57" i="1"/>
  <c r="N58" i="1" s="1"/>
  <c r="N35" i="1"/>
  <c r="N46" i="1"/>
  <c r="N41" i="1"/>
  <c r="N63" i="1"/>
  <c r="N20" i="1"/>
  <c r="N30" i="1"/>
  <c r="N39" i="1"/>
  <c r="N33" i="1"/>
  <c r="N61" i="1"/>
  <c r="N62" i="1" s="1"/>
  <c r="N45" i="1"/>
  <c r="N13" i="1"/>
  <c r="N59" i="1"/>
  <c r="N60" i="1" s="1"/>
  <c r="N55" i="1"/>
  <c r="N56" i="1" s="1"/>
  <c r="N18" i="1"/>
  <c r="N53" i="1"/>
  <c r="N43" i="1"/>
  <c r="N16" i="1"/>
  <c r="M17" i="1"/>
  <c r="N17" i="1" l="1"/>
  <c r="AA17" i="1"/>
  <c r="N48" i="1"/>
  <c r="N49" i="1"/>
  <c r="N54" i="1"/>
  <c r="N66" i="1" s="1"/>
  <c r="N65" i="1"/>
  <c r="O55" i="1"/>
  <c r="O56" i="1" s="1"/>
  <c r="O45" i="1"/>
  <c r="O30" i="1"/>
  <c r="O16" i="1"/>
  <c r="O17" i="1" s="1"/>
  <c r="O61" i="1"/>
  <c r="O62" i="1" s="1"/>
  <c r="O59" i="1"/>
  <c r="O60" i="1" s="1"/>
  <c r="O13" i="1"/>
  <c r="O36" i="1"/>
  <c r="O37" i="1"/>
  <c r="O31" i="1"/>
  <c r="O63" i="1"/>
  <c r="O35" i="1"/>
  <c r="O40" i="1"/>
  <c r="O41" i="1"/>
  <c r="O39" i="1"/>
  <c r="O38" i="1"/>
  <c r="O57" i="1"/>
  <c r="O58" i="1" s="1"/>
  <c r="O33" i="1"/>
  <c r="O46" i="1"/>
  <c r="O43" i="1"/>
  <c r="O47" i="1"/>
  <c r="O42" i="1"/>
  <c r="O34" i="1"/>
  <c r="O18" i="1"/>
  <c r="O53" i="1"/>
  <c r="O44" i="1"/>
  <c r="O32" i="1"/>
  <c r="O20" i="1"/>
  <c r="N19" i="1"/>
  <c r="AA19" i="1" s="1"/>
  <c r="O48" i="1" l="1"/>
  <c r="O54" i="1"/>
  <c r="O66" i="1" s="1"/>
  <c r="O65" i="1"/>
  <c r="P38" i="1"/>
  <c r="P31" i="1"/>
  <c r="P42" i="1"/>
  <c r="P46" i="1"/>
  <c r="P37" i="1"/>
  <c r="P41" i="1"/>
  <c r="P35" i="1"/>
  <c r="P63" i="1"/>
  <c r="P34" i="1"/>
  <c r="P61" i="1"/>
  <c r="P62" i="1" s="1"/>
  <c r="P59" i="1"/>
  <c r="P60" i="1" s="1"/>
  <c r="P39" i="1"/>
  <c r="P40" i="1"/>
  <c r="P36" i="1"/>
  <c r="P32" i="1"/>
  <c r="P55" i="1"/>
  <c r="P56" i="1" s="1"/>
  <c r="P53" i="1"/>
  <c r="P57" i="1"/>
  <c r="P58" i="1" s="1"/>
  <c r="P43" i="1"/>
  <c r="P30" i="1"/>
  <c r="P45" i="1"/>
  <c r="P33" i="1"/>
  <c r="P44" i="1"/>
  <c r="P47" i="1"/>
  <c r="O49" i="1"/>
  <c r="O19" i="1"/>
  <c r="P48" i="1" l="1"/>
  <c r="P54" i="1"/>
  <c r="P66" i="1" s="1"/>
  <c r="P65" i="1"/>
  <c r="P49" i="1"/>
  <c r="Q37" i="1"/>
  <c r="Q33" i="1"/>
  <c r="Q47" i="1"/>
  <c r="Q41" i="1"/>
  <c r="Q57" i="1"/>
  <c r="Q58" i="1" s="1"/>
  <c r="Q42" i="1"/>
  <c r="Q55" i="1"/>
  <c r="Q56" i="1" s="1"/>
  <c r="Q35" i="1"/>
  <c r="Q38" i="1"/>
  <c r="Q63" i="1"/>
  <c r="Q61" i="1"/>
  <c r="Q62" i="1" s="1"/>
  <c r="Q36" i="1"/>
  <c r="Q30" i="1"/>
  <c r="Q45" i="1"/>
  <c r="Q59" i="1"/>
  <c r="Q60" i="1" s="1"/>
  <c r="Q39" i="1"/>
  <c r="Q32" i="1"/>
  <c r="Q44" i="1"/>
  <c r="Q53" i="1"/>
  <c r="Q46" i="1"/>
  <c r="Q40" i="1"/>
  <c r="Q34" i="1"/>
  <c r="Q31" i="1"/>
  <c r="Q43" i="1"/>
  <c r="Q48" i="1" l="1"/>
  <c r="Q49" i="1"/>
  <c r="Q54" i="1"/>
  <c r="Q66" i="1" s="1"/>
  <c r="Q65" i="1"/>
  <c r="R47" i="1"/>
  <c r="R63" i="1"/>
  <c r="R39" i="1"/>
  <c r="R41" i="1"/>
  <c r="R45" i="1"/>
  <c r="R53" i="1"/>
  <c r="R38" i="1"/>
  <c r="R36" i="1"/>
  <c r="R30" i="1"/>
  <c r="R34" i="1"/>
  <c r="R33" i="1"/>
  <c r="R61" i="1"/>
  <c r="R62" i="1" s="1"/>
  <c r="R35" i="1"/>
  <c r="R42" i="1"/>
  <c r="R57" i="1"/>
  <c r="R58" i="1" s="1"/>
  <c r="R59" i="1"/>
  <c r="R60" i="1" s="1"/>
  <c r="R43" i="1"/>
  <c r="R55" i="1"/>
  <c r="R56" i="1" s="1"/>
  <c r="R40" i="1"/>
  <c r="R31" i="1"/>
  <c r="R32" i="1"/>
  <c r="R46" i="1"/>
  <c r="R37" i="1"/>
  <c r="R44" i="1"/>
  <c r="R54" i="1" l="1"/>
  <c r="R66" i="1" s="1"/>
  <c r="R65" i="1"/>
  <c r="T12" i="1"/>
  <c r="S33" i="1"/>
  <c r="S45" i="1"/>
  <c r="S42" i="1"/>
  <c r="S35" i="1"/>
  <c r="S31" i="1"/>
  <c r="S57" i="1"/>
  <c r="S58" i="1" s="1"/>
  <c r="S63" i="1"/>
  <c r="S40" i="1"/>
  <c r="S34" i="1"/>
  <c r="S47" i="1"/>
  <c r="S61" i="1"/>
  <c r="S62" i="1" s="1"/>
  <c r="S36" i="1"/>
  <c r="S37" i="1"/>
  <c r="S44" i="1"/>
  <c r="S55" i="1"/>
  <c r="S56" i="1" s="1"/>
  <c r="S38" i="1"/>
  <c r="S59" i="1"/>
  <c r="S60" i="1" s="1"/>
  <c r="S32" i="1"/>
  <c r="S39" i="1"/>
  <c r="S30" i="1"/>
  <c r="S41" i="1"/>
  <c r="S43" i="1"/>
  <c r="S53" i="1"/>
  <c r="S46" i="1"/>
  <c r="R49" i="1"/>
  <c r="R48" i="1"/>
  <c r="T20" i="1" l="1"/>
  <c r="T18" i="1"/>
  <c r="S48" i="1"/>
  <c r="S49" i="1"/>
  <c r="S54" i="1"/>
  <c r="S66" i="1" s="1"/>
  <c r="S65" i="1"/>
  <c r="U12" i="1"/>
  <c r="T35" i="1"/>
  <c r="T40" i="1"/>
  <c r="T34" i="1"/>
  <c r="T33" i="1"/>
  <c r="T39" i="1"/>
  <c r="T16" i="1"/>
  <c r="T17" i="1" s="1"/>
  <c r="T63" i="1"/>
  <c r="T30" i="1"/>
  <c r="T44" i="1"/>
  <c r="T59" i="1"/>
  <c r="T60" i="1" s="1"/>
  <c r="T38" i="1"/>
  <c r="T45" i="1"/>
  <c r="T46" i="1"/>
  <c r="T42" i="1"/>
  <c r="T57" i="1"/>
  <c r="T58" i="1" s="1"/>
  <c r="T13" i="1"/>
  <c r="T55" i="1"/>
  <c r="T56" i="1" s="1"/>
  <c r="T37" i="1"/>
  <c r="T43" i="1"/>
  <c r="T36" i="1"/>
  <c r="T31" i="1"/>
  <c r="T61" i="1"/>
  <c r="T62" i="1" s="1"/>
  <c r="T53" i="1"/>
  <c r="T41" i="1"/>
  <c r="T47" i="1"/>
  <c r="T32" i="1"/>
  <c r="U16" i="1" l="1"/>
  <c r="U17" i="1" s="1"/>
  <c r="U20" i="1"/>
  <c r="U18" i="1"/>
  <c r="T48" i="1"/>
  <c r="T54" i="1"/>
  <c r="T66" i="1" s="1"/>
  <c r="T65" i="1"/>
  <c r="V12" i="1"/>
  <c r="U33" i="1"/>
  <c r="U36" i="1"/>
  <c r="U38" i="1"/>
  <c r="U37" i="1"/>
  <c r="U47" i="1"/>
  <c r="U59" i="1"/>
  <c r="U60" i="1" s="1"/>
  <c r="U34" i="1"/>
  <c r="U40" i="1"/>
  <c r="U44" i="1"/>
  <c r="U55" i="1"/>
  <c r="U56" i="1" s="1"/>
  <c r="U39" i="1"/>
  <c r="U57" i="1"/>
  <c r="U58" i="1" s="1"/>
  <c r="U43" i="1"/>
  <c r="U63" i="1"/>
  <c r="U31" i="1"/>
  <c r="U41" i="1"/>
  <c r="U61" i="1"/>
  <c r="U62" i="1" s="1"/>
  <c r="U53" i="1"/>
  <c r="U32" i="1"/>
  <c r="U35" i="1"/>
  <c r="U30" i="1"/>
  <c r="U46" i="1"/>
  <c r="U45" i="1"/>
  <c r="U13" i="1"/>
  <c r="U42" i="1"/>
  <c r="T49" i="1"/>
  <c r="U19" i="1" l="1"/>
  <c r="V20" i="1"/>
  <c r="V16" i="1"/>
  <c r="V17" i="1" s="1"/>
  <c r="V18" i="1"/>
  <c r="V19" i="1" s="1"/>
  <c r="U49" i="1"/>
  <c r="U54" i="1"/>
  <c r="U66" i="1" s="1"/>
  <c r="U65" i="1"/>
  <c r="U48" i="1"/>
  <c r="W12" i="1"/>
  <c r="V57" i="1"/>
  <c r="V58" i="1" s="1"/>
  <c r="V35" i="1"/>
  <c r="V31" i="1"/>
  <c r="V40" i="1"/>
  <c r="V61" i="1"/>
  <c r="V62" i="1" s="1"/>
  <c r="V33" i="1"/>
  <c r="V59" i="1"/>
  <c r="V60" i="1" s="1"/>
  <c r="V39" i="1"/>
  <c r="V32" i="1"/>
  <c r="V37" i="1"/>
  <c r="V53" i="1"/>
  <c r="V36" i="1"/>
  <c r="V41" i="1"/>
  <c r="V43" i="1"/>
  <c r="V13" i="1"/>
  <c r="V55" i="1"/>
  <c r="V56" i="1" s="1"/>
  <c r="V46" i="1"/>
  <c r="V34" i="1"/>
  <c r="V47" i="1"/>
  <c r="V30" i="1"/>
  <c r="V45" i="1"/>
  <c r="V44" i="1"/>
  <c r="V38" i="1"/>
  <c r="V63" i="1"/>
  <c r="V42" i="1"/>
  <c r="W20" i="1" l="1"/>
  <c r="W16" i="1"/>
  <c r="W17" i="1" s="1"/>
  <c r="W18" i="1"/>
  <c r="X12" i="1"/>
  <c r="V48" i="1"/>
  <c r="V49" i="1"/>
  <c r="V54" i="1"/>
  <c r="V66" i="1" s="1"/>
  <c r="V65" i="1"/>
  <c r="W36" i="1"/>
  <c r="W42" i="1"/>
  <c r="W39" i="1"/>
  <c r="W31" i="1"/>
  <c r="W33" i="1"/>
  <c r="W30" i="1"/>
  <c r="W63" i="1"/>
  <c r="W40" i="1"/>
  <c r="W61" i="1"/>
  <c r="W62" i="1" s="1"/>
  <c r="W34" i="1"/>
  <c r="W43" i="1"/>
  <c r="W37" i="1"/>
  <c r="W45" i="1"/>
  <c r="W59" i="1"/>
  <c r="W60" i="1" s="1"/>
  <c r="W55" i="1"/>
  <c r="W56" i="1" s="1"/>
  <c r="W53" i="1"/>
  <c r="W32" i="1"/>
  <c r="W46" i="1"/>
  <c r="W47" i="1"/>
  <c r="W44" i="1"/>
  <c r="W57" i="1"/>
  <c r="W58" i="1" s="1"/>
  <c r="W38" i="1"/>
  <c r="W41" i="1"/>
  <c r="W35" i="1"/>
  <c r="W13" i="1"/>
  <c r="W19" i="1" l="1"/>
  <c r="X18" i="1"/>
  <c r="X20" i="1"/>
  <c r="X16" i="1"/>
  <c r="X17" i="1" s="1"/>
  <c r="Y12" i="1"/>
  <c r="X53" i="1"/>
  <c r="X59" i="1"/>
  <c r="X60" i="1" s="1"/>
  <c r="X55" i="1"/>
  <c r="X56" i="1" s="1"/>
  <c r="X13" i="1"/>
  <c r="X61" i="1"/>
  <c r="X62" i="1" s="1"/>
  <c r="X57" i="1"/>
  <c r="X58" i="1" s="1"/>
  <c r="X63" i="1"/>
  <c r="X32" i="1"/>
  <c r="X33" i="1"/>
  <c r="X39" i="1"/>
  <c r="X34" i="1"/>
  <c r="X47" i="1"/>
  <c r="X38" i="1"/>
  <c r="X46" i="1"/>
  <c r="X44" i="1"/>
  <c r="X30" i="1"/>
  <c r="X35" i="1"/>
  <c r="X45" i="1"/>
  <c r="X40" i="1"/>
  <c r="X31" i="1"/>
  <c r="X41" i="1"/>
  <c r="X42" i="1"/>
  <c r="X36" i="1"/>
  <c r="X43" i="1"/>
  <c r="X37" i="1"/>
  <c r="W48" i="1"/>
  <c r="W54" i="1"/>
  <c r="W66" i="1" s="1"/>
  <c r="W65" i="1"/>
  <c r="W49" i="1"/>
  <c r="Y16" i="1" l="1"/>
  <c r="Y17" i="1" s="1"/>
  <c r="Y20" i="1"/>
  <c r="Y18" i="1"/>
  <c r="Y19" i="1" s="1"/>
  <c r="X19" i="1"/>
  <c r="X54" i="1"/>
  <c r="X66" i="1" s="1"/>
  <c r="X65" i="1"/>
  <c r="X48" i="1"/>
  <c r="X49" i="1"/>
  <c r="Y53" i="1"/>
  <c r="Y59" i="1"/>
  <c r="Y60" i="1" s="1"/>
  <c r="Y61" i="1"/>
  <c r="Y62" i="1" s="1"/>
  <c r="Y57" i="1"/>
  <c r="Y58" i="1" s="1"/>
  <c r="Y63" i="1"/>
  <c r="Y55" i="1"/>
  <c r="Y56" i="1" s="1"/>
  <c r="Y33" i="1"/>
  <c r="Z12" i="1"/>
  <c r="Y13" i="1"/>
  <c r="Y32" i="1"/>
  <c r="Y38" i="1"/>
  <c r="Y34" i="1"/>
  <c r="Y47" i="1"/>
  <c r="Y31" i="1"/>
  <c r="Y39" i="1"/>
  <c r="Y35" i="1"/>
  <c r="Y41" i="1"/>
  <c r="Y46" i="1"/>
  <c r="Y37" i="1"/>
  <c r="Y30" i="1"/>
  <c r="Y40" i="1"/>
  <c r="Y42" i="1"/>
  <c r="Y36" i="1"/>
  <c r="Y45" i="1"/>
  <c r="Y44" i="1"/>
  <c r="Y43" i="1"/>
  <c r="Z18" i="1" l="1"/>
  <c r="Z16" i="1"/>
  <c r="Z17" i="1" s="1"/>
  <c r="Z20" i="1"/>
  <c r="Y49" i="1"/>
  <c r="Y65" i="1"/>
  <c r="Y54" i="1"/>
  <c r="Y66" i="1" s="1"/>
  <c r="Y48" i="1"/>
  <c r="Z57" i="1"/>
  <c r="Z58" i="1" s="1"/>
  <c r="Z53" i="1"/>
  <c r="Z59" i="1"/>
  <c r="Z60" i="1" s="1"/>
  <c r="Z55" i="1"/>
  <c r="Z56" i="1" s="1"/>
  <c r="Z61" i="1"/>
  <c r="Z62" i="1" s="1"/>
  <c r="Z63" i="1"/>
  <c r="Z33" i="1"/>
  <c r="Z32" i="1"/>
  <c r="Z43" i="1"/>
  <c r="Z37" i="1"/>
  <c r="Z40" i="1"/>
  <c r="Z31" i="1"/>
  <c r="Z38" i="1"/>
  <c r="Z36" i="1"/>
  <c r="Z44" i="1"/>
  <c r="Z41" i="1"/>
  <c r="Z46" i="1"/>
  <c r="Z39" i="1"/>
  <c r="Z34" i="1"/>
  <c r="Z13" i="1"/>
  <c r="Z30" i="1"/>
  <c r="Z47" i="1"/>
  <c r="Z35" i="1"/>
  <c r="Z42" i="1"/>
  <c r="Z45" i="1"/>
  <c r="Z19" i="1" l="1"/>
  <c r="Z49" i="1"/>
  <c r="Z48" i="1"/>
  <c r="Z54" i="1"/>
  <c r="Z66" i="1" s="1"/>
  <c r="Z65" i="1"/>
</calcChain>
</file>

<file path=xl/sharedStrings.xml><?xml version="1.0" encoding="utf-8"?>
<sst xmlns="http://schemas.openxmlformats.org/spreadsheetml/2006/main" count="257" uniqueCount="217">
  <si>
    <t>Australian Population</t>
  </si>
  <si>
    <t>By Age</t>
  </si>
  <si>
    <t>Cardiovascular Disease</t>
  </si>
  <si>
    <t>Mortality</t>
  </si>
  <si>
    <t>Number</t>
  </si>
  <si>
    <t>Diabetes</t>
  </si>
  <si>
    <t>Pop. with disease</t>
  </si>
  <si>
    <t>Chronic Respiratory Disease</t>
  </si>
  <si>
    <t>Hypertension</t>
  </si>
  <si>
    <t>Cancer</t>
  </si>
  <si>
    <t>Smoking</t>
  </si>
  <si>
    <t>?</t>
  </si>
  <si>
    <t>% Infected</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</si>
  <si>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</si>
  <si>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</si>
  <si>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</si>
  <si>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</si>
  <si>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</si>
  <si>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</si>
  <si>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</si>
  <si>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</si>
  <si>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</si>
  <si>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</si>
  <si>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</si>
  <si>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</si>
  <si>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</si>
  <si>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</si>
  <si>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</si>
  <si>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</si>
  <si>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</si>
  <si>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</si>
  <si>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</si>
  <si>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</si>
  <si>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</si>
  <si>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</si>
  <si>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</si>
  <si>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</si>
  <si>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</si>
  <si>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</si>
  <si>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</si>
  <si>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</si>
  <si>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</si>
  <si>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</si>
  <si>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</si>
  <si>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</si>
  <si>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</si>
  <si>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</si>
  <si>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</si>
  <si>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</si>
  <si>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</si>
  <si>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</si>
  <si>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</si>
  <si>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</si>
  <si>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</si>
  <si>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</si>
  <si>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</si>
  <si>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</si>
  <si>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</si>
  <si>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</si>
  <si>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</si>
  <si>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</si>
  <si>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</si>
  <si>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</si>
  <si>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</si>
  <si>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</si>
  <si>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</si>
  <si>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</si>
  <si>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</si>
  <si>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</si>
  <si>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</si>
  <si>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</si>
  <si>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</si>
  <si>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</si>
  <si>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</si>
  <si>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</si>
  <si>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</si>
  <si>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</si>
  <si>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</si>
  <si>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</si>
  <si>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</si>
  <si>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</si>
  <si>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</si>
  <si>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</si>
  <si>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</si>
  <si>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</si>
  <si>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</si>
  <si>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</si>
  <si>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</si>
  <si>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</si>
  <si>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</si>
  <si>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</si>
  <si>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</si>
  <si>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</si>
  <si>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</si>
  <si>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</si>
  <si>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</si>
  <si>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</si>
  <si>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</si>
  <si>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</si>
  <si>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</si>
  <si>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</si>
  <si>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</si>
  <si>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</si>
  <si>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</si>
  <si>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</si>
  <si>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</si>
  <si>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</si>
  <si>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</si>
  <si>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</si>
  <si>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</si>
  <si>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</si>
  <si>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</si>
  <si>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</si>
  <si>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</si>
  <si>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</si>
  <si>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</si>
  <si>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</si>
  <si>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</si>
  <si>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</si>
  <si>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</si>
  <si>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</si>
  <si>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</si>
  <si>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</si>
  <si>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</si>
  <si>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</si>
  <si>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</si>
  <si>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</si>
  <si>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</si>
  <si>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</si>
  <si>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</si>
  <si>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</si>
  <si>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</si>
  <si>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</si>
  <si>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Number in Critical Care</t>
  </si>
  <si>
    <t>Six Weeks</t>
  </si>
  <si>
    <t>Does not need to add to 100% as not necessarily exclusive, some comorbidities may be shared</t>
  </si>
  <si>
    <t>Projected COVID-19 rates in Australia</t>
  </si>
  <si>
    <t>Number in Hospital, not including Critical Care</t>
  </si>
  <si>
    <t>Hospitalisation Rate, not including Critical Care</t>
  </si>
  <si>
    <t>Actual Confirmed Infections</t>
  </si>
  <si>
    <t>Actual Mortality Count</t>
  </si>
  <si>
    <t>Projected Population Infected</t>
  </si>
  <si>
    <t>Age</t>
  </si>
  <si>
    <t>Infections</t>
  </si>
  <si>
    <t>Percent</t>
  </si>
  <si>
    <t>Total</t>
  </si>
  <si>
    <t>Projected Mortality Rate</t>
  </si>
  <si>
    <t>Actual COVID-19 rates in Australia</t>
  </si>
  <si>
    <t>Projected active infections</t>
  </si>
  <si>
    <t>Projected COVID-19 Mortality by Age</t>
  </si>
  <si>
    <t>Projected COVID-19 Mortality by Comorbidity</t>
  </si>
  <si>
    <t>Infection Ratio</t>
  </si>
  <si>
    <t>Cumulative Hospitalisation, not including Critical Care</t>
  </si>
  <si>
    <t>Cumulative Critical Care</t>
  </si>
  <si>
    <t>Critical Care Rate</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</si>
  <si>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</si>
  <si>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</si>
  <si>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</si>
  <si>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</si>
  <si>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</si>
  <si>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</si>
  <si>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</si>
  <si>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</si>
  <si>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Numbers meaningless after 2/5</t>
  </si>
  <si>
    <t>AU border closed 9pm 20/3</t>
  </si>
  <si>
    <t>SA, WA, NT borders closed 24/3</t>
  </si>
  <si>
    <t>QLD border closed 25/3</t>
  </si>
  <si>
    <t>Projected numbers recovered at 2 wks from infection</t>
  </si>
  <si>
    <t>Projected Mortality at 5 wks from infection (death 2 - 8 wks from symptom onset.  2 wks + (8 - 2 wks)/2 = 5 wks)</t>
  </si>
  <si>
    <t>Projected Cumulative Mortality Count (future projection)</t>
  </si>
  <si>
    <t>wk 1</t>
  </si>
  <si>
    <t>wk 2</t>
  </si>
  <si>
    <t>wk 3</t>
  </si>
  <si>
    <t>wk 4</t>
  </si>
  <si>
    <t>wk 5</t>
  </si>
  <si>
    <t>wk 7</t>
  </si>
  <si>
    <t>wk 8</t>
  </si>
  <si>
    <t>wk 6</t>
  </si>
  <si>
    <t>wk 9</t>
  </si>
  <si>
    <t>Assumes that infection period lasts for 6 weeks, for many people it can be over within 2 weeks, for others including those requiring hospitalisation, it can be up to 8 weeks</t>
  </si>
  <si>
    <t>Actual Recovered (reporting of numbers inconsistent)</t>
  </si>
  <si>
    <t>Five Weeks</t>
  </si>
  <si>
    <t>Tas border closed 19/3</t>
  </si>
  <si>
    <t>First death 1/3</t>
  </si>
  <si>
    <t>First infections in AU 5 wks earlier (25/1)</t>
  </si>
  <si>
    <t>wk 10</t>
  </si>
  <si>
    <t>wk 11</t>
  </si>
  <si>
    <t>wk 12</t>
  </si>
  <si>
    <t>wk 13</t>
  </si>
  <si>
    <t>wk 14</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</si>
  <si>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</si>
  <si>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</si>
  <si>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</si>
  <si>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</si>
  <si>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</si>
  <si>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</si>
  <si>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</si>
  <si>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</si>
  <si>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</si>
  <si>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Detected Infections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</si>
  <si>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</si>
  <si>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</si>
  <si>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</si>
  <si>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</si>
  <si>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</si>
  <si>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</si>
  <si>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</si>
  <si>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</si>
  <si>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</si>
  <si>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</si>
  <si>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</si>
  <si>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</si>
  <si>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</si>
  <si>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(likely to be higher as time progresses, in Feb the CFR was around 2.3%)</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</si>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</sst>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C09]#,##0.00;[Red]&quot;-&quot;[$$-C09]#,##0.00"/>
  </numFmts>
  <fonts count="9"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6" fontId="0" fillId="0" borderId="0" xfId="0" applyNumberFormat="1"/>
    <xf numFmtId="165" fontId="0" fillId="0" borderId="0" xfId="0" applyNumberFormat="1" applyBorder="1"/>
    <xf numFmtId="3" fontId="0" fillId="3" borderId="9" xfId="0" applyNumberFormat="1" applyFill="1" applyBorder="1"/>
    <xf numFmtId="3" fontId="0" fillId="0" borderId="9" xfId="0" applyNumberFormat="1" applyBorder="1"/>
    <xf numFmtId="0" fontId="0" fillId="0" borderId="5" xfId="0" applyBorder="1"/>
    <xf numFmtId="164" fontId="0" fillId="0" borderId="8" xfId="0" applyNumberFormat="1" applyBorder="1"/>
    <xf numFmtId="0" fontId="0" fillId="0" borderId="8" xfId="0" applyBorder="1"/>
    <xf numFmtId="3" fontId="0" fillId="0" borderId="11" xfId="0" applyNumberFormat="1"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0" fillId="9" borderId="7" xfId="0"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166" fontId="0" fillId="9" borderId="7" xfId="0" applyNumberFormat="1" applyFill="1" applyBorder="1"/>
    <xf numFmtId="3" fontId="0" fillId="0" borderId="2" xfId="0" applyNumberFormat="1" applyBorder="1"/>
    <xf numFmtId="164" fontId="0" fillId="9" borderId="6" xfId="0" applyNumberFormat="1" applyFill="1" applyBorder="1"/>
    <xf numFmtId="167" fontId="0" fillId="0" borderId="3" xfId="0" applyNumberFormat="1" applyBorder="1"/>
    <xf numFmtId="167" fontId="0" fillId="0" borderId="0" xfId="0" applyNumberFormat="1" applyBorder="1"/>
    <xf numFmtId="0" fontId="0" fillId="7" borderId="1" xfId="0" applyFill="1" applyBorder="1"/>
    <xf numFmtId="0" fontId="0" fillId="7" borderId="7" xfId="0" applyFill="1" applyBorder="1"/>
    <xf numFmtId="3" fontId="0" fillId="7" borderId="7" xfId="0" applyNumberFormat="1" applyFill="1" applyBorder="1"/>
    <xf numFmtId="3" fontId="0" fillId="7" borderId="2" xfId="0" applyNumberFormat="1" applyFill="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16" fontId="0" fillId="0" borderId="14" xfId="0" applyNumberFormat="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9" fontId="0" fillId="4" borderId="4" xfId="0" applyNumberFormat="1" applyFill="1" applyBorder="1"/>
    <xf numFmtId="3" fontId="5" fillId="9" borderId="15" xfId="1" applyNumberFormat="1" applyFill="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16" fontId="0" fillId="0" borderId="12" xfId="0" applyNumberFormat="1" applyBorder="1"/>
    <xf numFmtId="9" fontId="0" fillId="0" borderId="10" xfId="0" applyNumberFormat="1" applyBorder="1"/>
    <xf numFmtId="16" fontId="0" fillId="4" borderId="13" xfId="0" applyNumberFormat="1" applyFill="1" applyBorder="1"/>
    <xf numFmtId="3" fontId="0" fillId="9" borderId="3" xfId="0" applyNumberFormat="1" applyFill="1" applyBorder="1"/>
    <xf numFmtId="16" fontId="0" fillId="4" borderId="14" xfId="0" applyNumberFormat="1" applyFill="1" applyBorder="1"/>
    <xf numFmtId="16" fontId="0" fillId="0" borderId="15" xfId="0" applyNumberFormat="1" applyBorder="1"/>
    <xf numFmtId="3" fontId="0" fillId="5" borderId="4" xfId="0" applyNumberFormat="1" applyFill="1" applyBorder="1"/>
    <xf numFmtId="164" fontId="0" fillId="5" borderId="3" xfId="0" applyNumberFormat="1" applyFill="1" applyBorder="1"/>
    <xf numFmtId="16" fontId="0" fillId="10" borderId="14" xfId="0" applyNumberFormat="1" applyFill="1" applyBorder="1"/>
    <xf numFmtId="3" fontId="0" fillId="4" borderId="3" xfId="0" applyNumberFormat="1" applyFill="1" applyBorder="1"/>
    <xf numFmtId="3" fontId="0" fillId="4" borderId="0" xfId="0" applyNumberFormat="1" applyFill="1" applyBorder="1"/>
    <xf numFmtId="3" fontId="0" fillId="0" borderId="10" xfId="0" applyNumberFormat="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0" fontId="0" fillId="8" borderId="7" xfId="0" applyFill="1" applyBorder="1"/>
    <xf numFmtId="3" fontId="0" fillId="8" borderId="0" xfId="0" applyNumberFormat="1" applyFill="1" applyBorder="1"/>
    <xf numFmtId="3" fontId="0" fillId="8" borderId="3" xfId="0" applyNumberFormat="1" applyFill="1" applyBorder="1"/>
    <xf numFmtId="3" fontId="0" fillId="9" borderId="7" xfId="0" applyNumberFormat="1" applyFill="1" applyBorder="1"/>
    <xf numFmtId="3" fontId="0" fillId="9" borderId="2" xfId="0" applyNumberFormat="1" applyFill="1" applyBorder="1"/>
    <xf numFmtId="0" fontId="0" fillId="4" borderId="1" xfId="0" applyFill="1" applyBorder="1"/>
    <xf numFmtId="0" fontId="0" fillId="4" borderId="7" xfId="0" applyFill="1" applyBorder="1"/>
    <xf numFmtId="3" fontId="0" fillId="5" borderId="0" xfId="0" applyNumberFormat="1"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8" borderId="10" xfId="0" applyNumberFormat="1" applyFill="1" applyBorder="1"/>
    <xf numFmtId="3" fontId="0" fillId="2" borderId="9"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7" borderId="1" xfId="0" applyNumberFormat="1" applyFill="1" applyBorder="1"/>
    <xf numFmtId="3" fontId="0" fillId="4" borderId="1" xfId="0" applyNumberFormat="1" applyFill="1" applyBorder="1"/>
    <xf numFmtId="3" fontId="0" fillId="6" borderId="13" xfId="0" applyNumberFormat="1" applyFill="1" applyBorder="1"/>
    <xf numFmtId="3" fontId="0" fillId="9" borderId="1" xfId="0" applyNumberFormat="1" applyFill="1" applyBorder="1"/>
    <xf numFmtId="0" fontId="0" fillId="0" borderId="12" xfId="0" applyBorder="1"/>
    <xf numFmtId="0" fontId="0" fillId="0" borderId="9" xfId="0" applyBorder="1"/>
    <xf numFmtId="3" fontId="0" fillId="3" borderId="10" xfId="0" applyNumberFormat="1" applyFill="1" applyBorder="1"/>
    <xf numFmtId="10" fontId="0" fillId="0" borderId="10" xfId="0" applyNumberFormat="1" applyBorder="1"/>
    <xf numFmtId="3" fontId="0" fillId="0" borderId="10" xfId="0" applyNumberFormat="1" applyFill="1" applyBorder="1"/>
    <xf numFmtId="165" fontId="0" fillId="0" borderId="3" xfId="0" applyNumberFormat="1" applyBorder="1"/>
    <xf numFmtId="165" fontId="0" fillId="0" borderId="4" xfId="0" applyNumberFormat="1" applyBorder="1"/>
    <xf numFmtId="3" fontId="0" fillId="8" borderId="4" xfId="0" applyNumberFormat="1" applyFill="1" applyBorder="1"/>
    <xf numFmtId="3" fontId="0" fillId="2" borderId="2" xfId="0" applyNumberFormat="1" applyFill="1" applyBorder="1"/>
    <xf numFmtId="16" fontId="0" fillId="10" borderId="13" xfId="0" applyNumberFormat="1" applyFill="1" applyBorder="1"/>
    <xf numFmtId="3" fontId="0" fillId="0" borderId="13" xfId="0" applyNumberFormat="1" applyFill="1" applyBorder="1" applyAlignment="1">
      <alignment horizontal="center"/>
    </xf>
    <xf numFmtId="3" fontId="0" fillId="0" borderId="15" xfId="0" applyNumberForma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3" fontId="0" fillId="4" borderId="13" xfId="0" applyNumberFormat="1" applyFill="1" applyBorder="1" applyAlignment="1">
      <alignment horizontal="center"/>
    </xf>
    <xf numFmtId="3" fontId="0" fillId="4" borderId="14" xfId="0" applyNumberFormat="1" applyFill="1" applyBorder="1" applyAlignment="1">
      <alignment horizontal="center"/>
    </xf>
    <xf numFmtId="3" fontId="0" fillId="4" borderId="15" xfId="0" applyNumberFormat="1" applyFill="1" applyBorder="1" applyAlignment="1">
      <alignment horizontal="center"/>
    </xf>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14" xfId="0" applyNumberFormat="1" applyFill="1" applyBorder="1" applyAlignment="1">
      <alignment horizontal="center"/>
    </xf>
    <xf numFmtId="0" fontId="5" fillId="0" borderId="0" xfId="1"/>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4" fontId="0" fillId="0" borderId="13" xfId="0" applyNumberFormat="1" applyBorder="1"/>
    <xf numFmtId="14" fontId="0" fillId="0" borderId="14" xfId="0" applyNumberFormat="1" applyBorder="1"/>
    <xf numFmtId="14" fontId="0" fillId="0" borderId="15" xfId="0" applyNumberFormat="1" applyBorder="1"/>
    <xf numFmtId="9" fontId="0" fillId="0" borderId="0" xfId="0" applyNumberFormat="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0" fontId="0" fillId="12" borderId="11" xfId="0" applyFill="1" applyBorder="1"/>
    <xf numFmtId="3" fontId="0" fillId="11" borderId="2" xfId="0" applyNumberFormat="1" applyFill="1" applyBorder="1"/>
    <xf numFmtId="3" fontId="0" fillId="0" borderId="4" xfId="0" applyNumberFormat="1" applyFill="1" applyBorder="1"/>
    <xf numFmtId="3" fontId="0" fillId="0" borderId="8" xfId="0" applyNumberFormat="1" applyFill="1" applyBorder="1"/>
    <xf numFmtId="3" fontId="0" fillId="0" borderId="6" xfId="0" applyNumberFormat="1" applyFill="1" applyBorder="1"/>
    <xf numFmtId="0" fontId="0" fillId="6" borderId="3" xfId="0" applyFill="1" applyBorder="1"/>
    <xf numFmtId="0" fontId="0" fillId="6" borderId="0" xfId="0" applyFill="1" applyBorder="1"/>
    <xf numFmtId="0" fontId="0" fillId="6" borderId="4" xfId="0"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 fontId="0" fillId="0" borderId="0" xfId="0" applyNumberFormat="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Projections!$A$16</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numCache>
            </c:numRef>
          </c:val>
          <c:smooth val="0"/>
          <c:extLst>
            <c:ext xmlns:c16="http://schemas.microsoft.com/office/drawing/2014/chart" uri="{C3380CC4-5D6E-409C-BE32-E72D297353CC}">
              <c16:uniqueId val="{00000003-5231-4BE2-97ED-54F0C3DB105C}"/>
            </c:ext>
          </c:extLst>
        </c:ser>
        <c:ser>
          <c:idx val="2"/>
          <c:order val="1"/>
          <c:tx>
            <c:strRef>
              <c:f>Projections!$A$17</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35835.625</c:v>
                </c:pt>
                <c:pt idx="14">
                  <c:v>71671.25</c:v>
                </c:pt>
                <c:pt idx="15">
                  <c:v>143342.5</c:v>
                </c:pt>
                <c:pt idx="16">
                  <c:v>286685</c:v>
                </c:pt>
                <c:pt idx="17">
                  <c:v>573370</c:v>
                </c:pt>
                <c:pt idx="18">
                  <c:v>1146740</c:v>
                </c:pt>
                <c:pt idx="19">
                  <c:v>2293480</c:v>
                </c:pt>
              </c:numCache>
            </c:numRef>
          </c:val>
          <c:smooth val="0"/>
          <c:extLst>
            <c:ext xmlns:c16="http://schemas.microsoft.com/office/drawing/2014/chart" uri="{C3380CC4-5D6E-409C-BE32-E72D297353CC}">
              <c16:uniqueId val="{00000002-9381-4A4E-BB43-DCD8EC2F4E00}"/>
            </c:ext>
          </c:extLst>
        </c:ser>
        <c:ser>
          <c:idx val="0"/>
          <c:order val="2"/>
          <c:tx>
            <c:strRef>
              <c:f>Projections!$A$18</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0-9381-4A4E-BB43-DCD8EC2F4E00}"/>
            </c:ext>
          </c:extLst>
        </c:ser>
        <c:ser>
          <c:idx val="4"/>
          <c:order val="3"/>
          <c:tx>
            <c:strRef>
              <c:f>Projections!$A$19</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Projections!$G$19:$AA$19</c15:sqref>
                  </c15:fullRef>
                </c:ext>
              </c:extLst>
              <c:f>Projections!$G$19:$Z$19</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9381-4A4E-BB43-DCD8EC2F4E00}"/>
            </c:ext>
          </c:extLst>
        </c:ser>
        <c:ser>
          <c:idx val="1"/>
          <c:order val="4"/>
          <c:tx>
            <c:strRef>
              <c:f>Projections!$A$20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Projections!$G$20:$AA$20</c15:sqref>
                  </c15:fullRef>
                </c:ext>
              </c:extLst>
              <c:f>Projections!$G$20:$Z$20</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0-FE50-482D-905D-7C3B099138E4}"/>
            </c:ext>
          </c:extLst>
        </c:ser>
        <c:ser>
          <c:idx val="3"/>
          <c:order val="1"/>
          <c:tx>
            <c:strRef>
              <c:f>Projections!$A$32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1-FE50-482D-905D-7C3B099138E4}"/>
            </c:ext>
          </c:extLst>
        </c:ser>
        <c:ser>
          <c:idx val="5"/>
          <c:order val="2"/>
          <c:tx>
            <c:strRef>
              <c:f>Projections!$A$34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2-FE50-482D-905D-7C3B099138E4}"/>
            </c:ext>
          </c:extLst>
        </c:ser>
        <c:ser>
          <c:idx val="7"/>
          <c:order val="3"/>
          <c:tx>
            <c:strRef>
              <c:f>Projections!$A$36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3-FE50-482D-905D-7C3B099138E4}"/>
            </c:ext>
          </c:extLst>
        </c:ser>
        <c:ser>
          <c:idx val="9"/>
          <c:order val="4"/>
          <c:tx>
            <c:strRef>
              <c:f>Projections!$A$38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4-FE50-482D-905D-7C3B099138E4}"/>
            </c:ext>
          </c:extLst>
        </c:ser>
        <c:ser>
          <c:idx val="11"/>
          <c:order val="5"/>
          <c:tx>
            <c:strRef>
              <c:f>Projections!$A$40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5-FE50-482D-905D-7C3B099138E4}"/>
            </c:ext>
          </c:extLst>
        </c:ser>
        <c:ser>
          <c:idx val="13"/>
          <c:order val="6"/>
          <c:tx>
            <c:strRef>
              <c:f>Projections!$A$42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6-FE50-482D-905D-7C3B099138E4}"/>
            </c:ext>
          </c:extLst>
        </c:ser>
        <c:ser>
          <c:idx val="15"/>
          <c:order val="7"/>
          <c:tx>
            <c:strRef>
              <c:f>Projections!$A$44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7-FE50-482D-905D-7C3B099138E4}"/>
            </c:ext>
          </c:extLst>
        </c:ser>
        <c:ser>
          <c:idx val="17"/>
          <c:order val="8"/>
          <c:tx>
            <c:strRef>
              <c:f>Projections!$A$46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Projections!$A$57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Projections!$A$63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Projections!$A$53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Projections!$A$55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Projections!$A$61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Projections!$A$57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Projections!$A$53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Projections!$A$55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Projections!$A$61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Projections!$A$12</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Projections!$G$12:$AA$12</c15:sqref>
                  </c15:fullRef>
                </c:ext>
              </c:extLst>
              <c:f>Projections!$G$12:$N$12</c:f>
              <c:numCache>
                <c:formatCode>#,##0</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0-9DE3-43B6-B60B-9B4AA4851702}"/>
            </c:ext>
          </c:extLst>
        </c:ser>
        <c:ser>
          <c:idx val="1"/>
          <c:order val="1"/>
          <c:tx>
            <c:strRef>
              <c:f>Projections!$A$24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Projections!$G$24:$AA$24</c15:sqref>
                  </c15:fullRef>
                </c:ext>
              </c:extLst>
              <c:f>Projections!$G$24:$N$24</c:f>
              <c:numCache>
                <c:formatCode>General</c:formatCode>
                <c:ptCount val="8"/>
                <c:pt idx="0">
                  <c:v>32</c:v>
                </c:pt>
                <c:pt idx="1">
                  <c:v>63</c:v>
                </c:pt>
                <c:pt idx="2" formatCode="#,##0">
                  <c:v>112</c:v>
                </c:pt>
                <c:pt idx="3" formatCode="#,##0">
                  <c:v>249</c:v>
                </c:pt>
                <c:pt idx="4" formatCode="#,##0">
                  <c:v>567</c:v>
                </c:pt>
                <c:pt idx="5" formatCode="#,##0">
                  <c:v>1073</c:v>
                </c:pt>
                <c:pt idx="6" formatCode="#,##0">
                  <c:v>2051</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Projections!$G$20:$AA$20</c15:sqref>
                  </c15:fullRef>
                </c:ext>
              </c:extLst>
              <c:f>Projections!$G$20:$N$20</c:f>
              <c:numCache>
                <c:formatCode>#,##0</c:formatCode>
                <c:ptCount val="8"/>
                <c:pt idx="0">
                  <c:v>0.71875</c:v>
                </c:pt>
                <c:pt idx="1">
                  <c:v>1.4375</c:v>
                </c:pt>
                <c:pt idx="2">
                  <c:v>2.875</c:v>
                </c:pt>
                <c:pt idx="3">
                  <c:v>5.75</c:v>
                </c:pt>
                <c:pt idx="4">
                  <c:v>11.5</c:v>
                </c:pt>
                <c:pt idx="5">
                  <c:v>23</c:v>
                </c:pt>
                <c:pt idx="6">
                  <c:v>46</c:v>
                </c:pt>
                <c:pt idx="7">
                  <c:v>92</c:v>
                </c:pt>
              </c:numCache>
            </c:numRef>
          </c:val>
          <c:smooth val="0"/>
          <c:extLst>
            <c:ext xmlns:c16="http://schemas.microsoft.com/office/drawing/2014/chart" uri="{C3380CC4-5D6E-409C-BE32-E72D297353CC}">
              <c16:uniqueId val="{00000000-FE1B-4946-A476-7952C5C71231}"/>
            </c:ext>
          </c:extLst>
        </c:ser>
        <c:ser>
          <c:idx val="1"/>
          <c:order val="1"/>
          <c:tx>
            <c:strRef>
              <c:f>Projections!$A$26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Projections!$G$26:$AA$26</c15:sqref>
                  </c15:fullRef>
                </c:ext>
              </c:extLst>
              <c:f>Projections!$G$26:$N$26</c:f>
              <c:numCache>
                <c:formatCode>General</c:formatCode>
                <c:ptCount val="8"/>
                <c:pt idx="0">
                  <c:v>1</c:v>
                </c:pt>
                <c:pt idx="1">
                  <c:v>2</c:v>
                </c:pt>
                <c:pt idx="2" formatCode="#,##0">
                  <c:v>3</c:v>
                </c:pt>
                <c:pt idx="3" formatCode="#,##0">
                  <c:v>5</c:v>
                </c:pt>
                <c:pt idx="4" formatCode="#,##0">
                  <c:v>6</c:v>
                </c:pt>
                <c:pt idx="5" formatCode="#,##0">
                  <c:v>7</c:v>
                </c:pt>
                <c:pt idx="6" formatCode="#,##0">
                  <c:v>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04B6-450D-AD81-6BF382C059D1}"/>
            </c:ext>
          </c:extLst>
        </c:ser>
        <c:ser>
          <c:idx val="2"/>
          <c:order val="1"/>
          <c:tx>
            <c:strRef>
              <c:f>Projections!$A$32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2-04B6-450D-AD81-6BF382C059D1}"/>
            </c:ext>
          </c:extLst>
        </c:ser>
        <c:ser>
          <c:idx val="4"/>
          <c:order val="2"/>
          <c:tx>
            <c:strRef>
              <c:f>Projections!$A$34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4-04B6-450D-AD81-6BF382C059D1}"/>
            </c:ext>
          </c:extLst>
        </c:ser>
        <c:ser>
          <c:idx val="6"/>
          <c:order val="3"/>
          <c:tx>
            <c:strRef>
              <c:f>Projections!$A$36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6-04B6-450D-AD81-6BF382C059D1}"/>
            </c:ext>
          </c:extLst>
        </c:ser>
        <c:ser>
          <c:idx val="8"/>
          <c:order val="4"/>
          <c:tx>
            <c:strRef>
              <c:f>Projections!$A$38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8-04B6-450D-AD81-6BF382C059D1}"/>
            </c:ext>
          </c:extLst>
        </c:ser>
        <c:ser>
          <c:idx val="10"/>
          <c:order val="5"/>
          <c:tx>
            <c:strRef>
              <c:f>Projections!$A$40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A-04B6-450D-AD81-6BF382C059D1}"/>
            </c:ext>
          </c:extLst>
        </c:ser>
        <c:ser>
          <c:idx val="12"/>
          <c:order val="6"/>
          <c:tx>
            <c:strRef>
              <c:f>Projections!$A$42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C-04B6-450D-AD81-6BF382C059D1}"/>
            </c:ext>
          </c:extLst>
        </c:ser>
        <c:ser>
          <c:idx val="14"/>
          <c:order val="7"/>
          <c:tx>
            <c:strRef>
              <c:f>Projections!$A$44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E-04B6-450D-AD81-6BF382C059D1}"/>
            </c:ext>
          </c:extLst>
        </c:ser>
        <c:ser>
          <c:idx val="16"/>
          <c:order val="8"/>
          <c:tx>
            <c:strRef>
              <c:f>Projections!$A$46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1-EBAD-48A5-9277-83F388186C0C}"/>
            </c:ext>
          </c:extLst>
        </c:ser>
        <c:ser>
          <c:idx val="3"/>
          <c:order val="1"/>
          <c:tx>
            <c:strRef>
              <c:f>Projections!$A$32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3-EBAD-48A5-9277-83F388186C0C}"/>
            </c:ext>
          </c:extLst>
        </c:ser>
        <c:ser>
          <c:idx val="5"/>
          <c:order val="2"/>
          <c:tx>
            <c:strRef>
              <c:f>Projections!$A$34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5-EBAD-48A5-9277-83F388186C0C}"/>
            </c:ext>
          </c:extLst>
        </c:ser>
        <c:ser>
          <c:idx val="7"/>
          <c:order val="3"/>
          <c:tx>
            <c:strRef>
              <c:f>Projections!$A$36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7-EBAD-48A5-9277-83F388186C0C}"/>
            </c:ext>
          </c:extLst>
        </c:ser>
        <c:ser>
          <c:idx val="9"/>
          <c:order val="4"/>
          <c:tx>
            <c:strRef>
              <c:f>Projections!$A$38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9-EBAD-48A5-9277-83F388186C0C}"/>
            </c:ext>
          </c:extLst>
        </c:ser>
        <c:ser>
          <c:idx val="11"/>
          <c:order val="5"/>
          <c:tx>
            <c:strRef>
              <c:f>Projections!$A$40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B-EBAD-48A5-9277-83F388186C0C}"/>
            </c:ext>
          </c:extLst>
        </c:ser>
        <c:ser>
          <c:idx val="13"/>
          <c:order val="6"/>
          <c:tx>
            <c:strRef>
              <c:f>Projections!$A$42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D-EBAD-48A5-9277-83F388186C0C}"/>
            </c:ext>
          </c:extLst>
        </c:ser>
        <c:ser>
          <c:idx val="15"/>
          <c:order val="7"/>
          <c:tx>
            <c:strRef>
              <c:f>Projections!$A$44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F-EBAD-48A5-9277-83F388186C0C}"/>
            </c:ext>
          </c:extLst>
        </c:ser>
        <c:ser>
          <c:idx val="17"/>
          <c:order val="8"/>
          <c:tx>
            <c:strRef>
              <c:f>Projections!$A$46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Projections!$A$57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Projections!$A$63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Projections!$A$53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Projections!$A$55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Projections!$A$61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Projections!$A$57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Projections!$A$53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Projections!$A$55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Projections!$A$61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Projections!$A$12</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Projections!$G$12:$AA$12</c15:sqref>
                  </c15:fullRef>
                </c:ext>
              </c:extLst>
              <c:f>Projections!$G$12:$N$12</c:f>
              <c:numCache>
                <c:formatCode>#,##0</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4-8BCC-427B-903C-670C749E04E9}"/>
            </c:ext>
          </c:extLst>
        </c:ser>
        <c:ser>
          <c:idx val="1"/>
          <c:order val="1"/>
          <c:tx>
            <c:strRef>
              <c:f>Projections!$A$24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Projections!$G$24:$AA$24</c15:sqref>
                  </c15:fullRef>
                </c:ext>
              </c:extLst>
              <c:f>Projections!$G$24:$N$24</c:f>
              <c:numCache>
                <c:formatCode>General</c:formatCode>
                <c:ptCount val="8"/>
                <c:pt idx="0">
                  <c:v>32</c:v>
                </c:pt>
                <c:pt idx="1">
                  <c:v>63</c:v>
                </c:pt>
                <c:pt idx="2" formatCode="#,##0">
                  <c:v>112</c:v>
                </c:pt>
                <c:pt idx="3" formatCode="#,##0">
                  <c:v>249</c:v>
                </c:pt>
                <c:pt idx="4" formatCode="#,##0">
                  <c:v>567</c:v>
                </c:pt>
                <c:pt idx="5" formatCode="#,##0">
                  <c:v>1073</c:v>
                </c:pt>
                <c:pt idx="6" formatCode="#,##0">
                  <c:v>2051</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Projections!$G$20:$AA$20</c15:sqref>
                  </c15:fullRef>
                </c:ext>
              </c:extLst>
              <c:f>Projections!$G$20:$N$20</c:f>
              <c:numCache>
                <c:formatCode>#,##0</c:formatCode>
                <c:ptCount val="8"/>
                <c:pt idx="0">
                  <c:v>0.71875</c:v>
                </c:pt>
                <c:pt idx="1">
                  <c:v>1.4375</c:v>
                </c:pt>
                <c:pt idx="2">
                  <c:v>2.875</c:v>
                </c:pt>
                <c:pt idx="3">
                  <c:v>5.75</c:v>
                </c:pt>
                <c:pt idx="4">
                  <c:v>11.5</c:v>
                </c:pt>
                <c:pt idx="5">
                  <c:v>23</c:v>
                </c:pt>
                <c:pt idx="6">
                  <c:v>46</c:v>
                </c:pt>
                <c:pt idx="7">
                  <c:v>92</c:v>
                </c:pt>
              </c:numCache>
            </c:numRef>
          </c:val>
          <c:smooth val="0"/>
          <c:extLst>
            <c:ext xmlns:c16="http://schemas.microsoft.com/office/drawing/2014/chart" uri="{C3380CC4-5D6E-409C-BE32-E72D297353CC}">
              <c16:uniqueId val="{00000000-50BE-40C1-B679-81AF0BCE3FCD}"/>
            </c:ext>
          </c:extLst>
        </c:ser>
        <c:ser>
          <c:idx val="1"/>
          <c:order val="1"/>
          <c:tx>
            <c:strRef>
              <c:f>Projections!$A$26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Projections!$G$11:$N$11</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Projections!$G$26:$AA$26</c15:sqref>
                  </c15:fullRef>
                </c:ext>
              </c:extLst>
              <c:f>Projections!$G$26:$N$26</c:f>
              <c:numCache>
                <c:formatCode>General</c:formatCode>
                <c:ptCount val="8"/>
                <c:pt idx="0">
                  <c:v>1</c:v>
                </c:pt>
                <c:pt idx="1">
                  <c:v>2</c:v>
                </c:pt>
                <c:pt idx="2" formatCode="#,##0">
                  <c:v>3</c:v>
                </c:pt>
                <c:pt idx="3" formatCode="#,##0">
                  <c:v>5</c:v>
                </c:pt>
                <c:pt idx="4" formatCode="#,##0">
                  <c:v>6</c:v>
                </c:pt>
                <c:pt idx="5" formatCode="#,##0">
                  <c:v>7</c:v>
                </c:pt>
                <c:pt idx="6" formatCode="#,##0">
                  <c:v>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Projections!$A$16</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numCache>
            </c:numRef>
          </c:val>
          <c:smooth val="0"/>
          <c:extLst>
            <c:ext xmlns:c16="http://schemas.microsoft.com/office/drawing/2014/chart" uri="{C3380CC4-5D6E-409C-BE32-E72D297353CC}">
              <c16:uniqueId val="{00000000-A3C2-4B4C-996C-CDB1A252886F}"/>
            </c:ext>
          </c:extLst>
        </c:ser>
        <c:ser>
          <c:idx val="2"/>
          <c:order val="1"/>
          <c:tx>
            <c:strRef>
              <c:f>Projections!$A$17</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35835.625</c:v>
                </c:pt>
                <c:pt idx="14">
                  <c:v>71671.25</c:v>
                </c:pt>
                <c:pt idx="15">
                  <c:v>143342.5</c:v>
                </c:pt>
                <c:pt idx="16">
                  <c:v>286685</c:v>
                </c:pt>
                <c:pt idx="17">
                  <c:v>573370</c:v>
                </c:pt>
                <c:pt idx="18">
                  <c:v>1146740</c:v>
                </c:pt>
                <c:pt idx="19">
                  <c:v>2293480</c:v>
                </c:pt>
              </c:numCache>
            </c:numRef>
          </c:val>
          <c:smooth val="0"/>
          <c:extLst>
            <c:ext xmlns:c16="http://schemas.microsoft.com/office/drawing/2014/chart" uri="{C3380CC4-5D6E-409C-BE32-E72D297353CC}">
              <c16:uniqueId val="{00000001-A3C2-4B4C-996C-CDB1A252886F}"/>
            </c:ext>
          </c:extLst>
        </c:ser>
        <c:ser>
          <c:idx val="0"/>
          <c:order val="2"/>
          <c:tx>
            <c:strRef>
              <c:f>Projections!$A$18</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2-A3C2-4B4C-996C-CDB1A252886F}"/>
            </c:ext>
          </c:extLst>
        </c:ser>
        <c:ser>
          <c:idx val="4"/>
          <c:order val="3"/>
          <c:tx>
            <c:strRef>
              <c:f>Projections!$A$19</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Projections!$G$19:$AA$19</c15:sqref>
                  </c15:fullRef>
                </c:ext>
              </c:extLst>
              <c:f>Projections!$G$19:$Z$19</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A3C2-4B4C-996C-CDB1A252886F}"/>
            </c:ext>
          </c:extLst>
        </c:ser>
        <c:ser>
          <c:idx val="1"/>
          <c:order val="4"/>
          <c:tx>
            <c:strRef>
              <c:f>Projections!$A$20</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Projections!$G$20:$AA$20</c15:sqref>
                  </c15:fullRef>
                </c:ext>
              </c:extLst>
              <c:f>Projections!$G$20:$Z$20</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7972-43AB-83E8-C2C99B4277B0}"/>
            </c:ext>
          </c:extLst>
        </c:ser>
        <c:ser>
          <c:idx val="2"/>
          <c:order val="1"/>
          <c:tx>
            <c:strRef>
              <c:f>Projections!$A$32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1-7972-43AB-83E8-C2C99B4277B0}"/>
            </c:ext>
          </c:extLst>
        </c:ser>
        <c:ser>
          <c:idx val="4"/>
          <c:order val="2"/>
          <c:tx>
            <c:strRef>
              <c:f>Projections!$A$34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2-7972-43AB-83E8-C2C99B4277B0}"/>
            </c:ext>
          </c:extLst>
        </c:ser>
        <c:ser>
          <c:idx val="6"/>
          <c:order val="3"/>
          <c:tx>
            <c:strRef>
              <c:f>Projections!$A$36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3-7972-43AB-83E8-C2C99B4277B0}"/>
            </c:ext>
          </c:extLst>
        </c:ser>
        <c:ser>
          <c:idx val="8"/>
          <c:order val="4"/>
          <c:tx>
            <c:strRef>
              <c:f>Projections!$A$38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4-7972-43AB-83E8-C2C99B4277B0}"/>
            </c:ext>
          </c:extLst>
        </c:ser>
        <c:ser>
          <c:idx val="10"/>
          <c:order val="5"/>
          <c:tx>
            <c:strRef>
              <c:f>Projections!$A$40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5-7972-43AB-83E8-C2C99B4277B0}"/>
            </c:ext>
          </c:extLst>
        </c:ser>
        <c:ser>
          <c:idx val="12"/>
          <c:order val="6"/>
          <c:tx>
            <c:strRef>
              <c:f>Projections!$A$42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6-7972-43AB-83E8-C2C99B4277B0}"/>
            </c:ext>
          </c:extLst>
        </c:ser>
        <c:ser>
          <c:idx val="14"/>
          <c:order val="7"/>
          <c:tx>
            <c:strRef>
              <c:f>Projections!$A$44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7-7972-43AB-83E8-C2C99B4277B0}"/>
            </c:ext>
          </c:extLst>
        </c:ser>
        <c:ser>
          <c:idx val="16"/>
          <c:order val="8"/>
          <c:tx>
            <c:strRef>
              <c:f>Projections!$A$46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Projections!$G$11:$AA$11</c15:sqref>
                  </c15:fullRef>
                </c:ext>
              </c:extLst>
              <c:f>Projections!$G$11:$Z$11</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28</xdr:col>
      <xdr:colOff>9526</xdr:colOff>
      <xdr:row>0</xdr:row>
      <xdr:rowOff>180975</xdr:rowOff>
    </xdr:from>
    <xdr:to>
      <xdr:col>39</xdr:col>
      <xdr:colOff>600075</xdr:colOff>
      <xdr:row>19</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736455</xdr:colOff>
      <xdr:row>56</xdr:row>
      <xdr:rowOff>5814</xdr:rowOff>
    </xdr:from>
    <xdr:to>
      <xdr:col>40</xdr:col>
      <xdr:colOff>19050</xdr:colOff>
      <xdr:row>79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3031</xdr:colOff>
      <xdr:row>80</xdr:row>
      <xdr:rowOff>10576</xdr:rowOff>
    </xdr:from>
    <xdr:to>
      <xdr:col>40</xdr:col>
      <xdr:colOff>28575</xdr:colOff>
      <xdr:row>96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741217</xdr:colOff>
      <xdr:row>97</xdr:row>
      <xdr:rowOff>182025</xdr:rowOff>
    </xdr:from>
    <xdr:to>
      <xdr:col>40</xdr:col>
      <xdr:colOff>38099</xdr:colOff>
      <xdr:row>113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741219</xdr:colOff>
      <xdr:row>115</xdr:row>
      <xdr:rowOff>10575</xdr:rowOff>
    </xdr:from>
    <xdr:to>
      <xdr:col>40</xdr:col>
      <xdr:colOff>19050</xdr:colOff>
      <xdr:row>134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738187</xdr:colOff>
      <xdr:row>22</xdr:row>
      <xdr:rowOff>4762</xdr:rowOff>
    </xdr:from>
    <xdr:to>
      <xdr:col>40</xdr:col>
      <xdr:colOff>19050</xdr:colOff>
      <xdr:row>38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740228</xdr:colOff>
      <xdr:row>39</xdr:row>
      <xdr:rowOff>2721</xdr:rowOff>
    </xdr:from>
    <xdr:to>
      <xdr:col>39</xdr:col>
      <xdr:colOff>590550</xdr:colOff>
      <xdr:row>54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1</xdr:colOff>
      <xdr:row>0</xdr:row>
      <xdr:rowOff>180975</xdr:rowOff>
    </xdr:from>
    <xdr:to>
      <xdr:col>53</xdr:col>
      <xdr:colOff>161925</xdr:colOff>
      <xdr:row>19</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607867</xdr:colOff>
      <xdr:row>55</xdr:row>
      <xdr:rowOff>177264</xdr:rowOff>
    </xdr:from>
    <xdr:to>
      <xdr:col>53</xdr:col>
      <xdr:colOff>209550</xdr:colOff>
      <xdr:row>78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598343</xdr:colOff>
      <xdr:row>80</xdr:row>
      <xdr:rowOff>1051</xdr:rowOff>
    </xdr:from>
    <xdr:to>
      <xdr:col>53</xdr:col>
      <xdr:colOff>200025</xdr:colOff>
      <xdr:row>96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41</xdr:col>
      <xdr:colOff>3029</xdr:colOff>
      <xdr:row>97</xdr:row>
      <xdr:rowOff>182025</xdr:rowOff>
    </xdr:from>
    <xdr:to>
      <xdr:col>53</xdr:col>
      <xdr:colOff>219074</xdr:colOff>
      <xdr:row>113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22081</xdr:colOff>
      <xdr:row>115</xdr:row>
      <xdr:rowOff>10575</xdr:rowOff>
    </xdr:from>
    <xdr:to>
      <xdr:col>53</xdr:col>
      <xdr:colOff>228600</xdr:colOff>
      <xdr:row>134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40</xdr:col>
      <xdr:colOff>600074</xdr:colOff>
      <xdr:row>22</xdr:row>
      <xdr:rowOff>14287</xdr:rowOff>
    </xdr:from>
    <xdr:to>
      <xdr:col>53</xdr:col>
      <xdr:colOff>200025</xdr:colOff>
      <xdr:row>38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40</xdr:col>
      <xdr:colOff>606878</xdr:colOff>
      <xdr:row>39</xdr:row>
      <xdr:rowOff>2721</xdr:rowOff>
    </xdr:from>
    <xdr:to>
      <xdr:col>53</xdr:col>
      <xdr:colOff>161925</xdr:colOff>
      <xdr:row>54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1.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33"/>
  <sheetViews>
    <sheetView workbookViewId="0">
      <selection activeCell="D38" sqref="D38"/>
    </sheetView>
  </sheetViews>
  <sheetFormatPr defaultRowHeight="15" x14ac:dyDescent="0.25"/>
  <cols>
    <col min="1" max="1" width="22.5703125" bestFit="1" customWidth="1"/>
    <col min="2" max="2" width="12"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190</v>
      </c>
    </row>
    <row r="3" spans="2:2" x14ac:dyDescent="0.25">
      <c r="B3" t="s">
        <v>157</v>
      </c>
    </row>
    <row r="4" spans="2:2" x14ac:dyDescent="0.25">
      <c r="B4" t="s">
        <v>179</v>
      </c>
    </row>
    <row r="5" spans="2:2" x14ac:dyDescent="0.25">
      <c r="B5" t="s">
        <v>191</v>
      </c>
    </row>
    <row r="6" spans="2:2" x14ac:dyDescent="0.25">
      <c r="B6" t="s">
        <v>192</v>
      </c>
    </row>
    <row r="7" spans="2:2" x14ac:dyDescent="0.25">
      <c r="B7" t="s">
        <v>160</v>
      </c>
    </row>
    <row r="12" spans="2:2" x14ac:dyDescent="0.25">
      <c r="B12" t="s">
        <v>200</v>
      </c>
    </row>
    <row r="13" spans="2:2" x14ac:dyDescent="0.25">
      <c r="B13" t="s">
        <v>214</v>
      </c>
    </row>
    <row r="14" spans="2:2" x14ac:dyDescent="0.25">
      <c r="B14" t="s">
        <v>216</v>
      </c>
    </row>
    <row r="15" spans="2:2" x14ac:dyDescent="0.25">
      <c r="B15" t="s">
        <v>215</v>
      </c>
    </row>
    <row r="17" spans="1:43" x14ac:dyDescent="0.25">
      <c r="A17" t="s">
        <v>199</v>
      </c>
      <c r="B17" s="192">
        <f>AP22/C27</f>
        <v>28.571428571428569</v>
      </c>
      <c r="C17" s="193"/>
      <c r="D17" s="194"/>
      <c r="E17" s="182">
        <f>B17*2</f>
        <v>57.142857142857139</v>
      </c>
      <c r="F17" s="193"/>
      <c r="G17" s="182"/>
      <c r="H17" s="178">
        <f>E17*2</f>
        <v>114.28571428571428</v>
      </c>
      <c r="I17" s="176"/>
      <c r="J17" s="177"/>
      <c r="K17" s="178">
        <f>H17*2</f>
        <v>228.57142857142856</v>
      </c>
      <c r="L17" s="176"/>
      <c r="M17" s="177"/>
      <c r="N17" s="178">
        <f>K17*2</f>
        <v>457.14285714285711</v>
      </c>
      <c r="O17" s="176"/>
      <c r="P17" s="177"/>
      <c r="Q17" s="178">
        <f>N17*2</f>
        <v>914.28571428571422</v>
      </c>
      <c r="R17" s="176"/>
      <c r="S17" s="177"/>
      <c r="T17" s="178">
        <f>Q17*2</f>
        <v>1828.5714285714284</v>
      </c>
      <c r="U17" s="176"/>
      <c r="V17" s="177"/>
      <c r="W17" s="178">
        <f>T17*2</f>
        <v>3657.1428571428569</v>
      </c>
      <c r="X17" s="176"/>
      <c r="Y17" s="177"/>
      <c r="Z17" s="178">
        <f>W17*2</f>
        <v>7314.2857142857138</v>
      </c>
      <c r="AA17" s="176"/>
      <c r="AB17" s="177"/>
      <c r="AC17" s="178">
        <f>Z17*2</f>
        <v>14628.571428571428</v>
      </c>
      <c r="AD17" s="176"/>
      <c r="AE17" s="177"/>
      <c r="AF17" s="178">
        <f>AC17*2</f>
        <v>29257.142857142855</v>
      </c>
      <c r="AG17" s="176"/>
      <c r="AH17" s="177"/>
      <c r="AI17" s="178">
        <f>AF17*2</f>
        <v>58514.28571428571</v>
      </c>
      <c r="AJ17" s="176"/>
      <c r="AK17" s="177"/>
      <c r="AL17" s="178">
        <f>AI17*2</f>
        <v>117028.57142857142</v>
      </c>
      <c r="AM17" s="176"/>
      <c r="AN17" s="177"/>
      <c r="AO17" s="178">
        <f>AL17*2</f>
        <v>234057.14285714284</v>
      </c>
      <c r="AP17" s="182"/>
      <c r="AQ17" t="s">
        <v>143</v>
      </c>
    </row>
    <row r="18" spans="1:43" s="96" customFormat="1" x14ac:dyDescent="0.25">
      <c r="A18" s="96" t="s">
        <v>201</v>
      </c>
      <c r="B18" s="143"/>
      <c r="C18" s="195"/>
      <c r="D18" s="195"/>
      <c r="E18" s="195"/>
      <c r="F18" s="195"/>
      <c r="G18" s="47"/>
      <c r="H18" s="63">
        <f>B17*$E$29</f>
        <v>23.142857142857142</v>
      </c>
      <c r="I18" s="63"/>
      <c r="J18" s="63"/>
      <c r="K18" s="63">
        <f>E17*$E$29</f>
        <v>46.285714285714285</v>
      </c>
      <c r="L18" s="63"/>
      <c r="M18" s="63"/>
      <c r="N18" s="63">
        <f>H17*$E$29</f>
        <v>92.571428571428569</v>
      </c>
      <c r="O18" s="63"/>
      <c r="P18" s="63"/>
      <c r="Q18" s="63">
        <f>K17*$E$29</f>
        <v>185.14285714285714</v>
      </c>
      <c r="R18" s="63"/>
      <c r="S18" s="63"/>
      <c r="T18" s="63">
        <f>N17*$E$29</f>
        <v>370.28571428571428</v>
      </c>
      <c r="U18" s="63"/>
      <c r="V18" s="63"/>
      <c r="W18" s="63">
        <f>Q17*$E$29</f>
        <v>740.57142857142856</v>
      </c>
      <c r="X18" s="63"/>
      <c r="Y18" s="63"/>
      <c r="Z18" s="63">
        <f>T17*$E$29</f>
        <v>1481.1428571428571</v>
      </c>
      <c r="AA18" s="63"/>
      <c r="AB18" s="63"/>
      <c r="AC18" s="63">
        <f>W17*$E$29</f>
        <v>2962.2857142857142</v>
      </c>
      <c r="AD18" s="63"/>
      <c r="AE18" s="63"/>
      <c r="AF18" s="63">
        <f>Z17*$E$29</f>
        <v>5924.5714285714284</v>
      </c>
      <c r="AG18" s="63"/>
      <c r="AH18" s="63"/>
      <c r="AI18" s="63">
        <f>AC17*$E$29</f>
        <v>11849.142857142857</v>
      </c>
      <c r="AJ18" s="63"/>
      <c r="AK18" s="63"/>
      <c r="AL18" s="63">
        <f>AF17*$E$29</f>
        <v>23698.285714285714</v>
      </c>
      <c r="AM18" s="63"/>
      <c r="AN18" s="63"/>
      <c r="AO18" s="63">
        <f>AI17*$E$29</f>
        <v>47396.571428571428</v>
      </c>
      <c r="AP18" s="183"/>
      <c r="AQ18" s="96" t="s">
        <v>201</v>
      </c>
    </row>
    <row r="19" spans="1:43" s="96" customFormat="1" x14ac:dyDescent="0.25">
      <c r="A19" s="96" t="s">
        <v>202</v>
      </c>
      <c r="B19" s="119"/>
      <c r="C19" s="120"/>
      <c r="D19" s="120"/>
      <c r="E19" s="120"/>
      <c r="F19" s="120"/>
      <c r="G19" s="124"/>
      <c r="H19" s="63">
        <f>B17*$E$30</f>
        <v>4</v>
      </c>
      <c r="I19" s="63"/>
      <c r="J19" s="63"/>
      <c r="K19" s="63">
        <f>E17*$E$30</f>
        <v>8</v>
      </c>
      <c r="L19" s="63"/>
      <c r="M19" s="63"/>
      <c r="N19" s="63">
        <f>H17*$E$30</f>
        <v>16</v>
      </c>
      <c r="O19" s="63"/>
      <c r="P19" s="63"/>
      <c r="Q19" s="63">
        <f>K17*$E$30</f>
        <v>32</v>
      </c>
      <c r="R19" s="63"/>
      <c r="S19" s="63"/>
      <c r="T19" s="63">
        <f>N17*$E$30</f>
        <v>64</v>
      </c>
      <c r="U19" s="63"/>
      <c r="V19" s="63"/>
      <c r="W19" s="63">
        <f>Q17*$E$30</f>
        <v>128</v>
      </c>
      <c r="X19" s="63"/>
      <c r="Y19" s="63"/>
      <c r="Z19" s="63">
        <f>T17*$E$30</f>
        <v>256</v>
      </c>
      <c r="AA19" s="63"/>
      <c r="AB19" s="63"/>
      <c r="AC19" s="63">
        <f>W17*$E$30</f>
        <v>512</v>
      </c>
      <c r="AD19" s="63"/>
      <c r="AE19" s="63"/>
      <c r="AF19" s="63">
        <f>Z17*$E$30</f>
        <v>1024</v>
      </c>
      <c r="AG19" s="63"/>
      <c r="AH19" s="63"/>
      <c r="AI19" s="63">
        <f>AC17*$E$30</f>
        <v>2048</v>
      </c>
      <c r="AJ19" s="63"/>
      <c r="AK19" s="63"/>
      <c r="AL19" s="63">
        <f>AF17*$E$30</f>
        <v>4096</v>
      </c>
      <c r="AM19" s="63"/>
      <c r="AN19" s="63"/>
      <c r="AO19" s="63">
        <f>AI17*$E$30</f>
        <v>8192</v>
      </c>
      <c r="AP19" s="183"/>
      <c r="AQ19" s="96" t="s">
        <v>202</v>
      </c>
    </row>
    <row r="20" spans="1:43" s="96" customFormat="1" x14ac:dyDescent="0.25">
      <c r="A20" s="65" t="s">
        <v>203</v>
      </c>
      <c r="B20" s="119"/>
      <c r="C20" s="120"/>
      <c r="D20" s="120"/>
      <c r="E20" s="120"/>
      <c r="F20" s="120"/>
      <c r="G20" s="124"/>
      <c r="H20" s="184">
        <f>B17*$E$31</f>
        <v>1.4285714285714286</v>
      </c>
      <c r="I20" s="184"/>
      <c r="J20" s="184"/>
      <c r="K20" s="184">
        <f>E17*$E$31</f>
        <v>2.8571428571428572</v>
      </c>
      <c r="L20" s="184"/>
      <c r="M20" s="184"/>
      <c r="N20" s="184">
        <f>H17*$E$31</f>
        <v>5.7142857142857144</v>
      </c>
      <c r="O20" s="184"/>
      <c r="P20" s="184"/>
      <c r="Q20" s="184">
        <f>K17*$E$31</f>
        <v>11.428571428571429</v>
      </c>
      <c r="R20" s="184"/>
      <c r="S20" s="184"/>
      <c r="T20" s="184">
        <f>N17*$E$31</f>
        <v>22.857142857142858</v>
      </c>
      <c r="U20" s="184"/>
      <c r="V20" s="184"/>
      <c r="W20" s="184">
        <f>Q17*$E$31</f>
        <v>45.714285714285715</v>
      </c>
      <c r="X20" s="184"/>
      <c r="Y20" s="184"/>
      <c r="Z20" s="184">
        <f>T17*$E$31</f>
        <v>91.428571428571431</v>
      </c>
      <c r="AA20" s="184"/>
      <c r="AB20" s="184"/>
      <c r="AC20" s="184">
        <f>W17*$E$31</f>
        <v>182.85714285714286</v>
      </c>
      <c r="AD20" s="184"/>
      <c r="AE20" s="184"/>
      <c r="AF20" s="184">
        <f>Z17*$E$31</f>
        <v>365.71428571428572</v>
      </c>
      <c r="AG20" s="184"/>
      <c r="AH20" s="184"/>
      <c r="AI20" s="184">
        <f>AC17*$E$31</f>
        <v>731.42857142857144</v>
      </c>
      <c r="AJ20" s="184"/>
      <c r="AK20" s="184"/>
      <c r="AL20" s="184">
        <f>AF17*$E$31</f>
        <v>1462.8571428571429</v>
      </c>
      <c r="AM20" s="184"/>
      <c r="AN20" s="184"/>
      <c r="AO20" s="184">
        <f>AI17*$E$31</f>
        <v>2925.7142857142858</v>
      </c>
      <c r="AP20" s="185"/>
      <c r="AQ20" s="65" t="s">
        <v>203</v>
      </c>
    </row>
    <row r="21" spans="1:43" s="96" customFormat="1" x14ac:dyDescent="0.25">
      <c r="A21" s="65" t="s">
        <v>208</v>
      </c>
      <c r="B21" s="140"/>
      <c r="C21" s="141"/>
      <c r="D21" s="141"/>
      <c r="E21" s="141"/>
      <c r="F21" s="141"/>
      <c r="G21" s="48"/>
      <c r="H21" s="196"/>
      <c r="I21" s="197"/>
      <c r="J21" s="197"/>
      <c r="K21" s="197"/>
      <c r="L21" s="197"/>
      <c r="M21" s="197"/>
      <c r="N21" s="197"/>
      <c r="O21" s="197"/>
      <c r="P21" s="197"/>
      <c r="Q21" s="197"/>
      <c r="R21" s="197"/>
      <c r="S21" s="197"/>
      <c r="T21" s="197"/>
      <c r="U21" s="198"/>
      <c r="V21" s="199">
        <f>H18</f>
        <v>23.142857142857142</v>
      </c>
      <c r="W21" s="199"/>
      <c r="X21" s="199"/>
      <c r="Y21" s="199">
        <f>K18</f>
        <v>46.285714285714285</v>
      </c>
      <c r="Z21" s="199"/>
      <c r="AA21" s="199"/>
      <c r="AB21" s="199">
        <f>N18</f>
        <v>92.571428571428569</v>
      </c>
      <c r="AC21" s="199"/>
      <c r="AD21" s="199"/>
      <c r="AE21" s="199">
        <f>Q18</f>
        <v>185.14285714285714</v>
      </c>
      <c r="AF21" s="199"/>
      <c r="AG21" s="199"/>
      <c r="AH21" s="199">
        <f>T18</f>
        <v>370.28571428571428</v>
      </c>
      <c r="AI21" s="199"/>
      <c r="AJ21" s="199"/>
      <c r="AK21" s="199">
        <f>W18</f>
        <v>740.57142857142856</v>
      </c>
      <c r="AL21" s="199"/>
      <c r="AM21" s="199"/>
      <c r="AN21" s="199">
        <f>Z18+H19+H20-AP22</f>
        <v>1485.5714285714284</v>
      </c>
      <c r="AO21" s="199"/>
      <c r="AP21" s="200"/>
      <c r="AQ21" s="65"/>
    </row>
    <row r="22" spans="1:43" x14ac:dyDescent="0.25">
      <c r="A22" s="65" t="s">
        <v>196</v>
      </c>
      <c r="B22" s="186"/>
      <c r="C22" s="187"/>
      <c r="D22" s="187"/>
      <c r="E22" s="187"/>
      <c r="F22" s="187"/>
      <c r="G22" s="188"/>
      <c r="H22" s="175"/>
      <c r="I22" s="175"/>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81">
        <v>1</v>
      </c>
      <c r="AQ22" s="65" t="s">
        <v>196</v>
      </c>
    </row>
    <row r="23" spans="1:43" x14ac:dyDescent="0.25">
      <c r="B23" s="171">
        <f t="shared" ref="B23:G23" ca="1" si="0">C23-1</f>
        <v>43875.753516550925</v>
      </c>
      <c r="C23" s="172">
        <f t="shared" ca="1" si="0"/>
        <v>43876.753516550925</v>
      </c>
      <c r="D23" s="172">
        <f t="shared" ca="1" si="0"/>
        <v>43877.753516550925</v>
      </c>
      <c r="E23" s="172">
        <f t="shared" ca="1" si="0"/>
        <v>43878.753516550925</v>
      </c>
      <c r="F23" s="172">
        <f t="shared" ca="1" si="0"/>
        <v>43879.753516550925</v>
      </c>
      <c r="G23" s="173">
        <f t="shared" ca="1" si="0"/>
        <v>43880.753516550925</v>
      </c>
      <c r="H23" s="172">
        <f ca="1">I23-1</f>
        <v>43881.753516550925</v>
      </c>
      <c r="I23" s="172">
        <f ca="1">J23-1</f>
        <v>43882.753516550925</v>
      </c>
      <c r="J23" s="172">
        <f ca="1">K23-1</f>
        <v>43883.753516550925</v>
      </c>
      <c r="K23" s="172">
        <f ca="1">L23-1</f>
        <v>43884.753516550925</v>
      </c>
      <c r="L23" s="172">
        <f ca="1">M23-1</f>
        <v>43885.753516550925</v>
      </c>
      <c r="M23" s="172">
        <f ca="1">N23-1</f>
        <v>43886.753516550925</v>
      </c>
      <c r="N23" s="173">
        <f ca="1">O23-1</f>
        <v>43887.753516550925</v>
      </c>
      <c r="O23" s="171">
        <f ca="1">P23-1</f>
        <v>43888.753516550925</v>
      </c>
      <c r="P23" s="172">
        <f ca="1">Q23-1</f>
        <v>43889.753516550925</v>
      </c>
      <c r="Q23" s="172">
        <f ca="1">R23-1</f>
        <v>43890.753516550925</v>
      </c>
      <c r="R23" s="172">
        <f ca="1">S23-1</f>
        <v>43891.753516550925</v>
      </c>
      <c r="S23" s="172">
        <f ca="1">T23-1</f>
        <v>43892.753516550925</v>
      </c>
      <c r="T23" s="172">
        <f ca="1">U23-1</f>
        <v>43893.753516550925</v>
      </c>
      <c r="U23" s="173">
        <f ca="1">V23-1</f>
        <v>43894.753516550925</v>
      </c>
      <c r="V23" s="171">
        <f t="shared" ref="V23:AN23" ca="1" si="1">W23-1</f>
        <v>43895.753516550925</v>
      </c>
      <c r="W23" s="172">
        <f t="shared" ca="1" si="1"/>
        <v>43896.753516550925</v>
      </c>
      <c r="X23" s="172">
        <f t="shared" ca="1" si="1"/>
        <v>43897.753516550925</v>
      </c>
      <c r="Y23" s="172">
        <f t="shared" ca="1" si="1"/>
        <v>43898.753516550925</v>
      </c>
      <c r="Z23" s="172">
        <f t="shared" ca="1" si="1"/>
        <v>43899.753516550925</v>
      </c>
      <c r="AA23" s="172">
        <f t="shared" ca="1" si="1"/>
        <v>43900.753516550925</v>
      </c>
      <c r="AB23" s="173">
        <f t="shared" ca="1" si="1"/>
        <v>43901.753516550925</v>
      </c>
      <c r="AC23" s="171">
        <f t="shared" ca="1" si="1"/>
        <v>43902.753516550925</v>
      </c>
      <c r="AD23" s="172">
        <f t="shared" ca="1" si="1"/>
        <v>43903.753516550925</v>
      </c>
      <c r="AE23" s="172">
        <f t="shared" ca="1" si="1"/>
        <v>43904.753516550925</v>
      </c>
      <c r="AF23" s="172">
        <f t="shared" ca="1" si="1"/>
        <v>43905.753516550925</v>
      </c>
      <c r="AG23" s="172">
        <f t="shared" ca="1" si="1"/>
        <v>43906.753516550925</v>
      </c>
      <c r="AH23" s="172">
        <f t="shared" ca="1" si="1"/>
        <v>43907.753516550925</v>
      </c>
      <c r="AI23" s="173">
        <f t="shared" ca="1" si="1"/>
        <v>43908.753516550925</v>
      </c>
      <c r="AJ23" s="171">
        <f t="shared" ca="1" si="1"/>
        <v>43909.753516550925</v>
      </c>
      <c r="AK23" s="172">
        <f t="shared" ca="1" si="1"/>
        <v>43910.753516550925</v>
      </c>
      <c r="AL23" s="172">
        <f t="shared" ca="1" si="1"/>
        <v>43911.753516550925</v>
      </c>
      <c r="AM23" s="172">
        <f t="shared" ca="1" si="1"/>
        <v>43912.753516550925</v>
      </c>
      <c r="AN23" s="172">
        <f t="shared" ca="1" si="1"/>
        <v>43913.753516550925</v>
      </c>
      <c r="AO23" s="172">
        <f ca="1">AP23-1</f>
        <v>43914.753516550925</v>
      </c>
      <c r="AP23" s="202">
        <f ca="1">NOW()</f>
        <v>43915.753516550925</v>
      </c>
    </row>
    <row r="24" spans="1:43" x14ac:dyDescent="0.25">
      <c r="B24" s="189" t="s">
        <v>194</v>
      </c>
      <c r="C24" s="190"/>
      <c r="D24" s="190"/>
      <c r="E24" s="190"/>
      <c r="F24" s="190"/>
      <c r="G24" s="191"/>
      <c r="H24" s="169" t="s">
        <v>170</v>
      </c>
      <c r="I24" s="169"/>
      <c r="J24" s="169"/>
      <c r="K24" s="169"/>
      <c r="L24" s="169"/>
      <c r="M24" s="169"/>
      <c r="N24" s="170"/>
      <c r="O24" s="168" t="s">
        <v>171</v>
      </c>
      <c r="P24" s="169"/>
      <c r="Q24" s="169"/>
      <c r="R24" s="169"/>
      <c r="S24" s="169"/>
      <c r="T24" s="169"/>
      <c r="U24" s="170"/>
      <c r="V24" s="168" t="s">
        <v>172</v>
      </c>
      <c r="W24" s="169"/>
      <c r="X24" s="169"/>
      <c r="Y24" s="169"/>
      <c r="Z24" s="169"/>
      <c r="AA24" s="169"/>
      <c r="AB24" s="170"/>
      <c r="AC24" s="168" t="s">
        <v>173</v>
      </c>
      <c r="AD24" s="169"/>
      <c r="AE24" s="169"/>
      <c r="AF24" s="169"/>
      <c r="AG24" s="169"/>
      <c r="AH24" s="169"/>
      <c r="AI24" s="170"/>
      <c r="AJ24" s="168" t="s">
        <v>174</v>
      </c>
      <c r="AK24" s="169"/>
      <c r="AL24" s="169"/>
      <c r="AM24" s="169"/>
      <c r="AN24" s="169"/>
      <c r="AO24" s="169"/>
      <c r="AP24" s="170"/>
    </row>
    <row r="25" spans="1:43" x14ac:dyDescent="0.25">
      <c r="B25" s="70" t="s">
        <v>207</v>
      </c>
      <c r="C25" s="179"/>
      <c r="D25" s="179"/>
      <c r="E25" s="179"/>
      <c r="F25" s="179"/>
      <c r="G25" s="180"/>
      <c r="H25" s="159" t="s">
        <v>193</v>
      </c>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60"/>
    </row>
    <row r="27" spans="1:43" x14ac:dyDescent="0.25">
      <c r="B27" s="167" t="s">
        <v>195</v>
      </c>
      <c r="C27" s="3">
        <v>3.5000000000000003E-2</v>
      </c>
      <c r="D27" t="s">
        <v>213</v>
      </c>
    </row>
    <row r="28" spans="1:43" x14ac:dyDescent="0.25">
      <c r="B28" t="s">
        <v>197</v>
      </c>
      <c r="E28">
        <v>3</v>
      </c>
      <c r="F28" t="s">
        <v>198</v>
      </c>
    </row>
    <row r="29" spans="1:43" x14ac:dyDescent="0.25">
      <c r="B29" t="s">
        <v>204</v>
      </c>
      <c r="E29" s="174">
        <v>0.81</v>
      </c>
    </row>
    <row r="30" spans="1:43" x14ac:dyDescent="0.25">
      <c r="B30" t="s">
        <v>205</v>
      </c>
      <c r="E30" s="174">
        <v>0.14000000000000001</v>
      </c>
    </row>
    <row r="31" spans="1:43" x14ac:dyDescent="0.25">
      <c r="B31" t="s">
        <v>206</v>
      </c>
      <c r="E31" s="174">
        <v>0.05</v>
      </c>
    </row>
    <row r="32" spans="1:43" x14ac:dyDescent="0.25">
      <c r="B32" t="s">
        <v>209</v>
      </c>
      <c r="E32" s="201">
        <v>2</v>
      </c>
      <c r="F32" t="s">
        <v>210</v>
      </c>
    </row>
    <row r="33" spans="2:7" x14ac:dyDescent="0.25">
      <c r="B33" t="s">
        <v>211</v>
      </c>
      <c r="C33" s="174"/>
      <c r="E33" s="201">
        <v>4</v>
      </c>
      <c r="F33" t="s">
        <v>210</v>
      </c>
      <c r="G33" t="s">
        <v>212</v>
      </c>
    </row>
  </sheetData>
  <mergeCells count="7">
    <mergeCell ref="H25:AP25"/>
    <mergeCell ref="AJ24:AP24"/>
    <mergeCell ref="AC24:AI24"/>
    <mergeCell ref="V24:AB24"/>
    <mergeCell ref="O24:U24"/>
    <mergeCell ref="H24:N24"/>
    <mergeCell ref="B24:G24"/>
  </mergeCells>
  <hyperlinks>
    <hyperlink ref="B27" r:id="rId1" location="the-current-case-fatality-rate-of-covid-19" xr:uid="{3E24F533-F49C-4C01-A293-AAE084A1C4BB}"/>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D66"/>
  <sheetViews>
    <sheetView tabSelected="1" zoomScaleNormal="100" workbookViewId="0">
      <selection activeCell="H3" sqref="H3"/>
    </sheetView>
  </sheetViews>
  <sheetFormatPr defaultRowHeight="15" x14ac:dyDescent="0.25"/>
  <cols>
    <col min="1" max="1" width="42" customWidth="1"/>
    <col min="2" max="2" width="16.7109375" bestFit="1" customWidth="1"/>
    <col min="3" max="3" width="10.7109375" bestFit="1" customWidth="1"/>
    <col min="4" max="4" width="13.5703125" bestFit="1" customWidth="1"/>
    <col min="5" max="6" width="9.28515625" bestFit="1" customWidth="1"/>
    <col min="7" max="7" width="11.140625" bestFit="1" customWidth="1"/>
    <col min="8" max="12" width="9.28515625" bestFit="1" customWidth="1"/>
    <col min="13" max="13" width="11.140625" bestFit="1" customWidth="1"/>
    <col min="14" max="16" width="9.28515625" bestFit="1" customWidth="1"/>
    <col min="17" max="17" width="10" customWidth="1"/>
    <col min="18" max="19" width="9.28515625" bestFit="1" customWidth="1"/>
    <col min="20" max="23" width="10.140625" bestFit="1" customWidth="1"/>
    <col min="24" max="24" width="11.140625" bestFit="1" customWidth="1"/>
    <col min="25" max="25" width="10" bestFit="1" customWidth="1"/>
    <col min="26" max="28" width="11.140625" bestFit="1" customWidth="1"/>
    <col min="29" max="29" width="12.140625" bestFit="1" customWidth="1"/>
  </cols>
  <sheetData>
    <row r="1" spans="1:30" x14ac:dyDescent="0.25">
      <c r="A1" s="70" t="s">
        <v>0</v>
      </c>
      <c r="B1" s="105">
        <v>25634000</v>
      </c>
      <c r="C1" t="s">
        <v>162</v>
      </c>
    </row>
    <row r="2" spans="1:30" x14ac:dyDescent="0.25">
      <c r="A2" s="16" t="s">
        <v>155</v>
      </c>
      <c r="B2" s="85">
        <v>2.6</v>
      </c>
      <c r="C2" s="86">
        <f>(B1/1000)*B2</f>
        <v>66648.400000000009</v>
      </c>
    </row>
    <row r="3" spans="1:30" x14ac:dyDescent="0.25">
      <c r="A3" s="59" t="s">
        <v>156</v>
      </c>
      <c r="B3" s="203">
        <v>7.4</v>
      </c>
      <c r="C3" s="82">
        <f>(B1/100000)*B3</f>
        <v>1896.9159999999999</v>
      </c>
    </row>
    <row r="4" spans="1:30" x14ac:dyDescent="0.25">
      <c r="A4" s="16" t="s">
        <v>201</v>
      </c>
      <c r="B4" s="204">
        <v>0.81</v>
      </c>
      <c r="C4" s="2"/>
    </row>
    <row r="5" spans="1:30" x14ac:dyDescent="0.25">
      <c r="A5" s="59" t="s">
        <v>138</v>
      </c>
      <c r="B5" s="205">
        <v>0.14000000000000001</v>
      </c>
      <c r="C5" s="2"/>
    </row>
    <row r="6" spans="1:30" x14ac:dyDescent="0.25">
      <c r="A6" s="54" t="s">
        <v>154</v>
      </c>
      <c r="B6" s="206">
        <v>0.05</v>
      </c>
      <c r="C6" s="2"/>
      <c r="K6" s="30"/>
      <c r="L6" s="30"/>
      <c r="M6" s="30"/>
      <c r="N6" s="30"/>
    </row>
    <row r="7" spans="1:30" x14ac:dyDescent="0.25">
      <c r="A7" s="54" t="s">
        <v>146</v>
      </c>
      <c r="B7" s="87">
        <v>2.3E-2</v>
      </c>
      <c r="C7" s="2"/>
      <c r="J7" s="30"/>
      <c r="K7" s="30"/>
      <c r="L7" s="16" t="s">
        <v>182</v>
      </c>
      <c r="M7" s="21"/>
      <c r="N7" s="17"/>
    </row>
    <row r="8" spans="1:30" x14ac:dyDescent="0.25">
      <c r="B8" s="50"/>
      <c r="C8" s="2"/>
      <c r="J8" s="30"/>
      <c r="K8" s="30"/>
      <c r="L8" s="59" t="s">
        <v>164</v>
      </c>
      <c r="M8" s="30"/>
      <c r="N8" s="31"/>
    </row>
    <row r="9" spans="1:30" x14ac:dyDescent="0.25">
      <c r="A9" s="30"/>
      <c r="B9" s="69" t="s">
        <v>161</v>
      </c>
      <c r="C9" s="22"/>
      <c r="D9" s="30"/>
      <c r="E9" s="30"/>
      <c r="F9" s="30"/>
      <c r="G9" s="30" t="s">
        <v>184</v>
      </c>
      <c r="H9" s="30"/>
      <c r="I9" s="30"/>
      <c r="J9" s="30"/>
      <c r="K9" s="30"/>
      <c r="L9" s="59"/>
      <c r="M9" s="30" t="s">
        <v>165</v>
      </c>
      <c r="N9" s="31"/>
      <c r="O9" s="30"/>
      <c r="P9" s="30"/>
      <c r="Q9" s="30"/>
      <c r="R9" s="30"/>
      <c r="S9" s="30"/>
      <c r="T9" s="30"/>
      <c r="U9" s="30"/>
      <c r="V9" s="30"/>
      <c r="W9" s="30"/>
      <c r="X9" s="30"/>
    </row>
    <row r="10" spans="1:30" x14ac:dyDescent="0.25">
      <c r="A10" s="73" t="s">
        <v>136</v>
      </c>
      <c r="B10" s="109">
        <v>43892</v>
      </c>
      <c r="C10" s="109">
        <v>43908</v>
      </c>
      <c r="D10" s="109"/>
      <c r="E10" s="109"/>
      <c r="F10" s="30"/>
      <c r="G10" s="65" t="s">
        <v>183</v>
      </c>
      <c r="H10" s="30"/>
      <c r="I10" s="30"/>
      <c r="J10" s="30"/>
      <c r="K10" s="30"/>
      <c r="L10" s="59"/>
      <c r="M10" s="30"/>
      <c r="N10" s="31" t="s">
        <v>166</v>
      </c>
      <c r="O10" s="30"/>
      <c r="P10" s="30"/>
      <c r="Q10" s="147" t="s">
        <v>181</v>
      </c>
      <c r="R10" s="30"/>
      <c r="S10" s="30"/>
      <c r="T10" s="146" t="s">
        <v>134</v>
      </c>
      <c r="U10" s="30"/>
      <c r="V10" s="30"/>
      <c r="W10" s="30"/>
      <c r="X10" s="30"/>
      <c r="Z10" t="s">
        <v>163</v>
      </c>
    </row>
    <row r="11" spans="1:30" x14ac:dyDescent="0.25">
      <c r="A11" s="16" t="s">
        <v>13</v>
      </c>
      <c r="B11" s="126">
        <v>4</v>
      </c>
      <c r="C11" s="74">
        <v>3</v>
      </c>
      <c r="D11" s="21"/>
      <c r="E11" s="21"/>
      <c r="F11" s="21"/>
      <c r="G11" s="112">
        <v>43892</v>
      </c>
      <c r="H11" s="114">
        <f t="shared" ref="H11:K11" si="0">G11+$B$11</f>
        <v>43896</v>
      </c>
      <c r="I11" s="114">
        <f t="shared" si="0"/>
        <v>43900</v>
      </c>
      <c r="J11" s="114">
        <f t="shared" si="0"/>
        <v>43904</v>
      </c>
      <c r="K11" s="114">
        <f t="shared" si="0"/>
        <v>43908</v>
      </c>
      <c r="L11" s="155">
        <f>K11+$C$11</f>
        <v>43911</v>
      </c>
      <c r="M11" s="118">
        <f t="shared" ref="M11:O11" si="1">L11+$C$11</f>
        <v>43914</v>
      </c>
      <c r="N11" s="115">
        <f t="shared" si="1"/>
        <v>43917</v>
      </c>
      <c r="O11" s="98">
        <f t="shared" si="1"/>
        <v>43920</v>
      </c>
      <c r="P11" s="115">
        <f t="shared" ref="P11:Q11" si="2">O11+$C$11</f>
        <v>43923</v>
      </c>
      <c r="Q11" s="110">
        <f t="shared" si="2"/>
        <v>43926</v>
      </c>
      <c r="R11" s="98">
        <f>Q11+$C$11</f>
        <v>43929</v>
      </c>
      <c r="S11" s="98">
        <f>R11+$C$11</f>
        <v>43932</v>
      </c>
      <c r="T11" s="110">
        <f t="shared" ref="T11:Z11" si="3">S11+$C$11</f>
        <v>43935</v>
      </c>
      <c r="U11" s="122">
        <f t="shared" si="3"/>
        <v>43938</v>
      </c>
      <c r="V11" s="122">
        <f t="shared" si="3"/>
        <v>43941</v>
      </c>
      <c r="W11" s="122">
        <f t="shared" si="3"/>
        <v>43944</v>
      </c>
      <c r="X11" s="122">
        <f t="shared" si="3"/>
        <v>43947</v>
      </c>
      <c r="Y11" s="122">
        <f t="shared" si="3"/>
        <v>43950</v>
      </c>
      <c r="Z11" s="122">
        <f t="shared" si="3"/>
        <v>43953</v>
      </c>
      <c r="AA11" s="123">
        <f>Z11+$C$11</f>
        <v>43956</v>
      </c>
      <c r="AB11" s="97"/>
      <c r="AC11" s="97"/>
      <c r="AD11" s="96"/>
    </row>
    <row r="12" spans="1:30" x14ac:dyDescent="0.25">
      <c r="A12" s="59" t="s">
        <v>141</v>
      </c>
      <c r="B12" s="30"/>
      <c r="C12" s="30"/>
      <c r="D12" s="30"/>
      <c r="E12" s="30"/>
      <c r="F12" s="30"/>
      <c r="G12" s="113">
        <v>31.25</v>
      </c>
      <c r="H12" s="35">
        <f>G12*2</f>
        <v>62.5</v>
      </c>
      <c r="I12" s="35">
        <f t="shared" ref="I12:W12" si="4">H12*2</f>
        <v>125</v>
      </c>
      <c r="J12" s="35">
        <f t="shared" si="4"/>
        <v>250</v>
      </c>
      <c r="K12" s="35">
        <f t="shared" si="4"/>
        <v>500</v>
      </c>
      <c r="L12" s="34">
        <f t="shared" si="4"/>
        <v>1000</v>
      </c>
      <c r="M12" s="35">
        <f t="shared" si="4"/>
        <v>2000</v>
      </c>
      <c r="N12" s="100">
        <f t="shared" si="4"/>
        <v>4000</v>
      </c>
      <c r="O12" s="35">
        <f t="shared" si="4"/>
        <v>8000</v>
      </c>
      <c r="P12" s="35">
        <f t="shared" ref="P12" si="5">O12*2</f>
        <v>16000</v>
      </c>
      <c r="Q12" s="148">
        <f t="shared" ref="Q12" si="6">P12*2</f>
        <v>32000</v>
      </c>
      <c r="R12" s="35">
        <f t="shared" ref="R12:S12" si="7">Q12*2</f>
        <v>64000</v>
      </c>
      <c r="S12" s="35">
        <f t="shared" si="7"/>
        <v>128000</v>
      </c>
      <c r="T12" s="52">
        <f t="shared" si="4"/>
        <v>256000</v>
      </c>
      <c r="U12" s="33">
        <f t="shared" si="4"/>
        <v>512000</v>
      </c>
      <c r="V12" s="33">
        <f t="shared" si="4"/>
        <v>1024000</v>
      </c>
      <c r="W12" s="33">
        <f t="shared" si="4"/>
        <v>2048000</v>
      </c>
      <c r="X12" s="33">
        <f t="shared" ref="X12" si="8">W12*2</f>
        <v>4096000</v>
      </c>
      <c r="Y12" s="33">
        <f t="shared" ref="Y12" si="9">X12*2</f>
        <v>8192000</v>
      </c>
      <c r="Z12" s="33">
        <f t="shared" ref="Z12" si="10">Y12*2</f>
        <v>16384000</v>
      </c>
      <c r="AA12" s="47">
        <f>B1</f>
        <v>25634000</v>
      </c>
      <c r="AB12" s="63"/>
      <c r="AC12" s="63"/>
      <c r="AD12" s="96"/>
    </row>
    <row r="13" spans="1:30" x14ac:dyDescent="0.25">
      <c r="A13" s="59" t="s">
        <v>12</v>
      </c>
      <c r="B13" s="30"/>
      <c r="C13" s="30"/>
      <c r="D13" s="30"/>
      <c r="E13" s="30"/>
      <c r="F13" s="30"/>
      <c r="G13" s="88">
        <f t="shared" ref="G13:W13" si="11">G12/$B$1</f>
        <v>1.2190840290239525E-6</v>
      </c>
      <c r="H13" s="89">
        <f t="shared" si="11"/>
        <v>2.438168058047905E-6</v>
      </c>
      <c r="I13" s="89">
        <f t="shared" si="11"/>
        <v>4.87633611609581E-6</v>
      </c>
      <c r="J13" s="51">
        <f t="shared" si="11"/>
        <v>9.7526722321916199E-6</v>
      </c>
      <c r="K13" s="51">
        <f t="shared" si="11"/>
        <v>1.950534446438324E-5</v>
      </c>
      <c r="L13" s="151">
        <f t="shared" si="11"/>
        <v>3.901068892876648E-5</v>
      </c>
      <c r="M13" s="51">
        <f t="shared" si="11"/>
        <v>7.8021377857532959E-5</v>
      </c>
      <c r="N13" s="152">
        <f t="shared" si="11"/>
        <v>1.5604275571506592E-4</v>
      </c>
      <c r="O13" s="28">
        <f t="shared" si="11"/>
        <v>3.1208551143013184E-4</v>
      </c>
      <c r="P13" s="28">
        <f t="shared" ref="P13:R13" si="12">P12/$B$1</f>
        <v>6.2417102286026367E-4</v>
      </c>
      <c r="Q13" s="149">
        <f t="shared" si="12"/>
        <v>1.2483420457205273E-3</v>
      </c>
      <c r="R13" s="28">
        <f t="shared" si="12"/>
        <v>2.4966840914410547E-3</v>
      </c>
      <c r="S13" s="29">
        <f t="shared" ref="S13" si="13">S12/$B$1</f>
        <v>4.9933681828821094E-3</v>
      </c>
      <c r="T13" s="111">
        <f t="shared" si="11"/>
        <v>9.9867363657642188E-3</v>
      </c>
      <c r="U13" s="103">
        <f t="shared" si="11"/>
        <v>1.9973472731528438E-2</v>
      </c>
      <c r="V13" s="103">
        <f t="shared" si="11"/>
        <v>3.9946945463056875E-2</v>
      </c>
      <c r="W13" s="103">
        <f t="shared" si="11"/>
        <v>7.989389092611375E-2</v>
      </c>
      <c r="X13" s="103">
        <f t="shared" ref="X13:AA13" si="14">X12/$B$1</f>
        <v>0.1597877818522275</v>
      </c>
      <c r="Y13" s="103">
        <f t="shared" si="14"/>
        <v>0.319575563704455</v>
      </c>
      <c r="Z13" s="103">
        <f t="shared" si="14"/>
        <v>0.63915112740891</v>
      </c>
      <c r="AA13" s="104">
        <f t="shared" si="14"/>
        <v>1</v>
      </c>
      <c r="AB13" s="39"/>
      <c r="AC13" s="39"/>
      <c r="AD13" s="96"/>
    </row>
    <row r="14" spans="1:30" x14ac:dyDescent="0.25">
      <c r="A14" s="59" t="s">
        <v>167</v>
      </c>
      <c r="B14" s="30"/>
      <c r="C14" s="30"/>
      <c r="D14" s="30"/>
      <c r="E14" s="30"/>
      <c r="F14" s="30"/>
      <c r="G14" s="119"/>
      <c r="H14" s="120"/>
      <c r="I14" s="120"/>
      <c r="J14" s="120"/>
      <c r="K14" s="127">
        <f>G12*$B$4</f>
        <v>25.3125</v>
      </c>
      <c r="L14" s="128">
        <f>H12*$B$4</f>
        <v>50.625</v>
      </c>
      <c r="M14" s="127">
        <f>I12*$B$4</f>
        <v>101.25</v>
      </c>
      <c r="N14" s="153">
        <f>J12*$B$4</f>
        <v>202.5</v>
      </c>
      <c r="O14" s="127">
        <f>K12*$B$4</f>
        <v>405</v>
      </c>
      <c r="P14" s="127">
        <f>L12*$B$4</f>
        <v>810</v>
      </c>
      <c r="Q14" s="137">
        <f>M12*$B$4</f>
        <v>1620</v>
      </c>
      <c r="R14" s="127">
        <f>N12*$B$4</f>
        <v>3240</v>
      </c>
      <c r="S14" s="127">
        <f>O12*$B$4</f>
        <v>6480</v>
      </c>
      <c r="T14" s="137">
        <f>(P12*$B$4)-((G12*(1-$B$4))-G20)</f>
        <v>12954.78125</v>
      </c>
      <c r="U14" s="127">
        <f>(Q12*$B$4)-((H12*(1-$B$4))-H20)</f>
        <v>25909.5625</v>
      </c>
      <c r="V14" s="127">
        <f>(R12*$B$4)-((I12*(1-$B$4))-I20)</f>
        <v>51819.125</v>
      </c>
      <c r="W14" s="127">
        <f t="shared" ref="W14:Z14" si="15">(S12*$B$4)-((J12*(1-$B$4))-J20)</f>
        <v>103638.25</v>
      </c>
      <c r="X14" s="127">
        <f t="shared" si="15"/>
        <v>207276.5</v>
      </c>
      <c r="Y14" s="127">
        <f t="shared" si="15"/>
        <v>414553</v>
      </c>
      <c r="Z14" s="127">
        <f t="shared" si="15"/>
        <v>829106</v>
      </c>
      <c r="AA14" s="124">
        <f t="shared" ref="U14:AA14" si="16">(W12*0.8)-((N12*0.2)-N20)</f>
        <v>1637692</v>
      </c>
      <c r="AB14" s="39"/>
      <c r="AC14" s="39"/>
      <c r="AD14" s="96"/>
    </row>
    <row r="15" spans="1:30" x14ac:dyDescent="0.25">
      <c r="A15" s="59" t="s">
        <v>148</v>
      </c>
      <c r="B15" s="30"/>
      <c r="C15" s="30"/>
      <c r="D15" s="30"/>
      <c r="E15" s="30"/>
      <c r="F15" s="30"/>
      <c r="G15" s="23">
        <f>G12</f>
        <v>31.25</v>
      </c>
      <c r="H15" s="24">
        <f>H12</f>
        <v>62.5</v>
      </c>
      <c r="I15" s="24">
        <f t="shared" ref="I15:J15" si="17">I12</f>
        <v>125</v>
      </c>
      <c r="J15" s="24">
        <f t="shared" si="17"/>
        <v>250</v>
      </c>
      <c r="K15" s="24">
        <f>K12-K14</f>
        <v>474.6875</v>
      </c>
      <c r="L15" s="23">
        <f t="shared" ref="L15:P15" si="18">L12-L14</f>
        <v>949.375</v>
      </c>
      <c r="M15" s="24">
        <f t="shared" si="18"/>
        <v>1898.75</v>
      </c>
      <c r="N15" s="82">
        <f t="shared" si="18"/>
        <v>3797.5</v>
      </c>
      <c r="O15" s="24">
        <f t="shared" si="18"/>
        <v>7595</v>
      </c>
      <c r="P15" s="24">
        <f t="shared" si="18"/>
        <v>15190</v>
      </c>
      <c r="Q15" s="57">
        <f>Q12-Q14-Q21</f>
        <v>30379.28125</v>
      </c>
      <c r="R15" s="24">
        <f t="shared" ref="R15:Z15" si="19">R12-R14-R21</f>
        <v>60758.5625</v>
      </c>
      <c r="S15" s="24">
        <f t="shared" si="19"/>
        <v>121517.125</v>
      </c>
      <c r="T15" s="57">
        <f t="shared" si="19"/>
        <v>243039.46875</v>
      </c>
      <c r="U15" s="24">
        <f t="shared" si="19"/>
        <v>486078.9375</v>
      </c>
      <c r="V15" s="24">
        <f t="shared" si="19"/>
        <v>972157.875</v>
      </c>
      <c r="W15" s="24">
        <f t="shared" si="19"/>
        <v>1944315.75</v>
      </c>
      <c r="X15" s="24">
        <f t="shared" si="19"/>
        <v>3888631.5</v>
      </c>
      <c r="Y15" s="24">
        <f t="shared" si="19"/>
        <v>7777263</v>
      </c>
      <c r="Z15" s="24">
        <f t="shared" si="19"/>
        <v>15554526</v>
      </c>
      <c r="AA15" s="48">
        <f t="shared" ref="AA15" si="20">AA12-AA14-N20</f>
        <v>23996216</v>
      </c>
      <c r="AB15" s="63"/>
      <c r="AC15" s="63"/>
      <c r="AD15" s="96"/>
    </row>
    <row r="16" spans="1:30" x14ac:dyDescent="0.25">
      <c r="A16" s="83" t="s">
        <v>152</v>
      </c>
      <c r="B16" s="21"/>
      <c r="C16" s="21"/>
      <c r="D16" s="21"/>
      <c r="E16" s="21"/>
      <c r="F16" s="17"/>
      <c r="G16" s="66">
        <f>G12*$B$5</f>
        <v>4.375</v>
      </c>
      <c r="H16" s="22">
        <f>H12*$B$5</f>
        <v>8.75</v>
      </c>
      <c r="I16" s="22">
        <f>I12*$B$5</f>
        <v>17.5</v>
      </c>
      <c r="J16" s="22">
        <f>J12*$B$5</f>
        <v>35</v>
      </c>
      <c r="K16" s="22">
        <f>K12*$B$5</f>
        <v>70</v>
      </c>
      <c r="L16" s="66">
        <f>L12*$B$5</f>
        <v>140</v>
      </c>
      <c r="M16" s="22">
        <f>M12*$B$5</f>
        <v>280</v>
      </c>
      <c r="N16" s="125">
        <f>N12*$B$5</f>
        <v>560</v>
      </c>
      <c r="O16" s="22">
        <f>O12*$B$5</f>
        <v>1120</v>
      </c>
      <c r="P16" s="22">
        <f>P12*$B$5</f>
        <v>2240</v>
      </c>
      <c r="Q16" s="121">
        <f>Q12*$B$5</f>
        <v>4480</v>
      </c>
      <c r="R16" s="22">
        <f>R12*$B$5</f>
        <v>8960</v>
      </c>
      <c r="S16" s="22">
        <f>S12*$B$5</f>
        <v>17920</v>
      </c>
      <c r="T16" s="53">
        <f>T12*$B$5</f>
        <v>35840</v>
      </c>
      <c r="U16" s="22">
        <f>U12*$B$5</f>
        <v>71680</v>
      </c>
      <c r="V16" s="22">
        <f>V12*$B$5</f>
        <v>143360</v>
      </c>
      <c r="W16" s="22">
        <f>W12*$B$5</f>
        <v>286720</v>
      </c>
      <c r="X16" s="22">
        <f>X12*$B$5</f>
        <v>573440</v>
      </c>
      <c r="Y16" s="22">
        <f>Y12*$B$5</f>
        <v>1146880</v>
      </c>
      <c r="Z16" s="22">
        <f>Z12*$B$5</f>
        <v>2293760</v>
      </c>
      <c r="AA16" s="124">
        <f>AA12*$B$5</f>
        <v>3588760.0000000005</v>
      </c>
      <c r="AB16" s="63"/>
      <c r="AC16" s="63"/>
      <c r="AD16" s="96"/>
    </row>
    <row r="17" spans="1:30" x14ac:dyDescent="0.25">
      <c r="A17" s="54" t="s">
        <v>137</v>
      </c>
      <c r="B17" s="55"/>
      <c r="C17" s="56"/>
      <c r="D17" s="56"/>
      <c r="E17" s="56"/>
      <c r="F17" s="84"/>
      <c r="G17" s="23">
        <f>G16</f>
        <v>4.375</v>
      </c>
      <c r="H17" s="24">
        <f>H16</f>
        <v>8.75</v>
      </c>
      <c r="I17" s="24">
        <f t="shared" ref="I17:O17" si="21">I16</f>
        <v>17.5</v>
      </c>
      <c r="J17" s="24">
        <f t="shared" si="21"/>
        <v>35</v>
      </c>
      <c r="K17" s="24">
        <f t="shared" si="21"/>
        <v>70</v>
      </c>
      <c r="L17" s="23">
        <f t="shared" si="21"/>
        <v>140</v>
      </c>
      <c r="M17" s="24">
        <f t="shared" si="21"/>
        <v>280</v>
      </c>
      <c r="N17" s="82">
        <f t="shared" si="21"/>
        <v>560</v>
      </c>
      <c r="O17" s="24">
        <f t="shared" si="21"/>
        <v>1120</v>
      </c>
      <c r="P17" s="24">
        <f t="shared" ref="P17:R17" si="22">P16</f>
        <v>2240</v>
      </c>
      <c r="Q17" s="57">
        <f t="shared" si="22"/>
        <v>4480</v>
      </c>
      <c r="R17" s="24">
        <f t="shared" si="22"/>
        <v>8960</v>
      </c>
      <c r="S17" s="24">
        <f t="shared" ref="S17" si="23">S16</f>
        <v>17920</v>
      </c>
      <c r="T17" s="57">
        <f>T16-G16</f>
        <v>35835.625</v>
      </c>
      <c r="U17" s="58">
        <f>U16-H16</f>
        <v>71671.25</v>
      </c>
      <c r="V17" s="24">
        <f>V16-I16</f>
        <v>143342.5</v>
      </c>
      <c r="W17" s="24">
        <f t="shared" ref="W17:Z17" si="24">W16-J16</f>
        <v>286685</v>
      </c>
      <c r="X17" s="24">
        <f t="shared" si="24"/>
        <v>573370</v>
      </c>
      <c r="Y17" s="24">
        <f t="shared" si="24"/>
        <v>1146740</v>
      </c>
      <c r="Z17" s="24">
        <f t="shared" si="24"/>
        <v>2293480</v>
      </c>
      <c r="AA17" s="48">
        <f>AA16-N16</f>
        <v>3588200.0000000005</v>
      </c>
      <c r="AB17" s="63"/>
      <c r="AC17" s="63"/>
      <c r="AD17" s="96"/>
    </row>
    <row r="18" spans="1:30" x14ac:dyDescent="0.25">
      <c r="A18" s="67" t="s">
        <v>153</v>
      </c>
      <c r="C18" s="21"/>
      <c r="D18" s="21"/>
      <c r="E18" s="21"/>
      <c r="F18" s="21"/>
      <c r="G18" s="25">
        <f t="shared" ref="G18:O18" si="25">G12*$B$6</f>
        <v>1.5625</v>
      </c>
      <c r="H18" s="26">
        <f t="shared" si="25"/>
        <v>3.125</v>
      </c>
      <c r="I18" s="26">
        <f t="shared" si="25"/>
        <v>6.25</v>
      </c>
      <c r="J18" s="26">
        <f t="shared" si="25"/>
        <v>12.5</v>
      </c>
      <c r="K18" s="26">
        <f t="shared" si="25"/>
        <v>25</v>
      </c>
      <c r="L18" s="25">
        <f t="shared" si="25"/>
        <v>50</v>
      </c>
      <c r="M18" s="26">
        <f t="shared" si="25"/>
        <v>100</v>
      </c>
      <c r="N18" s="86">
        <f t="shared" si="25"/>
        <v>200</v>
      </c>
      <c r="O18" s="26">
        <f t="shared" si="25"/>
        <v>400</v>
      </c>
      <c r="P18" s="26">
        <f t="shared" ref="P18:R18" si="26">P12*$B$6</f>
        <v>800</v>
      </c>
      <c r="Q18" s="53">
        <f t="shared" si="26"/>
        <v>1600</v>
      </c>
      <c r="R18" s="26">
        <f t="shared" si="26"/>
        <v>3200</v>
      </c>
      <c r="S18" s="26">
        <f t="shared" ref="S18" si="27">S12*$B$6</f>
        <v>6400</v>
      </c>
      <c r="T18" s="53">
        <f>T12*$B$6</f>
        <v>12800</v>
      </c>
      <c r="U18" s="26">
        <f>U12*$B$6</f>
        <v>25600</v>
      </c>
      <c r="V18" s="26">
        <f>V12*$B$6</f>
        <v>51200</v>
      </c>
      <c r="W18" s="26">
        <f t="shared" ref="W18:Z18" si="28">W12*$B$6</f>
        <v>102400</v>
      </c>
      <c r="X18" s="26">
        <f t="shared" si="28"/>
        <v>204800</v>
      </c>
      <c r="Y18" s="26">
        <f t="shared" si="28"/>
        <v>409600</v>
      </c>
      <c r="Z18" s="26">
        <f t="shared" si="28"/>
        <v>819200</v>
      </c>
      <c r="AA18" s="47">
        <f>AA12*$B$6</f>
        <v>1281700</v>
      </c>
      <c r="AB18" s="63"/>
      <c r="AC18" s="63"/>
      <c r="AD18" s="96"/>
    </row>
    <row r="19" spans="1:30" x14ac:dyDescent="0.25">
      <c r="A19" s="59" t="s">
        <v>133</v>
      </c>
      <c r="B19" s="29"/>
      <c r="C19" s="30"/>
      <c r="D19" s="30"/>
      <c r="E19" s="30"/>
      <c r="F19" s="30"/>
      <c r="G19" s="66">
        <f t="shared" ref="G19:O19" si="29">G18-G20</f>
        <v>0.84375</v>
      </c>
      <c r="H19" s="22">
        <f t="shared" si="29"/>
        <v>1.6875</v>
      </c>
      <c r="I19" s="22">
        <f t="shared" si="29"/>
        <v>3.375</v>
      </c>
      <c r="J19" s="22">
        <f t="shared" si="29"/>
        <v>6.75</v>
      </c>
      <c r="K19" s="22">
        <f t="shared" si="29"/>
        <v>13.5</v>
      </c>
      <c r="L19" s="66">
        <f t="shared" si="29"/>
        <v>27</v>
      </c>
      <c r="M19" s="22">
        <f t="shared" si="29"/>
        <v>54</v>
      </c>
      <c r="N19" s="125">
        <f t="shared" si="29"/>
        <v>108</v>
      </c>
      <c r="O19" s="63">
        <f t="shared" si="29"/>
        <v>216</v>
      </c>
      <c r="P19" s="63">
        <f t="shared" ref="P19:R19" si="30">P18-P20</f>
        <v>432</v>
      </c>
      <c r="Q19" s="150">
        <f t="shared" si="30"/>
        <v>864</v>
      </c>
      <c r="R19" s="133">
        <f t="shared" si="30"/>
        <v>1728</v>
      </c>
      <c r="S19" s="63">
        <f t="shared" ref="S19" si="31">S18-S20</f>
        <v>3456</v>
      </c>
      <c r="T19" s="121">
        <f>T18-T20-G19</f>
        <v>6911.15625</v>
      </c>
      <c r="U19" s="22">
        <f>U18-U20-H19</f>
        <v>13822.3125</v>
      </c>
      <c r="V19" s="22">
        <f>V18-V20-I19</f>
        <v>27644.625</v>
      </c>
      <c r="W19" s="22">
        <f t="shared" ref="W19:Z19" si="32">W18-W20-J19</f>
        <v>55289.25</v>
      </c>
      <c r="X19" s="22">
        <f t="shared" si="32"/>
        <v>110578.5</v>
      </c>
      <c r="Y19" s="22">
        <f t="shared" si="32"/>
        <v>221157</v>
      </c>
      <c r="Z19" s="22">
        <f t="shared" si="32"/>
        <v>442314</v>
      </c>
      <c r="AA19" s="124">
        <f>AA18-AA20-N19</f>
        <v>692010</v>
      </c>
      <c r="AB19" s="63"/>
      <c r="AC19" s="63"/>
      <c r="AD19" s="96"/>
    </row>
    <row r="20" spans="1:30" x14ac:dyDescent="0.25">
      <c r="A20" s="16" t="s">
        <v>169</v>
      </c>
      <c r="B20" s="134"/>
      <c r="C20" s="21"/>
      <c r="D20" s="21"/>
      <c r="E20" s="21"/>
      <c r="F20" s="21"/>
      <c r="G20" s="136">
        <f t="shared" ref="G20:O20" si="33">G12*$B$7</f>
        <v>0.71875</v>
      </c>
      <c r="H20" s="135">
        <f t="shared" si="33"/>
        <v>1.4375</v>
      </c>
      <c r="I20" s="135">
        <f t="shared" si="33"/>
        <v>2.875</v>
      </c>
      <c r="J20" s="135">
        <f t="shared" si="33"/>
        <v>5.75</v>
      </c>
      <c r="K20" s="135">
        <f t="shared" si="33"/>
        <v>11.5</v>
      </c>
      <c r="L20" s="136">
        <f t="shared" si="33"/>
        <v>23</v>
      </c>
      <c r="M20" s="135">
        <f t="shared" si="33"/>
        <v>46</v>
      </c>
      <c r="N20" s="154">
        <f t="shared" si="33"/>
        <v>92</v>
      </c>
      <c r="O20" s="135">
        <f t="shared" si="33"/>
        <v>184</v>
      </c>
      <c r="P20" s="135">
        <f t="shared" ref="P20:R20" si="34">P12*$B$7</f>
        <v>368</v>
      </c>
      <c r="Q20" s="138">
        <f t="shared" si="34"/>
        <v>736</v>
      </c>
      <c r="R20" s="135">
        <f t="shared" si="34"/>
        <v>1472</v>
      </c>
      <c r="S20" s="135">
        <f t="shared" ref="S20" si="35">S12*$B$7</f>
        <v>2944</v>
      </c>
      <c r="T20" s="138">
        <f>T12*$B$7</f>
        <v>5888</v>
      </c>
      <c r="U20" s="135">
        <f>U12*$B$7</f>
        <v>11776</v>
      </c>
      <c r="V20" s="135">
        <f>V12*$B$7</f>
        <v>23552</v>
      </c>
      <c r="W20" s="135">
        <f t="shared" ref="W20:Z20" si="36">W12*$B$7</f>
        <v>47104</v>
      </c>
      <c r="X20" s="135">
        <f t="shared" si="36"/>
        <v>94208</v>
      </c>
      <c r="Y20" s="135">
        <f t="shared" si="36"/>
        <v>188416</v>
      </c>
      <c r="Z20" s="135">
        <f t="shared" si="36"/>
        <v>376832</v>
      </c>
      <c r="AA20" s="47">
        <f>AA12*$B$7</f>
        <v>589582</v>
      </c>
      <c r="AB20" s="63"/>
      <c r="AC20" s="63"/>
      <c r="AD20" s="96"/>
    </row>
    <row r="21" spans="1:30" x14ac:dyDescent="0.25">
      <c r="A21" s="54" t="s">
        <v>168</v>
      </c>
      <c r="B21" s="55"/>
      <c r="C21" s="56"/>
      <c r="D21" s="56"/>
      <c r="E21" s="56"/>
      <c r="F21" s="56"/>
      <c r="G21" s="140"/>
      <c r="H21" s="141"/>
      <c r="I21" s="141"/>
      <c r="J21" s="141"/>
      <c r="K21" s="141"/>
      <c r="L21" s="140"/>
      <c r="M21" s="141"/>
      <c r="N21" s="48"/>
      <c r="O21" s="141"/>
      <c r="P21" s="141"/>
      <c r="Q21" s="139">
        <f>G12*$B$7</f>
        <v>0.71875</v>
      </c>
      <c r="R21" s="46">
        <f t="shared" ref="R21:AA21" si="37">H12*$B$7</f>
        <v>1.4375</v>
      </c>
      <c r="S21" s="46">
        <f t="shared" si="37"/>
        <v>2.875</v>
      </c>
      <c r="T21" s="139">
        <f t="shared" si="37"/>
        <v>5.75</v>
      </c>
      <c r="U21" s="46">
        <f t="shared" si="37"/>
        <v>11.5</v>
      </c>
      <c r="V21" s="46">
        <f t="shared" si="37"/>
        <v>23</v>
      </c>
      <c r="W21" s="46">
        <f t="shared" si="37"/>
        <v>46</v>
      </c>
      <c r="X21" s="46">
        <f t="shared" si="37"/>
        <v>92</v>
      </c>
      <c r="Y21" s="46">
        <f t="shared" si="37"/>
        <v>184</v>
      </c>
      <c r="Z21" s="46">
        <f t="shared" si="37"/>
        <v>368</v>
      </c>
      <c r="AA21" s="48">
        <f t="shared" si="37"/>
        <v>736</v>
      </c>
      <c r="AB21" s="63"/>
      <c r="AC21" s="63"/>
      <c r="AD21" s="96"/>
    </row>
    <row r="23" spans="1:30" x14ac:dyDescent="0.25">
      <c r="A23" s="73" t="s">
        <v>147</v>
      </c>
      <c r="B23" s="29"/>
      <c r="C23" s="30"/>
      <c r="D23" s="30"/>
      <c r="E23" s="30"/>
      <c r="F23" s="30"/>
      <c r="G23" s="161" t="s">
        <v>177</v>
      </c>
      <c r="H23" s="162"/>
      <c r="I23" s="163"/>
      <c r="J23" s="161" t="s">
        <v>175</v>
      </c>
      <c r="K23" s="163"/>
      <c r="L23" s="164" t="s">
        <v>176</v>
      </c>
      <c r="M23" s="165"/>
      <c r="N23" s="156" t="s">
        <v>178</v>
      </c>
      <c r="O23" s="157"/>
      <c r="P23" s="156" t="s">
        <v>185</v>
      </c>
      <c r="Q23" s="157"/>
      <c r="R23" s="156" t="s">
        <v>186</v>
      </c>
      <c r="S23" s="166"/>
      <c r="T23" s="157"/>
      <c r="U23" s="156" t="s">
        <v>187</v>
      </c>
      <c r="V23" s="157"/>
      <c r="W23" s="156" t="s">
        <v>188</v>
      </c>
      <c r="X23" s="157"/>
      <c r="Y23" s="158" t="s">
        <v>189</v>
      </c>
      <c r="Z23" s="159"/>
      <c r="AA23" s="160"/>
    </row>
    <row r="24" spans="1:30" x14ac:dyDescent="0.25">
      <c r="A24" s="16" t="s">
        <v>139</v>
      </c>
      <c r="B24" s="21"/>
      <c r="C24" s="21"/>
      <c r="D24" s="21"/>
      <c r="E24" s="21"/>
      <c r="F24" s="21"/>
      <c r="G24" s="90">
        <v>32</v>
      </c>
      <c r="H24" s="91">
        <v>63</v>
      </c>
      <c r="I24" s="93">
        <v>112</v>
      </c>
      <c r="J24" s="142">
        <v>249</v>
      </c>
      <c r="K24" s="93">
        <v>567</v>
      </c>
      <c r="L24" s="142">
        <v>1073</v>
      </c>
      <c r="M24" s="93">
        <v>2051</v>
      </c>
      <c r="N24" s="142"/>
      <c r="O24" s="93"/>
      <c r="P24" s="142"/>
      <c r="Q24" s="93"/>
      <c r="R24" s="142"/>
      <c r="S24" s="92"/>
      <c r="T24" s="93"/>
      <c r="U24" s="142"/>
      <c r="V24" s="93"/>
      <c r="W24" s="142"/>
      <c r="X24" s="93"/>
      <c r="Y24" s="142"/>
      <c r="Z24" s="92"/>
      <c r="AA24" s="93"/>
    </row>
    <row r="25" spans="1:30" x14ac:dyDescent="0.25">
      <c r="A25" s="59" t="s">
        <v>180</v>
      </c>
      <c r="B25" s="30"/>
      <c r="C25" s="30"/>
      <c r="D25" s="30"/>
      <c r="E25" s="30"/>
      <c r="F25" s="30"/>
      <c r="G25" s="131">
        <v>5</v>
      </c>
      <c r="H25" s="132">
        <v>12</v>
      </c>
      <c r="I25" s="47">
        <v>12</v>
      </c>
      <c r="J25" s="143">
        <v>17</v>
      </c>
      <c r="K25" s="130">
        <v>33</v>
      </c>
      <c r="L25" s="145">
        <v>53</v>
      </c>
      <c r="M25" s="130">
        <v>97</v>
      </c>
      <c r="N25" s="145"/>
      <c r="O25" s="130"/>
      <c r="P25" s="145"/>
      <c r="Q25" s="130"/>
      <c r="R25" s="145"/>
      <c r="S25" s="129"/>
      <c r="T25" s="130"/>
      <c r="U25" s="145"/>
      <c r="V25" s="130"/>
      <c r="W25" s="145"/>
      <c r="X25" s="130"/>
      <c r="Y25" s="145"/>
      <c r="Z25" s="129"/>
      <c r="AA25" s="130"/>
    </row>
    <row r="26" spans="1:30" x14ac:dyDescent="0.25">
      <c r="A26" s="68" t="s">
        <v>140</v>
      </c>
      <c r="B26" s="55"/>
      <c r="C26" s="56"/>
      <c r="D26" s="56"/>
      <c r="E26" s="56"/>
      <c r="F26" s="56"/>
      <c r="G26" s="94">
        <v>1</v>
      </c>
      <c r="H26" s="95">
        <v>2</v>
      </c>
      <c r="I26" s="72">
        <v>3</v>
      </c>
      <c r="J26" s="144">
        <v>5</v>
      </c>
      <c r="K26" s="72">
        <v>6</v>
      </c>
      <c r="L26" s="144">
        <v>7</v>
      </c>
      <c r="M26" s="72">
        <v>8</v>
      </c>
      <c r="N26" s="144"/>
      <c r="O26" s="72"/>
      <c r="P26" s="144"/>
      <c r="Q26" s="72"/>
      <c r="R26" s="144"/>
      <c r="S26" s="71"/>
      <c r="T26" s="72"/>
      <c r="U26" s="144"/>
      <c r="V26" s="72"/>
      <c r="W26" s="144"/>
      <c r="X26" s="72"/>
      <c r="Y26" s="144"/>
      <c r="Z26" s="71"/>
      <c r="AA26" s="72"/>
    </row>
    <row r="27" spans="1:30" x14ac:dyDescent="0.25">
      <c r="B27" s="3"/>
      <c r="G27" s="49"/>
      <c r="H27" s="49"/>
      <c r="I27" s="49"/>
      <c r="J27" s="49"/>
      <c r="K27" s="49"/>
      <c r="L27" s="49"/>
      <c r="M27" s="49"/>
      <c r="N27" s="49"/>
      <c r="O27" s="49"/>
      <c r="P27" s="49"/>
      <c r="Q27" s="49"/>
      <c r="R27" s="49"/>
      <c r="S27" s="49"/>
      <c r="T27" s="49"/>
      <c r="U27" s="49"/>
      <c r="V27" s="49"/>
      <c r="W27" s="49"/>
      <c r="X27" s="49"/>
    </row>
    <row r="28" spans="1:30" x14ac:dyDescent="0.25">
      <c r="A28" s="102" t="s">
        <v>149</v>
      </c>
      <c r="X28" s="30"/>
    </row>
    <row r="29" spans="1:30" x14ac:dyDescent="0.25">
      <c r="A29" s="16" t="s">
        <v>1</v>
      </c>
      <c r="B29" s="78" t="s">
        <v>158</v>
      </c>
      <c r="C29" s="17" t="s">
        <v>4</v>
      </c>
      <c r="D29" s="78" t="s">
        <v>151</v>
      </c>
      <c r="E29" s="79" t="s">
        <v>3</v>
      </c>
      <c r="F29" s="21" t="s">
        <v>4</v>
      </c>
      <c r="G29" s="21"/>
      <c r="H29" s="21"/>
      <c r="I29" s="21"/>
      <c r="J29" s="21"/>
      <c r="K29" s="21"/>
      <c r="L29" s="21"/>
      <c r="M29" s="21"/>
      <c r="N29" s="21"/>
      <c r="O29" s="21"/>
      <c r="P29" s="21"/>
      <c r="Q29" s="21"/>
      <c r="R29" s="21"/>
      <c r="S29" s="21"/>
      <c r="T29" s="21"/>
      <c r="U29" s="21"/>
      <c r="V29" s="21"/>
      <c r="W29" s="21"/>
      <c r="X29" s="21"/>
      <c r="Y29" s="21"/>
      <c r="Z29" s="21"/>
      <c r="AA29" s="17"/>
    </row>
    <row r="30" spans="1:30" x14ac:dyDescent="0.25">
      <c r="A30" s="59" t="s">
        <v>14</v>
      </c>
      <c r="B30" s="27">
        <f>'ABS Population by Age Range'!D107</f>
        <v>4.0260989985204748E-2</v>
      </c>
      <c r="C30" s="26">
        <f>$B$1*B30</f>
        <v>1032050.2172807385</v>
      </c>
      <c r="D30" s="36">
        <f>'AU Infection Rate by Age'!C4</f>
        <v>3.3199195171026159E-2</v>
      </c>
      <c r="E30" s="17"/>
      <c r="F30" s="30"/>
      <c r="G30" s="32">
        <f>G$12*$D$30</f>
        <v>1.0374748490945676</v>
      </c>
      <c r="H30" s="33">
        <f t="shared" ref="H30:W30" si="38">H$12*$D$30</f>
        <v>2.0749496981891351</v>
      </c>
      <c r="I30" s="33">
        <f t="shared" si="38"/>
        <v>4.1498993963782702</v>
      </c>
      <c r="J30" s="33">
        <f t="shared" si="38"/>
        <v>8.2997987927565404</v>
      </c>
      <c r="K30" s="33">
        <f t="shared" si="38"/>
        <v>16.599597585513081</v>
      </c>
      <c r="L30" s="33">
        <f t="shared" si="38"/>
        <v>33.199195171026162</v>
      </c>
      <c r="M30" s="33">
        <f t="shared" si="38"/>
        <v>66.398390342052323</v>
      </c>
      <c r="N30" s="33">
        <f t="shared" si="38"/>
        <v>132.79678068410465</v>
      </c>
      <c r="O30" s="33">
        <f t="shared" si="38"/>
        <v>265.59356136820929</v>
      </c>
      <c r="P30" s="33">
        <f t="shared" si="38"/>
        <v>531.18712273641859</v>
      </c>
      <c r="Q30" s="33">
        <f t="shared" si="38"/>
        <v>1062.3742454728372</v>
      </c>
      <c r="R30" s="33">
        <f t="shared" si="38"/>
        <v>2124.7484909456743</v>
      </c>
      <c r="S30" s="33">
        <f t="shared" si="38"/>
        <v>4249.4969818913487</v>
      </c>
      <c r="T30" s="33">
        <f t="shared" si="38"/>
        <v>8498.9939637826974</v>
      </c>
      <c r="U30" s="33">
        <f t="shared" si="38"/>
        <v>16997.987927565395</v>
      </c>
      <c r="V30" s="33">
        <f t="shared" si="38"/>
        <v>33995.97585513079</v>
      </c>
      <c r="W30" s="33">
        <f t="shared" si="38"/>
        <v>67991.951710261579</v>
      </c>
      <c r="X30" s="33">
        <f t="shared" ref="X30:AA30" si="39">X$12*$D$30</f>
        <v>135983.90342052316</v>
      </c>
      <c r="Y30" s="33">
        <f t="shared" si="39"/>
        <v>271967.80684104632</v>
      </c>
      <c r="Z30" s="33">
        <f t="shared" si="39"/>
        <v>543935.61368209263</v>
      </c>
      <c r="AA30" s="81">
        <f t="shared" si="39"/>
        <v>851028.16901408462</v>
      </c>
    </row>
    <row r="31" spans="1:30" x14ac:dyDescent="0.25">
      <c r="A31" s="59"/>
      <c r="B31" s="18"/>
      <c r="C31" s="22"/>
      <c r="D31" s="20"/>
      <c r="E31" s="41">
        <v>0.14799999999999999</v>
      </c>
      <c r="F31" s="22"/>
      <c r="G31" s="43">
        <f>G$12*$D$30*$E$31</f>
        <v>0.15354627766599599</v>
      </c>
      <c r="H31" s="44">
        <f t="shared" ref="H31:W31" si="40">H$12*$D$30*$E$31</f>
        <v>0.30709255533199198</v>
      </c>
      <c r="I31" s="44">
        <f t="shared" si="40"/>
        <v>0.61418511066398396</v>
      </c>
      <c r="J31" s="44">
        <f t="shared" si="40"/>
        <v>1.2283702213279679</v>
      </c>
      <c r="K31" s="44">
        <f t="shared" si="40"/>
        <v>2.4567404426559358</v>
      </c>
      <c r="L31" s="44">
        <f t="shared" si="40"/>
        <v>4.9134808853118717</v>
      </c>
      <c r="M31" s="44">
        <f t="shared" si="40"/>
        <v>9.8269617706237433</v>
      </c>
      <c r="N31" s="44">
        <f t="shared" si="40"/>
        <v>19.653923541247487</v>
      </c>
      <c r="O31" s="44">
        <f t="shared" si="40"/>
        <v>39.307847082494973</v>
      </c>
      <c r="P31" s="44">
        <f t="shared" si="40"/>
        <v>78.615694164989947</v>
      </c>
      <c r="Q31" s="44">
        <f t="shared" si="40"/>
        <v>157.23138832997989</v>
      </c>
      <c r="R31" s="44">
        <f t="shared" si="40"/>
        <v>314.46277665995979</v>
      </c>
      <c r="S31" s="44">
        <f t="shared" si="40"/>
        <v>628.92555331991957</v>
      </c>
      <c r="T31" s="44">
        <f t="shared" si="40"/>
        <v>1257.8511066398391</v>
      </c>
      <c r="U31" s="44">
        <f t="shared" si="40"/>
        <v>2515.7022132796783</v>
      </c>
      <c r="V31" s="44">
        <f t="shared" si="40"/>
        <v>5031.4044265593566</v>
      </c>
      <c r="W31" s="44">
        <f t="shared" si="40"/>
        <v>10062.808853118713</v>
      </c>
      <c r="X31" s="44">
        <f t="shared" ref="X31:AA31" si="41">X$12*$D$30*$E$31</f>
        <v>20125.617706237426</v>
      </c>
      <c r="Y31" s="44">
        <f t="shared" si="41"/>
        <v>40251.235412474853</v>
      </c>
      <c r="Z31" s="44">
        <f t="shared" si="41"/>
        <v>80502.470824949705</v>
      </c>
      <c r="AA31" s="99">
        <f t="shared" si="41"/>
        <v>125952.16901408452</v>
      </c>
    </row>
    <row r="32" spans="1:30" x14ac:dyDescent="0.25">
      <c r="A32" s="59" t="s">
        <v>15</v>
      </c>
      <c r="B32" s="18">
        <f>'ABS Population by Age Range'!D97</f>
        <v>7.065336711718416E-2</v>
      </c>
      <c r="C32" s="22">
        <f t="shared" ref="C32:C46" si="42">$B$1*B32</f>
        <v>1811128.4126818988</v>
      </c>
      <c r="D32" s="117">
        <f>'AU Infection Rate by Age'!C5</f>
        <v>8.9537223340040245E-2</v>
      </c>
      <c r="E32" s="31"/>
      <c r="F32" s="30"/>
      <c r="G32" s="34">
        <f t="shared" ref="G32:W32" si="43">G$12*$D$32</f>
        <v>2.7980382293762576</v>
      </c>
      <c r="H32" s="35">
        <f t="shared" si="43"/>
        <v>5.5960764587525151</v>
      </c>
      <c r="I32" s="35">
        <f t="shared" si="43"/>
        <v>11.19215291750503</v>
      </c>
      <c r="J32" s="35">
        <f t="shared" si="43"/>
        <v>22.384305835010061</v>
      </c>
      <c r="K32" s="35">
        <f t="shared" si="43"/>
        <v>44.768611670020121</v>
      </c>
      <c r="L32" s="35">
        <f t="shared" si="43"/>
        <v>89.537223340040242</v>
      </c>
      <c r="M32" s="35">
        <f t="shared" si="43"/>
        <v>179.07444668008048</v>
      </c>
      <c r="N32" s="35">
        <f t="shared" si="43"/>
        <v>358.14889336016097</v>
      </c>
      <c r="O32" s="35">
        <f t="shared" si="43"/>
        <v>716.29778672032194</v>
      </c>
      <c r="P32" s="35">
        <f t="shared" si="43"/>
        <v>1432.5955734406439</v>
      </c>
      <c r="Q32" s="35">
        <f t="shared" si="43"/>
        <v>2865.1911468812878</v>
      </c>
      <c r="R32" s="35">
        <f t="shared" si="43"/>
        <v>5730.3822937625755</v>
      </c>
      <c r="S32" s="35">
        <f t="shared" si="43"/>
        <v>11460.764587525151</v>
      </c>
      <c r="T32" s="35">
        <f t="shared" si="43"/>
        <v>22921.529175050302</v>
      </c>
      <c r="U32" s="35">
        <f t="shared" si="43"/>
        <v>45843.058350100604</v>
      </c>
      <c r="V32" s="35">
        <f t="shared" si="43"/>
        <v>91686.116700201208</v>
      </c>
      <c r="W32" s="35">
        <f t="shared" si="43"/>
        <v>183372.23340040242</v>
      </c>
      <c r="X32" s="35">
        <f t="shared" ref="X32:AA32" si="44">X$12*$D$32</f>
        <v>366744.46680080483</v>
      </c>
      <c r="Y32" s="35">
        <f t="shared" si="44"/>
        <v>733488.93360160966</v>
      </c>
      <c r="Z32" s="35">
        <f t="shared" si="44"/>
        <v>1466977.8672032193</v>
      </c>
      <c r="AA32" s="116">
        <f t="shared" si="44"/>
        <v>2295197.1830985919</v>
      </c>
    </row>
    <row r="33" spans="1:27" x14ac:dyDescent="0.25">
      <c r="A33" s="59"/>
      <c r="B33" s="18"/>
      <c r="C33" s="22"/>
      <c r="D33" s="20"/>
      <c r="E33" s="41">
        <v>0.08</v>
      </c>
      <c r="F33" s="22"/>
      <c r="G33" s="43">
        <f t="shared" ref="G33:W33" si="45">G$12*$D$32*$E$33</f>
        <v>0.2238430583501006</v>
      </c>
      <c r="H33" s="44">
        <f t="shared" si="45"/>
        <v>0.4476861167002012</v>
      </c>
      <c r="I33" s="44">
        <f t="shared" si="45"/>
        <v>0.8953722334004024</v>
      </c>
      <c r="J33" s="44">
        <f t="shared" si="45"/>
        <v>1.7907444668008048</v>
      </c>
      <c r="K33" s="44">
        <f t="shared" si="45"/>
        <v>3.5814889336016096</v>
      </c>
      <c r="L33" s="44">
        <f t="shared" si="45"/>
        <v>7.1629778672032192</v>
      </c>
      <c r="M33" s="44">
        <f t="shared" si="45"/>
        <v>14.325955734406438</v>
      </c>
      <c r="N33" s="44">
        <f t="shared" si="45"/>
        <v>28.651911468812877</v>
      </c>
      <c r="O33" s="44">
        <f t="shared" si="45"/>
        <v>57.303822937625753</v>
      </c>
      <c r="P33" s="44">
        <f t="shared" si="45"/>
        <v>114.60764587525151</v>
      </c>
      <c r="Q33" s="44">
        <f t="shared" si="45"/>
        <v>229.21529175050301</v>
      </c>
      <c r="R33" s="44">
        <f t="shared" si="45"/>
        <v>458.43058350100603</v>
      </c>
      <c r="S33" s="44">
        <f t="shared" si="45"/>
        <v>916.86116700201205</v>
      </c>
      <c r="T33" s="44">
        <f t="shared" si="45"/>
        <v>1833.7223340040241</v>
      </c>
      <c r="U33" s="44">
        <f t="shared" si="45"/>
        <v>3667.4446680080482</v>
      </c>
      <c r="V33" s="44">
        <f t="shared" si="45"/>
        <v>7334.8893360160964</v>
      </c>
      <c r="W33" s="44">
        <f t="shared" si="45"/>
        <v>14669.778672032193</v>
      </c>
      <c r="X33" s="44">
        <f t="shared" ref="X33:AA33" si="46">X$12*$D$32*$E$33</f>
        <v>29339.557344064386</v>
      </c>
      <c r="Y33" s="44">
        <f t="shared" si="46"/>
        <v>58679.114688128771</v>
      </c>
      <c r="Z33" s="44">
        <f t="shared" si="46"/>
        <v>117358.22937625754</v>
      </c>
      <c r="AA33" s="99">
        <f t="shared" si="46"/>
        <v>183615.77464788736</v>
      </c>
    </row>
    <row r="34" spans="1:27" x14ac:dyDescent="0.25">
      <c r="A34" s="59" t="s">
        <v>16</v>
      </c>
      <c r="B34" s="18">
        <f>'ABS Population by Age Range'!D85</f>
        <v>0.10301766910746854</v>
      </c>
      <c r="C34" s="22">
        <f t="shared" si="42"/>
        <v>2640754.9299008488</v>
      </c>
      <c r="D34" s="117">
        <f>'AU Infection Rate by Age'!C6</f>
        <v>0.16498993963782696</v>
      </c>
      <c r="E34" s="31"/>
      <c r="F34" s="22"/>
      <c r="G34" s="34">
        <f t="shared" ref="G34:W34" si="47">G$12*$D$34</f>
        <v>5.1559356136820922</v>
      </c>
      <c r="H34" s="35">
        <f t="shared" si="47"/>
        <v>10.311871227364184</v>
      </c>
      <c r="I34" s="35">
        <f t="shared" si="47"/>
        <v>20.623742454728369</v>
      </c>
      <c r="J34" s="35">
        <f t="shared" si="47"/>
        <v>41.247484909456738</v>
      </c>
      <c r="K34" s="35">
        <f t="shared" si="47"/>
        <v>82.494969818913475</v>
      </c>
      <c r="L34" s="35">
        <f t="shared" si="47"/>
        <v>164.98993963782695</v>
      </c>
      <c r="M34" s="35">
        <f t="shared" si="47"/>
        <v>329.9798792756539</v>
      </c>
      <c r="N34" s="35">
        <f t="shared" si="47"/>
        <v>659.9597585513078</v>
      </c>
      <c r="O34" s="35">
        <f t="shared" si="47"/>
        <v>1319.9195171026156</v>
      </c>
      <c r="P34" s="35">
        <f t="shared" si="47"/>
        <v>2639.8390342052312</v>
      </c>
      <c r="Q34" s="35">
        <f t="shared" si="47"/>
        <v>5279.6780684104624</v>
      </c>
      <c r="R34" s="35">
        <f t="shared" si="47"/>
        <v>10559.356136820925</v>
      </c>
      <c r="S34" s="35">
        <f t="shared" si="47"/>
        <v>21118.71227364185</v>
      </c>
      <c r="T34" s="35">
        <f t="shared" si="47"/>
        <v>42237.424547283699</v>
      </c>
      <c r="U34" s="35">
        <f t="shared" si="47"/>
        <v>84474.849094567398</v>
      </c>
      <c r="V34" s="35">
        <f t="shared" si="47"/>
        <v>168949.6981891348</v>
      </c>
      <c r="W34" s="35">
        <f t="shared" si="47"/>
        <v>337899.39637826959</v>
      </c>
      <c r="X34" s="35">
        <f t="shared" ref="X34:Z34" si="48">X$12*$D$34</f>
        <v>675798.79275653919</v>
      </c>
      <c r="Y34" s="35">
        <f t="shared" si="48"/>
        <v>1351597.5855130784</v>
      </c>
      <c r="Z34" s="35">
        <f t="shared" si="48"/>
        <v>2703195.1710261567</v>
      </c>
      <c r="AA34" s="116">
        <f>AA$12*$D$34</f>
        <v>4229352.1126760561</v>
      </c>
    </row>
    <row r="35" spans="1:27" x14ac:dyDescent="0.25">
      <c r="A35" s="59"/>
      <c r="B35" s="18"/>
      <c r="C35" s="22"/>
      <c r="D35" s="20"/>
      <c r="E35" s="41">
        <v>3.5999999999999997E-2</v>
      </c>
      <c r="F35" s="22"/>
      <c r="G35" s="43">
        <f t="shared" ref="G35:W35" si="49">G$12*$D$34*$E$35</f>
        <v>0.1856136820925553</v>
      </c>
      <c r="H35" s="44">
        <f t="shared" si="49"/>
        <v>0.3712273641851106</v>
      </c>
      <c r="I35" s="44">
        <f t="shared" si="49"/>
        <v>0.7424547283702212</v>
      </c>
      <c r="J35" s="44">
        <f t="shared" si="49"/>
        <v>1.4849094567404424</v>
      </c>
      <c r="K35" s="44">
        <f t="shared" si="49"/>
        <v>2.9698189134808848</v>
      </c>
      <c r="L35" s="44">
        <f t="shared" si="49"/>
        <v>5.9396378269617696</v>
      </c>
      <c r="M35" s="44">
        <f t="shared" si="49"/>
        <v>11.879275653923539</v>
      </c>
      <c r="N35" s="44">
        <f t="shared" si="49"/>
        <v>23.758551307847078</v>
      </c>
      <c r="O35" s="44">
        <f t="shared" si="49"/>
        <v>47.517102615694156</v>
      </c>
      <c r="P35" s="44">
        <f t="shared" si="49"/>
        <v>95.034205231388313</v>
      </c>
      <c r="Q35" s="44">
        <f t="shared" si="49"/>
        <v>190.06841046277663</v>
      </c>
      <c r="R35" s="44">
        <f t="shared" si="49"/>
        <v>380.13682092555325</v>
      </c>
      <c r="S35" s="44">
        <f t="shared" si="49"/>
        <v>760.2736418511065</v>
      </c>
      <c r="T35" s="44">
        <f t="shared" si="49"/>
        <v>1520.547283702213</v>
      </c>
      <c r="U35" s="44">
        <f t="shared" si="49"/>
        <v>3041.094567404426</v>
      </c>
      <c r="V35" s="44">
        <f t="shared" si="49"/>
        <v>6082.189134808852</v>
      </c>
      <c r="W35" s="44">
        <f t="shared" si="49"/>
        <v>12164.378269617704</v>
      </c>
      <c r="X35" s="44">
        <f t="shared" ref="X35:AA35" si="50">X$12*$D$34*$E$35</f>
        <v>24328.756539235408</v>
      </c>
      <c r="Y35" s="44">
        <f t="shared" si="50"/>
        <v>48657.513078470816</v>
      </c>
      <c r="Z35" s="44">
        <f t="shared" si="50"/>
        <v>97315.026156941633</v>
      </c>
      <c r="AA35" s="99">
        <f t="shared" si="50"/>
        <v>152256.67605633801</v>
      </c>
    </row>
    <row r="36" spans="1:27" x14ac:dyDescent="0.25">
      <c r="A36" s="59" t="s">
        <v>17</v>
      </c>
      <c r="B36" s="18">
        <f>'ABS Population by Age Range'!D73</f>
        <v>0.12142789925761971</v>
      </c>
      <c r="C36" s="22">
        <f t="shared" si="42"/>
        <v>3112682.7695698235</v>
      </c>
      <c r="D36" s="117">
        <f>'AU Infection Rate by Age'!C7</f>
        <v>0.17102615694164991</v>
      </c>
      <c r="E36" s="31"/>
      <c r="F36" s="22"/>
      <c r="G36" s="34">
        <f t="shared" ref="G36:W36" si="51">G$12*$D$36</f>
        <v>5.3445674044265594</v>
      </c>
      <c r="H36" s="35">
        <f t="shared" si="51"/>
        <v>10.689134808853119</v>
      </c>
      <c r="I36" s="35">
        <f t="shared" si="51"/>
        <v>21.378269617706238</v>
      </c>
      <c r="J36" s="35">
        <f t="shared" si="51"/>
        <v>42.756539235412475</v>
      </c>
      <c r="K36" s="35">
        <f t="shared" si="51"/>
        <v>85.513078470824951</v>
      </c>
      <c r="L36" s="35">
        <f t="shared" si="51"/>
        <v>171.0261569416499</v>
      </c>
      <c r="M36" s="35">
        <f t="shared" si="51"/>
        <v>342.0523138832998</v>
      </c>
      <c r="N36" s="35">
        <f t="shared" si="51"/>
        <v>684.10462776659961</v>
      </c>
      <c r="O36" s="35">
        <f t="shared" si="51"/>
        <v>1368.2092555331992</v>
      </c>
      <c r="P36" s="35">
        <f t="shared" si="51"/>
        <v>2736.4185110663984</v>
      </c>
      <c r="Q36" s="35">
        <f t="shared" si="51"/>
        <v>5472.8370221327968</v>
      </c>
      <c r="R36" s="35">
        <f t="shared" si="51"/>
        <v>10945.674044265594</v>
      </c>
      <c r="S36" s="35">
        <f t="shared" si="51"/>
        <v>21891.348088531187</v>
      </c>
      <c r="T36" s="35">
        <f t="shared" si="51"/>
        <v>43782.696177062375</v>
      </c>
      <c r="U36" s="35">
        <f t="shared" si="51"/>
        <v>87565.39235412475</v>
      </c>
      <c r="V36" s="35">
        <f t="shared" si="51"/>
        <v>175130.7847082495</v>
      </c>
      <c r="W36" s="35">
        <f t="shared" si="51"/>
        <v>350261.569416499</v>
      </c>
      <c r="X36" s="35">
        <f t="shared" ref="X36:AA36" si="52">X$12*$D$36</f>
        <v>700523.138832998</v>
      </c>
      <c r="Y36" s="35">
        <f t="shared" si="52"/>
        <v>1401046.277665996</v>
      </c>
      <c r="Z36" s="35">
        <f t="shared" si="52"/>
        <v>2802092.555331992</v>
      </c>
      <c r="AA36" s="116">
        <f t="shared" si="52"/>
        <v>4384084.5070422534</v>
      </c>
    </row>
    <row r="37" spans="1:27" x14ac:dyDescent="0.25">
      <c r="A37" s="59"/>
      <c r="B37" s="18"/>
      <c r="C37" s="22"/>
      <c r="D37" s="20"/>
      <c r="E37" s="41">
        <v>1.2999999999999999E-2</v>
      </c>
      <c r="F37" s="22"/>
      <c r="G37" s="43">
        <f t="shared" ref="G37:W37" si="53">G$12*$D$36*$E$37</f>
        <v>6.9479376257545272E-2</v>
      </c>
      <c r="H37" s="44">
        <f t="shared" si="53"/>
        <v>0.13895875251509054</v>
      </c>
      <c r="I37" s="44">
        <f t="shared" si="53"/>
        <v>0.27791750503018109</v>
      </c>
      <c r="J37" s="44">
        <f t="shared" si="53"/>
        <v>0.55583501006036218</v>
      </c>
      <c r="K37" s="44">
        <f t="shared" si="53"/>
        <v>1.1116700201207244</v>
      </c>
      <c r="L37" s="44">
        <f t="shared" si="53"/>
        <v>2.2233400402414487</v>
      </c>
      <c r="M37" s="44">
        <f t="shared" si="53"/>
        <v>4.4466800804828974</v>
      </c>
      <c r="N37" s="44">
        <f t="shared" si="53"/>
        <v>8.8933601609657948</v>
      </c>
      <c r="O37" s="44">
        <f t="shared" si="53"/>
        <v>17.78672032193159</v>
      </c>
      <c r="P37" s="44">
        <f t="shared" si="53"/>
        <v>35.573440643863179</v>
      </c>
      <c r="Q37" s="44">
        <f t="shared" si="53"/>
        <v>71.146881287726359</v>
      </c>
      <c r="R37" s="44">
        <f t="shared" si="53"/>
        <v>142.29376257545272</v>
      </c>
      <c r="S37" s="44">
        <f t="shared" si="53"/>
        <v>284.58752515090544</v>
      </c>
      <c r="T37" s="44">
        <f t="shared" si="53"/>
        <v>569.17505030181087</v>
      </c>
      <c r="U37" s="44">
        <f t="shared" si="53"/>
        <v>1138.3501006036217</v>
      </c>
      <c r="V37" s="44">
        <f t="shared" si="53"/>
        <v>2276.7002012072435</v>
      </c>
      <c r="W37" s="44">
        <f t="shared" si="53"/>
        <v>4553.400402414487</v>
      </c>
      <c r="X37" s="44">
        <f t="shared" ref="X37:AA37" si="54">X$12*$D$36*$E$37</f>
        <v>9106.8008048289739</v>
      </c>
      <c r="Y37" s="44">
        <f t="shared" si="54"/>
        <v>18213.601609657948</v>
      </c>
      <c r="Z37" s="44">
        <f t="shared" si="54"/>
        <v>36427.203219315896</v>
      </c>
      <c r="AA37" s="99">
        <f t="shared" si="54"/>
        <v>56993.098591549293</v>
      </c>
    </row>
    <row r="38" spans="1:27" x14ac:dyDescent="0.25">
      <c r="A38" s="59" t="s">
        <v>18</v>
      </c>
      <c r="B38" s="18">
        <f>'ABS Population by Age Range'!D61</f>
        <v>0.12908272398046944</v>
      </c>
      <c r="C38" s="22">
        <f t="shared" si="42"/>
        <v>3308906.5465153535</v>
      </c>
      <c r="D38" s="117">
        <f>'AU Infection Rate by Age'!C8</f>
        <v>0.14688128772635814</v>
      </c>
      <c r="E38" s="31"/>
      <c r="F38" s="22"/>
      <c r="G38" s="34">
        <f>G$12*$D$38</f>
        <v>4.5900402414486923</v>
      </c>
      <c r="H38" s="35">
        <f t="shared" ref="H38:W38" si="55">H$12*$D$38</f>
        <v>9.1800804828973845</v>
      </c>
      <c r="I38" s="35">
        <f t="shared" si="55"/>
        <v>18.360160965794769</v>
      </c>
      <c r="J38" s="35">
        <f t="shared" si="55"/>
        <v>36.720321931589538</v>
      </c>
      <c r="K38" s="35">
        <f t="shared" si="55"/>
        <v>73.440643863179076</v>
      </c>
      <c r="L38" s="35">
        <f t="shared" si="55"/>
        <v>146.88128772635815</v>
      </c>
      <c r="M38" s="35">
        <f t="shared" si="55"/>
        <v>293.76257545271631</v>
      </c>
      <c r="N38" s="35">
        <f t="shared" si="55"/>
        <v>587.52515090543261</v>
      </c>
      <c r="O38" s="35">
        <f t="shared" si="55"/>
        <v>1175.0503018108652</v>
      </c>
      <c r="P38" s="35">
        <f t="shared" si="55"/>
        <v>2350.1006036217304</v>
      </c>
      <c r="Q38" s="35">
        <f t="shared" si="55"/>
        <v>4700.2012072434609</v>
      </c>
      <c r="R38" s="35">
        <f t="shared" si="55"/>
        <v>9400.4024144869218</v>
      </c>
      <c r="S38" s="35">
        <f t="shared" si="55"/>
        <v>18800.804828973844</v>
      </c>
      <c r="T38" s="35">
        <f t="shared" si="55"/>
        <v>37601.609657947687</v>
      </c>
      <c r="U38" s="35">
        <f t="shared" si="55"/>
        <v>75203.219315895374</v>
      </c>
      <c r="V38" s="35">
        <f t="shared" si="55"/>
        <v>150406.43863179075</v>
      </c>
      <c r="W38" s="35">
        <f t="shared" si="55"/>
        <v>300812.8772635815</v>
      </c>
      <c r="X38" s="35">
        <f t="shared" ref="X38:AA38" si="56">X$12*$D$38</f>
        <v>601625.75452716299</v>
      </c>
      <c r="Y38" s="35">
        <f t="shared" si="56"/>
        <v>1203251.509054326</v>
      </c>
      <c r="Z38" s="35">
        <f t="shared" si="56"/>
        <v>2406503.018108652</v>
      </c>
      <c r="AA38" s="116">
        <f t="shared" si="56"/>
        <v>3765154.9295774647</v>
      </c>
    </row>
    <row r="39" spans="1:27" x14ac:dyDescent="0.25">
      <c r="A39" s="59"/>
      <c r="B39" s="18"/>
      <c r="C39" s="22"/>
      <c r="D39" s="20"/>
      <c r="E39" s="41">
        <v>4.0000000000000001E-3</v>
      </c>
      <c r="F39" s="22"/>
      <c r="G39" s="43">
        <f>G$12*$D$38*$E$39</f>
        <v>1.8360160965794771E-2</v>
      </c>
      <c r="H39" s="44">
        <f t="shared" ref="H39:W39" si="57">H$12*$D$38*$E$39</f>
        <v>3.6720321931589542E-2</v>
      </c>
      <c r="I39" s="44">
        <f t="shared" si="57"/>
        <v>7.3440643863179084E-2</v>
      </c>
      <c r="J39" s="44">
        <f t="shared" si="57"/>
        <v>0.14688128772635817</v>
      </c>
      <c r="K39" s="44">
        <f t="shared" si="57"/>
        <v>0.29376257545271633</v>
      </c>
      <c r="L39" s="44">
        <f t="shared" si="57"/>
        <v>0.58752515090543267</v>
      </c>
      <c r="M39" s="44">
        <f t="shared" si="57"/>
        <v>1.1750503018108653</v>
      </c>
      <c r="N39" s="44">
        <f t="shared" si="57"/>
        <v>2.3501006036217307</v>
      </c>
      <c r="O39" s="44">
        <f t="shared" si="57"/>
        <v>4.7002012072434614</v>
      </c>
      <c r="P39" s="44">
        <f t="shared" si="57"/>
        <v>9.4004024144869227</v>
      </c>
      <c r="Q39" s="44">
        <f t="shared" si="57"/>
        <v>18.800804828973845</v>
      </c>
      <c r="R39" s="44">
        <f t="shared" si="57"/>
        <v>37.601609657947691</v>
      </c>
      <c r="S39" s="44">
        <f t="shared" si="57"/>
        <v>75.203219315895382</v>
      </c>
      <c r="T39" s="44">
        <f t="shared" si="57"/>
        <v>150.40643863179076</v>
      </c>
      <c r="U39" s="44">
        <f t="shared" si="57"/>
        <v>300.81287726358153</v>
      </c>
      <c r="V39" s="44">
        <f t="shared" si="57"/>
        <v>601.62575452716305</v>
      </c>
      <c r="W39" s="44">
        <f t="shared" si="57"/>
        <v>1203.2515090543261</v>
      </c>
      <c r="X39" s="44">
        <f t="shared" ref="X39:AA39" si="58">X$12*$D$38*$E$39</f>
        <v>2406.5030181086522</v>
      </c>
      <c r="Y39" s="44">
        <f t="shared" si="58"/>
        <v>4813.0060362173044</v>
      </c>
      <c r="Z39" s="44">
        <f t="shared" si="58"/>
        <v>9626.0120724346089</v>
      </c>
      <c r="AA39" s="99">
        <f t="shared" si="58"/>
        <v>15060.619718309859</v>
      </c>
    </row>
    <row r="40" spans="1:27" x14ac:dyDescent="0.25">
      <c r="A40" s="59" t="s">
        <v>19</v>
      </c>
      <c r="B40" s="18">
        <f>'ABS Population by Age Range'!D49</f>
        <v>0.14481341657950456</v>
      </c>
      <c r="C40" s="22">
        <f t="shared" si="42"/>
        <v>3712147.1205990198</v>
      </c>
      <c r="D40" s="117">
        <f>'AU Infection Rate by Age'!C9</f>
        <v>0.1750503018108652</v>
      </c>
      <c r="E40" s="31"/>
      <c r="F40" s="22"/>
      <c r="G40" s="34">
        <f t="shared" ref="G40:W40" si="59">G$12*$D$40</f>
        <v>5.4703219315895373</v>
      </c>
      <c r="H40" s="35">
        <f t="shared" si="59"/>
        <v>10.940643863179075</v>
      </c>
      <c r="I40" s="35">
        <f t="shared" si="59"/>
        <v>21.881287726358149</v>
      </c>
      <c r="J40" s="35">
        <f t="shared" si="59"/>
        <v>43.762575452716298</v>
      </c>
      <c r="K40" s="35">
        <f t="shared" si="59"/>
        <v>87.525150905432596</v>
      </c>
      <c r="L40" s="35">
        <f t="shared" si="59"/>
        <v>175.05030181086519</v>
      </c>
      <c r="M40" s="35">
        <f t="shared" si="59"/>
        <v>350.10060362173039</v>
      </c>
      <c r="N40" s="35">
        <f t="shared" si="59"/>
        <v>700.20120724346077</v>
      </c>
      <c r="O40" s="35">
        <f t="shared" si="59"/>
        <v>1400.4024144869215</v>
      </c>
      <c r="P40" s="35">
        <f t="shared" si="59"/>
        <v>2800.8048289738431</v>
      </c>
      <c r="Q40" s="35">
        <f t="shared" si="59"/>
        <v>5601.6096579476862</v>
      </c>
      <c r="R40" s="35">
        <f t="shared" si="59"/>
        <v>11203.219315895372</v>
      </c>
      <c r="S40" s="35">
        <f t="shared" si="59"/>
        <v>22406.438631790745</v>
      </c>
      <c r="T40" s="35">
        <f t="shared" si="59"/>
        <v>44812.877263581489</v>
      </c>
      <c r="U40" s="35">
        <f t="shared" si="59"/>
        <v>89625.754527162979</v>
      </c>
      <c r="V40" s="35">
        <f t="shared" si="59"/>
        <v>179251.50905432596</v>
      </c>
      <c r="W40" s="35">
        <f t="shared" si="59"/>
        <v>358503.01810865192</v>
      </c>
      <c r="X40" s="35">
        <f t="shared" ref="X40:AA40" si="60">X$12*$D$40</f>
        <v>717006.03621730383</v>
      </c>
      <c r="Y40" s="35">
        <f t="shared" si="60"/>
        <v>1434012.0724346077</v>
      </c>
      <c r="Z40" s="35">
        <f t="shared" si="60"/>
        <v>2868024.1448692153</v>
      </c>
      <c r="AA40" s="116">
        <f t="shared" si="60"/>
        <v>4487239.4366197186</v>
      </c>
    </row>
    <row r="41" spans="1:27" x14ac:dyDescent="0.25">
      <c r="A41" s="59"/>
      <c r="B41" s="18"/>
      <c r="C41" s="22"/>
      <c r="D41" s="20"/>
      <c r="E41" s="41">
        <v>2E-3</v>
      </c>
      <c r="F41" s="22"/>
      <c r="G41" s="43">
        <f t="shared" ref="G41:W41" si="61">G$12*$D$40*$E$41</f>
        <v>1.0940643863179075E-2</v>
      </c>
      <c r="H41" s="44">
        <f t="shared" si="61"/>
        <v>2.188128772635815E-2</v>
      </c>
      <c r="I41" s="44">
        <f t="shared" si="61"/>
        <v>4.37625754527163E-2</v>
      </c>
      <c r="J41" s="44">
        <f t="shared" si="61"/>
        <v>8.75251509054326E-2</v>
      </c>
      <c r="K41" s="44">
        <f t="shared" si="61"/>
        <v>0.1750503018108652</v>
      </c>
      <c r="L41" s="44">
        <f t="shared" si="61"/>
        <v>0.3501006036217304</v>
      </c>
      <c r="M41" s="44">
        <f t="shared" si="61"/>
        <v>0.7002012072434608</v>
      </c>
      <c r="N41" s="44">
        <f t="shared" si="61"/>
        <v>1.4004024144869216</v>
      </c>
      <c r="O41" s="44">
        <f t="shared" si="61"/>
        <v>2.8008048289738432</v>
      </c>
      <c r="P41" s="44">
        <f t="shared" si="61"/>
        <v>5.6016096579476864</v>
      </c>
      <c r="Q41" s="44">
        <f t="shared" si="61"/>
        <v>11.203219315895373</v>
      </c>
      <c r="R41" s="44">
        <f t="shared" si="61"/>
        <v>22.406438631790746</v>
      </c>
      <c r="S41" s="44">
        <f t="shared" si="61"/>
        <v>44.812877263581491</v>
      </c>
      <c r="T41" s="44">
        <f t="shared" si="61"/>
        <v>89.625754527162982</v>
      </c>
      <c r="U41" s="44">
        <f t="shared" si="61"/>
        <v>179.25150905432596</v>
      </c>
      <c r="V41" s="44">
        <f t="shared" si="61"/>
        <v>358.50301810865193</v>
      </c>
      <c r="W41" s="44">
        <f t="shared" si="61"/>
        <v>717.00603621730386</v>
      </c>
      <c r="X41" s="44">
        <f t="shared" ref="X41:AA41" si="62">X$12*$D$40*$E$41</f>
        <v>1434.0120724346077</v>
      </c>
      <c r="Y41" s="44">
        <f t="shared" si="62"/>
        <v>2868.0241448692154</v>
      </c>
      <c r="Z41" s="44">
        <f t="shared" si="62"/>
        <v>5736.0482897384309</v>
      </c>
      <c r="AA41" s="99">
        <f t="shared" si="62"/>
        <v>8974.4788732394372</v>
      </c>
    </row>
    <row r="42" spans="1:27" x14ac:dyDescent="0.25">
      <c r="A42" s="59" t="s">
        <v>20</v>
      </c>
      <c r="B42" s="18">
        <f>'ABS Population by Age Range'!D37</f>
        <v>0.14458334093878666</v>
      </c>
      <c r="C42" s="22">
        <f t="shared" si="42"/>
        <v>3706249.3616248574</v>
      </c>
      <c r="D42" s="117">
        <f>'AU Infection Rate by Age'!C10</f>
        <v>0.18008048289738432</v>
      </c>
      <c r="E42" s="31"/>
      <c r="F42" s="22"/>
      <c r="G42" s="34">
        <f t="shared" ref="G42:W42" si="63">G$12*$D$42</f>
        <v>5.6275150905432598</v>
      </c>
      <c r="H42" s="35">
        <f t="shared" si="63"/>
        <v>11.25503018108652</v>
      </c>
      <c r="I42" s="35">
        <f t="shared" si="63"/>
        <v>22.510060362173039</v>
      </c>
      <c r="J42" s="35">
        <f t="shared" si="63"/>
        <v>45.020120724346079</v>
      </c>
      <c r="K42" s="35">
        <f t="shared" si="63"/>
        <v>90.040241448692157</v>
      </c>
      <c r="L42" s="35">
        <f t="shared" si="63"/>
        <v>180.08048289738431</v>
      </c>
      <c r="M42" s="35">
        <f t="shared" si="63"/>
        <v>360.16096579476863</v>
      </c>
      <c r="N42" s="35">
        <f t="shared" si="63"/>
        <v>720.32193158953726</v>
      </c>
      <c r="O42" s="35">
        <f t="shared" si="63"/>
        <v>1440.6438631790745</v>
      </c>
      <c r="P42" s="35">
        <f t="shared" si="63"/>
        <v>2881.287726358149</v>
      </c>
      <c r="Q42" s="35">
        <f t="shared" si="63"/>
        <v>5762.5754527162981</v>
      </c>
      <c r="R42" s="35">
        <f t="shared" si="63"/>
        <v>11525.150905432596</v>
      </c>
      <c r="S42" s="35">
        <f t="shared" si="63"/>
        <v>23050.301810865192</v>
      </c>
      <c r="T42" s="35">
        <f t="shared" si="63"/>
        <v>46100.603621730384</v>
      </c>
      <c r="U42" s="35">
        <f t="shared" si="63"/>
        <v>92201.207243460769</v>
      </c>
      <c r="V42" s="35">
        <f t="shared" si="63"/>
        <v>184402.41448692154</v>
      </c>
      <c r="W42" s="35">
        <f t="shared" si="63"/>
        <v>368804.82897384308</v>
      </c>
      <c r="X42" s="35">
        <f t="shared" ref="X42:AA42" si="64">X$12*$D$42</f>
        <v>737609.65794768615</v>
      </c>
      <c r="Y42" s="35">
        <f t="shared" si="64"/>
        <v>1475219.3158953723</v>
      </c>
      <c r="Z42" s="35">
        <f t="shared" si="64"/>
        <v>2950438.6317907446</v>
      </c>
      <c r="AA42" s="116">
        <f t="shared" si="64"/>
        <v>4616183.0985915493</v>
      </c>
    </row>
    <row r="43" spans="1:27" x14ac:dyDescent="0.25">
      <c r="A43" s="59"/>
      <c r="B43" s="18"/>
      <c r="C43" s="22"/>
      <c r="D43" s="20"/>
      <c r="E43" s="41">
        <v>2E-3</v>
      </c>
      <c r="F43" s="22"/>
      <c r="G43" s="43">
        <f t="shared" ref="G43:W43" si="65">G$12*$D$42*$E$43</f>
        <v>1.125503018108652E-2</v>
      </c>
      <c r="H43" s="44">
        <f t="shared" si="65"/>
        <v>2.251006036217304E-2</v>
      </c>
      <c r="I43" s="44">
        <f t="shared" si="65"/>
        <v>4.502012072434608E-2</v>
      </c>
      <c r="J43" s="44">
        <f t="shared" si="65"/>
        <v>9.004024144869216E-2</v>
      </c>
      <c r="K43" s="44">
        <f t="shared" si="65"/>
        <v>0.18008048289738432</v>
      </c>
      <c r="L43" s="44">
        <f t="shared" si="65"/>
        <v>0.36016096579476864</v>
      </c>
      <c r="M43" s="44">
        <f t="shared" si="65"/>
        <v>0.72032193158953728</v>
      </c>
      <c r="N43" s="44">
        <f t="shared" si="65"/>
        <v>1.4406438631790746</v>
      </c>
      <c r="O43" s="44">
        <f t="shared" si="65"/>
        <v>2.8812877263581491</v>
      </c>
      <c r="P43" s="44">
        <f t="shared" si="65"/>
        <v>5.7625754527162982</v>
      </c>
      <c r="Q43" s="44">
        <f t="shared" si="65"/>
        <v>11.525150905432596</v>
      </c>
      <c r="R43" s="44">
        <f t="shared" si="65"/>
        <v>23.050301810865193</v>
      </c>
      <c r="S43" s="44">
        <f t="shared" si="65"/>
        <v>46.100603621730386</v>
      </c>
      <c r="T43" s="44">
        <f t="shared" si="65"/>
        <v>92.201207243460772</v>
      </c>
      <c r="U43" s="44">
        <f t="shared" si="65"/>
        <v>184.40241448692154</v>
      </c>
      <c r="V43" s="44">
        <f t="shared" si="65"/>
        <v>368.80482897384309</v>
      </c>
      <c r="W43" s="44">
        <f t="shared" si="65"/>
        <v>737.60965794768617</v>
      </c>
      <c r="X43" s="44">
        <f t="shared" ref="X43:AA43" si="66">X$12*$D$42*$E$43</f>
        <v>1475.2193158953723</v>
      </c>
      <c r="Y43" s="44">
        <f t="shared" si="66"/>
        <v>2950.4386317907447</v>
      </c>
      <c r="Z43" s="44">
        <f t="shared" si="66"/>
        <v>5900.8772635814894</v>
      </c>
      <c r="AA43" s="99">
        <f t="shared" si="66"/>
        <v>9232.3661971830988</v>
      </c>
    </row>
    <row r="44" spans="1:27" x14ac:dyDescent="0.25">
      <c r="A44" s="60" t="s">
        <v>21</v>
      </c>
      <c r="B44" s="18">
        <f>'ABS Population by Age Range'!D25</f>
        <v>0.12056476079328157</v>
      </c>
      <c r="C44" s="22">
        <f t="shared" si="42"/>
        <v>3090557.0781749799</v>
      </c>
      <c r="D44" s="37">
        <f>'AU Infection Rate by Age'!C11</f>
        <v>3.3199195171026159E-2</v>
      </c>
      <c r="E44" s="31"/>
      <c r="F44" s="22"/>
      <c r="G44" s="34">
        <f t="shared" ref="G44:W44" si="67">G$12*$D$44</f>
        <v>1.0374748490945676</v>
      </c>
      <c r="H44" s="35">
        <f t="shared" si="67"/>
        <v>2.0749496981891351</v>
      </c>
      <c r="I44" s="35">
        <f t="shared" si="67"/>
        <v>4.1498993963782702</v>
      </c>
      <c r="J44" s="35">
        <f t="shared" si="67"/>
        <v>8.2997987927565404</v>
      </c>
      <c r="K44" s="35">
        <f t="shared" si="67"/>
        <v>16.599597585513081</v>
      </c>
      <c r="L44" s="35">
        <f t="shared" si="67"/>
        <v>33.199195171026162</v>
      </c>
      <c r="M44" s="35">
        <f t="shared" si="67"/>
        <v>66.398390342052323</v>
      </c>
      <c r="N44" s="35">
        <f t="shared" si="67"/>
        <v>132.79678068410465</v>
      </c>
      <c r="O44" s="35">
        <f t="shared" si="67"/>
        <v>265.59356136820929</v>
      </c>
      <c r="P44" s="35">
        <f t="shared" si="67"/>
        <v>531.18712273641859</v>
      </c>
      <c r="Q44" s="35">
        <f t="shared" si="67"/>
        <v>1062.3742454728372</v>
      </c>
      <c r="R44" s="35">
        <f t="shared" si="67"/>
        <v>2124.7484909456743</v>
      </c>
      <c r="S44" s="35">
        <f t="shared" si="67"/>
        <v>4249.4969818913487</v>
      </c>
      <c r="T44" s="35">
        <f t="shared" si="67"/>
        <v>8498.9939637826974</v>
      </c>
      <c r="U44" s="35">
        <f t="shared" si="67"/>
        <v>16997.987927565395</v>
      </c>
      <c r="V44" s="35">
        <f t="shared" si="67"/>
        <v>33995.97585513079</v>
      </c>
      <c r="W44" s="35">
        <f t="shared" si="67"/>
        <v>67991.951710261579</v>
      </c>
      <c r="X44" s="35">
        <f t="shared" ref="X44:AA44" si="68">X$12*$D$44</f>
        <v>135983.90342052316</v>
      </c>
      <c r="Y44" s="35">
        <f t="shared" si="68"/>
        <v>271967.80684104632</v>
      </c>
      <c r="Z44" s="35">
        <f t="shared" si="68"/>
        <v>543935.61368209263</v>
      </c>
      <c r="AA44" s="100">
        <f t="shared" si="68"/>
        <v>851028.16901408462</v>
      </c>
    </row>
    <row r="45" spans="1:27" x14ac:dyDescent="0.25">
      <c r="A45" s="60"/>
      <c r="B45" s="18"/>
      <c r="C45" s="22"/>
      <c r="D45" s="20"/>
      <c r="E45" s="41">
        <v>2E-3</v>
      </c>
      <c r="F45" s="22"/>
      <c r="G45" s="43">
        <f t="shared" ref="G45:W45" si="69">G$12*$D$44*$E$45</f>
        <v>2.074949698189135E-3</v>
      </c>
      <c r="H45" s="44">
        <f t="shared" si="69"/>
        <v>4.1498993963782699E-3</v>
      </c>
      <c r="I45" s="44">
        <f t="shared" si="69"/>
        <v>8.2997987927565398E-3</v>
      </c>
      <c r="J45" s="44">
        <f t="shared" si="69"/>
        <v>1.659959758551308E-2</v>
      </c>
      <c r="K45" s="44">
        <f t="shared" si="69"/>
        <v>3.3199195171026159E-2</v>
      </c>
      <c r="L45" s="44">
        <f t="shared" si="69"/>
        <v>6.6398390342052319E-2</v>
      </c>
      <c r="M45" s="44">
        <f t="shared" si="69"/>
        <v>0.13279678068410464</v>
      </c>
      <c r="N45" s="44">
        <f t="shared" si="69"/>
        <v>0.26559356136820927</v>
      </c>
      <c r="O45" s="44">
        <f t="shared" si="69"/>
        <v>0.53118712273641855</v>
      </c>
      <c r="P45" s="44">
        <f t="shared" si="69"/>
        <v>1.0623742454728371</v>
      </c>
      <c r="Q45" s="44">
        <f t="shared" si="69"/>
        <v>2.1247484909456742</v>
      </c>
      <c r="R45" s="44">
        <f t="shared" si="69"/>
        <v>4.2494969818913484</v>
      </c>
      <c r="S45" s="44">
        <f t="shared" si="69"/>
        <v>8.4989939637826968</v>
      </c>
      <c r="T45" s="44">
        <f t="shared" si="69"/>
        <v>16.997987927565394</v>
      </c>
      <c r="U45" s="44">
        <f t="shared" si="69"/>
        <v>33.995975855130787</v>
      </c>
      <c r="V45" s="44">
        <f t="shared" si="69"/>
        <v>67.991951710261574</v>
      </c>
      <c r="W45" s="44">
        <f t="shared" si="69"/>
        <v>135.98390342052315</v>
      </c>
      <c r="X45" s="44">
        <f t="shared" ref="X45:AA45" si="70">X$12*$D$44*$E$45</f>
        <v>271.9678068410463</v>
      </c>
      <c r="Y45" s="44">
        <f t="shared" si="70"/>
        <v>543.93561368209259</v>
      </c>
      <c r="Z45" s="44">
        <f t="shared" si="70"/>
        <v>1087.8712273641852</v>
      </c>
      <c r="AA45" s="99">
        <f t="shared" si="70"/>
        <v>1702.0563380281692</v>
      </c>
    </row>
    <row r="46" spans="1:27" x14ac:dyDescent="0.25">
      <c r="A46" s="60" t="s">
        <v>22</v>
      </c>
      <c r="B46" s="18">
        <f>'ABS Population by Age Range'!D13</f>
        <v>0.1255958322404806</v>
      </c>
      <c r="C46" s="22">
        <f t="shared" si="42"/>
        <v>3219523.5636524796</v>
      </c>
      <c r="D46" s="37">
        <f>'AU Infection Rate by Age'!C12</f>
        <v>6.0362173038229373E-3</v>
      </c>
      <c r="E46" s="31"/>
      <c r="F46" s="22"/>
      <c r="G46" s="34">
        <f t="shared" ref="G46:W46" si="71">G$12*$D$46</f>
        <v>0.18863179074446679</v>
      </c>
      <c r="H46" s="35">
        <f t="shared" si="71"/>
        <v>0.37726358148893357</v>
      </c>
      <c r="I46" s="35">
        <f t="shared" si="71"/>
        <v>0.75452716297786715</v>
      </c>
      <c r="J46" s="35">
        <f t="shared" si="71"/>
        <v>1.5090543259557343</v>
      </c>
      <c r="K46" s="35">
        <f t="shared" si="71"/>
        <v>3.0181086519114686</v>
      </c>
      <c r="L46" s="35">
        <f t="shared" si="71"/>
        <v>6.0362173038229372</v>
      </c>
      <c r="M46" s="35">
        <f t="shared" si="71"/>
        <v>12.072434607645874</v>
      </c>
      <c r="N46" s="35">
        <f t="shared" si="71"/>
        <v>24.144869215291749</v>
      </c>
      <c r="O46" s="35">
        <f t="shared" si="71"/>
        <v>48.289738430583498</v>
      </c>
      <c r="P46" s="35">
        <f t="shared" si="71"/>
        <v>96.579476861166995</v>
      </c>
      <c r="Q46" s="35">
        <f t="shared" si="71"/>
        <v>193.15895372233399</v>
      </c>
      <c r="R46" s="35">
        <f t="shared" si="71"/>
        <v>386.31790744466798</v>
      </c>
      <c r="S46" s="35">
        <f t="shared" si="71"/>
        <v>772.63581488933596</v>
      </c>
      <c r="T46" s="35">
        <f t="shared" si="71"/>
        <v>1545.2716297786719</v>
      </c>
      <c r="U46" s="35">
        <f t="shared" si="71"/>
        <v>3090.5432595573438</v>
      </c>
      <c r="V46" s="35">
        <f t="shared" si="71"/>
        <v>6181.0865191146877</v>
      </c>
      <c r="W46" s="35">
        <f t="shared" si="71"/>
        <v>12362.173038229375</v>
      </c>
      <c r="X46" s="35">
        <f t="shared" ref="X46:AA46" si="72">X$12*$D$46</f>
        <v>24724.346076458751</v>
      </c>
      <c r="Y46" s="35">
        <f t="shared" si="72"/>
        <v>49448.692152917502</v>
      </c>
      <c r="Z46" s="35">
        <f t="shared" si="72"/>
        <v>98897.384305835003</v>
      </c>
      <c r="AA46" s="100">
        <f t="shared" si="72"/>
        <v>154732.39436619717</v>
      </c>
    </row>
    <row r="47" spans="1:27" x14ac:dyDescent="0.25">
      <c r="A47" s="60"/>
      <c r="B47" s="19"/>
      <c r="C47" s="24"/>
      <c r="D47" s="40"/>
      <c r="E47" s="42">
        <v>0</v>
      </c>
      <c r="F47" s="22"/>
      <c r="G47" s="45">
        <f t="shared" ref="G47:W47" si="73">G$12*$D$46*$E$47</f>
        <v>0</v>
      </c>
      <c r="H47" s="46">
        <f t="shared" si="73"/>
        <v>0</v>
      </c>
      <c r="I47" s="46">
        <f t="shared" si="73"/>
        <v>0</v>
      </c>
      <c r="J47" s="46">
        <f t="shared" si="73"/>
        <v>0</v>
      </c>
      <c r="K47" s="46">
        <f t="shared" si="73"/>
        <v>0</v>
      </c>
      <c r="L47" s="46">
        <f t="shared" si="73"/>
        <v>0</v>
      </c>
      <c r="M47" s="46">
        <f t="shared" si="73"/>
        <v>0</v>
      </c>
      <c r="N47" s="46">
        <f t="shared" si="73"/>
        <v>0</v>
      </c>
      <c r="O47" s="46">
        <f t="shared" si="73"/>
        <v>0</v>
      </c>
      <c r="P47" s="46">
        <f t="shared" si="73"/>
        <v>0</v>
      </c>
      <c r="Q47" s="46">
        <f t="shared" si="73"/>
        <v>0</v>
      </c>
      <c r="R47" s="46">
        <f t="shared" si="73"/>
        <v>0</v>
      </c>
      <c r="S47" s="46">
        <f t="shared" si="73"/>
        <v>0</v>
      </c>
      <c r="T47" s="46">
        <f t="shared" si="73"/>
        <v>0</v>
      </c>
      <c r="U47" s="46">
        <f t="shared" si="73"/>
        <v>0</v>
      </c>
      <c r="V47" s="46">
        <f t="shared" si="73"/>
        <v>0</v>
      </c>
      <c r="W47" s="46">
        <f t="shared" si="73"/>
        <v>0</v>
      </c>
      <c r="X47" s="46">
        <f t="shared" ref="X47:AA47" si="74">X$12*$D$46*$E$47</f>
        <v>0</v>
      </c>
      <c r="Y47" s="46">
        <f t="shared" si="74"/>
        <v>0</v>
      </c>
      <c r="Z47" s="46">
        <f t="shared" si="74"/>
        <v>0</v>
      </c>
      <c r="AA47" s="101">
        <f t="shared" si="74"/>
        <v>0</v>
      </c>
    </row>
    <row r="48" spans="1:27" x14ac:dyDescent="0.25">
      <c r="A48" s="59" t="s">
        <v>132</v>
      </c>
      <c r="B48" s="28"/>
      <c r="C48" s="22"/>
      <c r="D48" s="22"/>
      <c r="E48" s="29"/>
      <c r="F48" s="22"/>
      <c r="G48" s="32">
        <f t="shared" ref="G48:W48" si="75">SUM(G30,G32,G34,G36,G38,G40,G42,G44,G46)</f>
        <v>31.25</v>
      </c>
      <c r="H48" s="33">
        <f t="shared" si="75"/>
        <v>62.5</v>
      </c>
      <c r="I48" s="33">
        <f t="shared" si="75"/>
        <v>125</v>
      </c>
      <c r="J48" s="33">
        <f t="shared" si="75"/>
        <v>250</v>
      </c>
      <c r="K48" s="33">
        <f t="shared" si="75"/>
        <v>500</v>
      </c>
      <c r="L48" s="33">
        <f>SUM(L30,L32,L34,L36,L38,L40,L42,L44,L46)</f>
        <v>1000</v>
      </c>
      <c r="M48" s="33">
        <f t="shared" si="75"/>
        <v>2000</v>
      </c>
      <c r="N48" s="33">
        <f t="shared" si="75"/>
        <v>4000</v>
      </c>
      <c r="O48" s="33">
        <f t="shared" si="75"/>
        <v>8000</v>
      </c>
      <c r="P48" s="33">
        <f t="shared" si="75"/>
        <v>16000</v>
      </c>
      <c r="Q48" s="33">
        <f t="shared" si="75"/>
        <v>32000</v>
      </c>
      <c r="R48" s="33">
        <f t="shared" si="75"/>
        <v>64000</v>
      </c>
      <c r="S48" s="33">
        <f t="shared" si="75"/>
        <v>128000</v>
      </c>
      <c r="T48" s="33">
        <f t="shared" si="75"/>
        <v>256000</v>
      </c>
      <c r="U48" s="33">
        <f t="shared" si="75"/>
        <v>512000</v>
      </c>
      <c r="V48" s="33">
        <f t="shared" si="75"/>
        <v>1024000</v>
      </c>
      <c r="W48" s="33">
        <f t="shared" si="75"/>
        <v>2048000</v>
      </c>
      <c r="X48" s="33">
        <f t="shared" ref="X48:AA48" si="76">SUM(X30,X32,X34,X36,X38,X40,X42,X44,X46)</f>
        <v>4096000</v>
      </c>
      <c r="Y48" s="33">
        <f t="shared" si="76"/>
        <v>8192000</v>
      </c>
      <c r="Z48" s="33">
        <f t="shared" si="76"/>
        <v>16384000</v>
      </c>
      <c r="AA48" s="81">
        <f t="shared" si="76"/>
        <v>25634000.000000004</v>
      </c>
    </row>
    <row r="49" spans="1:27" x14ac:dyDescent="0.25">
      <c r="A49" s="61" t="s">
        <v>131</v>
      </c>
      <c r="B49" s="62"/>
      <c r="C49" s="24"/>
      <c r="D49" s="24"/>
      <c r="E49" s="55"/>
      <c r="F49" s="24"/>
      <c r="G49" s="45">
        <f>SUM(G31,G33,G35,G37,G39,G41,G43,G45,G47)</f>
        <v>0.67511317907444657</v>
      </c>
      <c r="H49" s="46">
        <f>SUM(H31,H33,H35,H37,H39,H41,H43,H45,H47)</f>
        <v>1.3502263581488931</v>
      </c>
      <c r="I49" s="46">
        <f t="shared" ref="I49:W49" si="77">SUM(I31,I33,I35,I37,I39,I41,I43,I45,I47)</f>
        <v>2.7004527162977863</v>
      </c>
      <c r="J49" s="46">
        <f t="shared" si="77"/>
        <v>5.4009054325955725</v>
      </c>
      <c r="K49" s="46">
        <f t="shared" si="77"/>
        <v>10.801810865191145</v>
      </c>
      <c r="L49" s="46">
        <f t="shared" si="77"/>
        <v>21.60362173038229</v>
      </c>
      <c r="M49" s="46">
        <f t="shared" si="77"/>
        <v>43.20724346076458</v>
      </c>
      <c r="N49" s="46">
        <f t="shared" si="77"/>
        <v>86.414486921529161</v>
      </c>
      <c r="O49" s="46">
        <f t="shared" si="77"/>
        <v>172.82897384305832</v>
      </c>
      <c r="P49" s="46">
        <f t="shared" si="77"/>
        <v>345.65794768611664</v>
      </c>
      <c r="Q49" s="46">
        <f t="shared" si="77"/>
        <v>691.31589537223329</v>
      </c>
      <c r="R49" s="46">
        <f t="shared" si="77"/>
        <v>1382.6317907444666</v>
      </c>
      <c r="S49" s="46">
        <f t="shared" si="77"/>
        <v>2765.2635814889331</v>
      </c>
      <c r="T49" s="46">
        <f t="shared" si="77"/>
        <v>5530.5271629778663</v>
      </c>
      <c r="U49" s="46">
        <f t="shared" si="77"/>
        <v>11061.054325955733</v>
      </c>
      <c r="V49" s="46">
        <f t="shared" si="77"/>
        <v>22122.108651911465</v>
      </c>
      <c r="W49" s="46">
        <f t="shared" si="77"/>
        <v>44244.21730382293</v>
      </c>
      <c r="X49" s="46">
        <f t="shared" ref="X49:AA49" si="78">SUM(X31,X33,X35,X37,X39,X41,X43,X45,X47)</f>
        <v>88488.434607645861</v>
      </c>
      <c r="Y49" s="46">
        <f t="shared" si="78"/>
        <v>176976.86921529172</v>
      </c>
      <c r="Z49" s="46">
        <f t="shared" si="78"/>
        <v>353953.73843058344</v>
      </c>
      <c r="AA49" s="101">
        <f t="shared" si="78"/>
        <v>553787.2394366198</v>
      </c>
    </row>
    <row r="50" spans="1:27" x14ac:dyDescent="0.25">
      <c r="A50" s="60"/>
      <c r="B50" s="28"/>
      <c r="C50" s="22"/>
      <c r="D50" s="22"/>
      <c r="E50" s="29"/>
      <c r="F50" s="22"/>
      <c r="G50" s="63"/>
      <c r="H50" s="63"/>
      <c r="I50" s="63"/>
      <c r="J50" s="63"/>
      <c r="K50" s="63"/>
      <c r="L50" s="63"/>
      <c r="M50" s="63"/>
      <c r="N50" s="63"/>
      <c r="O50" s="63"/>
      <c r="P50" s="63"/>
      <c r="Q50" s="63"/>
      <c r="R50" s="63"/>
      <c r="S50" s="63"/>
      <c r="T50" s="63"/>
      <c r="U50" s="63"/>
      <c r="V50" s="63"/>
      <c r="W50" s="63"/>
      <c r="X50" s="63"/>
    </row>
    <row r="51" spans="1:27" x14ac:dyDescent="0.25">
      <c r="A51" s="75" t="s">
        <v>150</v>
      </c>
      <c r="B51" s="28"/>
      <c r="C51" s="22"/>
      <c r="D51" s="22"/>
      <c r="E51" s="29"/>
      <c r="F51" s="22"/>
      <c r="G51" s="63"/>
      <c r="H51" s="63"/>
      <c r="I51" s="63"/>
      <c r="J51" s="63"/>
      <c r="K51" s="63"/>
      <c r="L51" s="63"/>
      <c r="M51" s="63"/>
      <c r="N51" s="63"/>
      <c r="O51" s="63"/>
      <c r="P51" s="63"/>
      <c r="Q51" s="63"/>
      <c r="R51" s="63"/>
      <c r="S51" s="63"/>
      <c r="T51" s="63"/>
      <c r="U51" s="63"/>
      <c r="V51" s="63"/>
      <c r="W51" s="63"/>
      <c r="X51" s="63"/>
    </row>
    <row r="52" spans="1:27" x14ac:dyDescent="0.25">
      <c r="A52" s="16"/>
      <c r="B52" s="21" t="s">
        <v>6</v>
      </c>
      <c r="C52" s="21" t="s">
        <v>4</v>
      </c>
      <c r="D52" s="21"/>
      <c r="E52" s="80" t="s">
        <v>3</v>
      </c>
      <c r="F52" s="21"/>
      <c r="G52" s="21"/>
      <c r="H52" s="21"/>
      <c r="I52" s="21"/>
      <c r="J52" s="21"/>
      <c r="K52" s="21"/>
      <c r="L52" s="21"/>
      <c r="M52" s="21"/>
      <c r="N52" s="21"/>
      <c r="O52" s="21"/>
      <c r="P52" s="21"/>
      <c r="Q52" s="21"/>
      <c r="R52" s="21"/>
      <c r="S52" s="21"/>
      <c r="T52" s="21"/>
      <c r="U52" s="21"/>
      <c r="V52" s="21"/>
      <c r="W52" s="21"/>
      <c r="X52" s="21"/>
      <c r="Y52" s="21"/>
      <c r="Z52" s="21"/>
      <c r="AA52" s="17"/>
    </row>
    <row r="53" spans="1:27" x14ac:dyDescent="0.25">
      <c r="A53" s="59" t="s">
        <v>2</v>
      </c>
      <c r="B53" s="38">
        <v>0.05</v>
      </c>
      <c r="C53" s="22">
        <f>$B$1 * B53</f>
        <v>1281700</v>
      </c>
      <c r="D53" s="30"/>
      <c r="E53" s="30"/>
      <c r="F53" s="30"/>
      <c r="G53" s="32">
        <f>G$12*$B$53</f>
        <v>1.5625</v>
      </c>
      <c r="H53" s="33">
        <f t="shared" ref="H53:W53" si="79">H$12*$B$53</f>
        <v>3.125</v>
      </c>
      <c r="I53" s="33">
        <f t="shared" si="79"/>
        <v>6.25</v>
      </c>
      <c r="J53" s="33">
        <f t="shared" si="79"/>
        <v>12.5</v>
      </c>
      <c r="K53" s="33">
        <f t="shared" si="79"/>
        <v>25</v>
      </c>
      <c r="L53" s="33">
        <f t="shared" si="79"/>
        <v>50</v>
      </c>
      <c r="M53" s="33">
        <f t="shared" si="79"/>
        <v>100</v>
      </c>
      <c r="N53" s="33">
        <f t="shared" si="79"/>
        <v>200</v>
      </c>
      <c r="O53" s="33">
        <f t="shared" si="79"/>
        <v>400</v>
      </c>
      <c r="P53" s="33">
        <f t="shared" si="79"/>
        <v>800</v>
      </c>
      <c r="Q53" s="33">
        <f t="shared" si="79"/>
        <v>1600</v>
      </c>
      <c r="R53" s="33">
        <f t="shared" si="79"/>
        <v>3200</v>
      </c>
      <c r="S53" s="33">
        <f t="shared" si="79"/>
        <v>6400</v>
      </c>
      <c r="T53" s="33">
        <f t="shared" si="79"/>
        <v>12800</v>
      </c>
      <c r="U53" s="33">
        <f t="shared" si="79"/>
        <v>25600</v>
      </c>
      <c r="V53" s="33">
        <f t="shared" si="79"/>
        <v>51200</v>
      </c>
      <c r="W53" s="33">
        <f t="shared" si="79"/>
        <v>102400</v>
      </c>
      <c r="X53" s="33">
        <f t="shared" ref="X53:Z53" si="80">X$12*$B$53</f>
        <v>204800</v>
      </c>
      <c r="Y53" s="33">
        <f t="shared" si="80"/>
        <v>409600</v>
      </c>
      <c r="Z53" s="33">
        <f t="shared" si="80"/>
        <v>819200</v>
      </c>
      <c r="AA53" s="81">
        <f>AA$12*$B$53</f>
        <v>1281700</v>
      </c>
    </row>
    <row r="54" spans="1:27" x14ac:dyDescent="0.25">
      <c r="A54" s="59"/>
      <c r="B54" s="30"/>
      <c r="C54" s="30"/>
      <c r="D54" s="39"/>
      <c r="E54" s="64">
        <v>0.105</v>
      </c>
      <c r="F54" s="30"/>
      <c r="G54" s="43">
        <f>G53*$E$54</f>
        <v>0.1640625</v>
      </c>
      <c r="H54" s="44">
        <f t="shared" ref="H54:W54" si="81">H53*$E$54</f>
        <v>0.328125</v>
      </c>
      <c r="I54" s="44">
        <f t="shared" si="81"/>
        <v>0.65625</v>
      </c>
      <c r="J54" s="44">
        <f t="shared" si="81"/>
        <v>1.3125</v>
      </c>
      <c r="K54" s="44">
        <f t="shared" si="81"/>
        <v>2.625</v>
      </c>
      <c r="L54" s="44">
        <f t="shared" si="81"/>
        <v>5.25</v>
      </c>
      <c r="M54" s="44">
        <f t="shared" si="81"/>
        <v>10.5</v>
      </c>
      <c r="N54" s="44">
        <f t="shared" si="81"/>
        <v>21</v>
      </c>
      <c r="O54" s="44">
        <f t="shared" si="81"/>
        <v>42</v>
      </c>
      <c r="P54" s="44">
        <f t="shared" si="81"/>
        <v>84</v>
      </c>
      <c r="Q54" s="44">
        <f t="shared" si="81"/>
        <v>168</v>
      </c>
      <c r="R54" s="44">
        <f t="shared" si="81"/>
        <v>336</v>
      </c>
      <c r="S54" s="44">
        <f t="shared" si="81"/>
        <v>672</v>
      </c>
      <c r="T54" s="44">
        <f t="shared" si="81"/>
        <v>1344</v>
      </c>
      <c r="U54" s="44">
        <f t="shared" si="81"/>
        <v>2688</v>
      </c>
      <c r="V54" s="44">
        <f t="shared" si="81"/>
        <v>5376</v>
      </c>
      <c r="W54" s="44">
        <f t="shared" si="81"/>
        <v>10752</v>
      </c>
      <c r="X54" s="44">
        <f t="shared" ref="X54:AA54" si="82">X53*$E$54</f>
        <v>21504</v>
      </c>
      <c r="Y54" s="44">
        <f t="shared" si="82"/>
        <v>43008</v>
      </c>
      <c r="Z54" s="44">
        <f t="shared" si="82"/>
        <v>86016</v>
      </c>
      <c r="AA54" s="99">
        <f t="shared" si="82"/>
        <v>134578.5</v>
      </c>
    </row>
    <row r="55" spans="1:27" x14ac:dyDescent="0.25">
      <c r="A55" s="59" t="s">
        <v>5</v>
      </c>
      <c r="B55" s="38">
        <v>4.5999999999999999E-2</v>
      </c>
      <c r="C55" s="22">
        <f>$B$1 * B55</f>
        <v>1179164</v>
      </c>
      <c r="D55" s="65"/>
      <c r="E55" s="30"/>
      <c r="F55" s="30"/>
      <c r="G55" s="34">
        <f t="shared" ref="G55:W55" si="83">G$12*$B$55</f>
        <v>1.4375</v>
      </c>
      <c r="H55" s="35">
        <f t="shared" si="83"/>
        <v>2.875</v>
      </c>
      <c r="I55" s="35">
        <f t="shared" si="83"/>
        <v>5.75</v>
      </c>
      <c r="J55" s="35">
        <f t="shared" si="83"/>
        <v>11.5</v>
      </c>
      <c r="K55" s="35">
        <f t="shared" si="83"/>
        <v>23</v>
      </c>
      <c r="L55" s="35">
        <f t="shared" si="83"/>
        <v>46</v>
      </c>
      <c r="M55" s="35">
        <f t="shared" si="83"/>
        <v>92</v>
      </c>
      <c r="N55" s="35">
        <f t="shared" si="83"/>
        <v>184</v>
      </c>
      <c r="O55" s="35">
        <f t="shared" si="83"/>
        <v>368</v>
      </c>
      <c r="P55" s="35">
        <f t="shared" si="83"/>
        <v>736</v>
      </c>
      <c r="Q55" s="35">
        <f t="shared" si="83"/>
        <v>1472</v>
      </c>
      <c r="R55" s="35">
        <f t="shared" si="83"/>
        <v>2944</v>
      </c>
      <c r="S55" s="35">
        <f t="shared" si="83"/>
        <v>5888</v>
      </c>
      <c r="T55" s="35">
        <f t="shared" si="83"/>
        <v>11776</v>
      </c>
      <c r="U55" s="35">
        <f t="shared" si="83"/>
        <v>23552</v>
      </c>
      <c r="V55" s="35">
        <f t="shared" si="83"/>
        <v>47104</v>
      </c>
      <c r="W55" s="35">
        <f t="shared" si="83"/>
        <v>94208</v>
      </c>
      <c r="X55" s="35">
        <f t="shared" ref="X55:AA55" si="84">X$12*$B$55</f>
        <v>188416</v>
      </c>
      <c r="Y55" s="35">
        <f t="shared" si="84"/>
        <v>376832</v>
      </c>
      <c r="Z55" s="35">
        <f t="shared" si="84"/>
        <v>753664</v>
      </c>
      <c r="AA55" s="100">
        <f t="shared" si="84"/>
        <v>1179164</v>
      </c>
    </row>
    <row r="56" spans="1:27" x14ac:dyDescent="0.25">
      <c r="A56" s="59"/>
      <c r="B56" s="30"/>
      <c r="C56" s="30"/>
      <c r="D56" s="39"/>
      <c r="E56" s="64">
        <v>7.2999999999999995E-2</v>
      </c>
      <c r="F56" s="30"/>
      <c r="G56" s="43">
        <f t="shared" ref="G56:W56" si="85">G55*$E$56</f>
        <v>0.10493749999999999</v>
      </c>
      <c r="H56" s="44">
        <f t="shared" si="85"/>
        <v>0.20987499999999998</v>
      </c>
      <c r="I56" s="44">
        <f t="shared" si="85"/>
        <v>0.41974999999999996</v>
      </c>
      <c r="J56" s="44">
        <f t="shared" si="85"/>
        <v>0.83949999999999991</v>
      </c>
      <c r="K56" s="44">
        <f t="shared" si="85"/>
        <v>1.6789999999999998</v>
      </c>
      <c r="L56" s="44">
        <f t="shared" si="85"/>
        <v>3.3579999999999997</v>
      </c>
      <c r="M56" s="44">
        <f t="shared" si="85"/>
        <v>6.7159999999999993</v>
      </c>
      <c r="N56" s="44">
        <f t="shared" si="85"/>
        <v>13.431999999999999</v>
      </c>
      <c r="O56" s="44">
        <f t="shared" si="85"/>
        <v>26.863999999999997</v>
      </c>
      <c r="P56" s="44">
        <f t="shared" si="85"/>
        <v>53.727999999999994</v>
      </c>
      <c r="Q56" s="44">
        <f t="shared" si="85"/>
        <v>107.45599999999999</v>
      </c>
      <c r="R56" s="44">
        <f t="shared" si="85"/>
        <v>214.91199999999998</v>
      </c>
      <c r="S56" s="44">
        <f t="shared" si="85"/>
        <v>429.82399999999996</v>
      </c>
      <c r="T56" s="44">
        <f t="shared" si="85"/>
        <v>859.64799999999991</v>
      </c>
      <c r="U56" s="44">
        <f t="shared" si="85"/>
        <v>1719.2959999999998</v>
      </c>
      <c r="V56" s="44">
        <f t="shared" si="85"/>
        <v>3438.5919999999996</v>
      </c>
      <c r="W56" s="44">
        <f t="shared" si="85"/>
        <v>6877.1839999999993</v>
      </c>
      <c r="X56" s="44">
        <f t="shared" ref="X56:AA56" si="86">X55*$E$56</f>
        <v>13754.367999999999</v>
      </c>
      <c r="Y56" s="44">
        <f t="shared" si="86"/>
        <v>27508.735999999997</v>
      </c>
      <c r="Z56" s="44">
        <f t="shared" si="86"/>
        <v>55017.471999999994</v>
      </c>
      <c r="AA56" s="99">
        <f t="shared" si="86"/>
        <v>86078.971999999994</v>
      </c>
    </row>
    <row r="57" spans="1:27" x14ac:dyDescent="0.25">
      <c r="A57" s="59" t="s">
        <v>7</v>
      </c>
      <c r="B57" s="38">
        <v>0.31</v>
      </c>
      <c r="C57" s="22">
        <f>$B$1 * B57</f>
        <v>7946540</v>
      </c>
      <c r="D57" s="65"/>
      <c r="E57" s="30"/>
      <c r="F57" s="30"/>
      <c r="G57" s="34">
        <f t="shared" ref="G57:W57" si="87">G$12*$B$57</f>
        <v>9.6875</v>
      </c>
      <c r="H57" s="35">
        <f t="shared" si="87"/>
        <v>19.375</v>
      </c>
      <c r="I57" s="35">
        <f t="shared" si="87"/>
        <v>38.75</v>
      </c>
      <c r="J57" s="35">
        <f t="shared" si="87"/>
        <v>77.5</v>
      </c>
      <c r="K57" s="35">
        <f t="shared" si="87"/>
        <v>155</v>
      </c>
      <c r="L57" s="35">
        <f t="shared" si="87"/>
        <v>310</v>
      </c>
      <c r="M57" s="35">
        <f t="shared" si="87"/>
        <v>620</v>
      </c>
      <c r="N57" s="35">
        <f t="shared" si="87"/>
        <v>1240</v>
      </c>
      <c r="O57" s="35">
        <f t="shared" si="87"/>
        <v>2480</v>
      </c>
      <c r="P57" s="35">
        <f t="shared" si="87"/>
        <v>4960</v>
      </c>
      <c r="Q57" s="35">
        <f t="shared" si="87"/>
        <v>9920</v>
      </c>
      <c r="R57" s="35">
        <f t="shared" si="87"/>
        <v>19840</v>
      </c>
      <c r="S57" s="35">
        <f t="shared" si="87"/>
        <v>39680</v>
      </c>
      <c r="T57" s="35">
        <f t="shared" si="87"/>
        <v>79360</v>
      </c>
      <c r="U57" s="35">
        <f t="shared" si="87"/>
        <v>158720</v>
      </c>
      <c r="V57" s="35">
        <f t="shared" si="87"/>
        <v>317440</v>
      </c>
      <c r="W57" s="35">
        <f t="shared" si="87"/>
        <v>634880</v>
      </c>
      <c r="X57" s="35">
        <f t="shared" ref="X57:AA57" si="88">X$12*$B$57</f>
        <v>1269760</v>
      </c>
      <c r="Y57" s="35">
        <f t="shared" si="88"/>
        <v>2539520</v>
      </c>
      <c r="Z57" s="35">
        <f t="shared" si="88"/>
        <v>5079040</v>
      </c>
      <c r="AA57" s="100">
        <f t="shared" si="88"/>
        <v>7946540</v>
      </c>
    </row>
    <row r="58" spans="1:27" x14ac:dyDescent="0.25">
      <c r="A58" s="59"/>
      <c r="B58" s="30"/>
      <c r="C58" s="30"/>
      <c r="D58" s="39"/>
      <c r="E58" s="64">
        <v>6.3E-2</v>
      </c>
      <c r="F58" s="30"/>
      <c r="G58" s="43">
        <f t="shared" ref="G58:W58" si="89">G57*$E$58</f>
        <v>0.61031250000000004</v>
      </c>
      <c r="H58" s="44">
        <f t="shared" si="89"/>
        <v>1.2206250000000001</v>
      </c>
      <c r="I58" s="44">
        <f t="shared" si="89"/>
        <v>2.4412500000000001</v>
      </c>
      <c r="J58" s="44">
        <f t="shared" si="89"/>
        <v>4.8825000000000003</v>
      </c>
      <c r="K58" s="44">
        <f t="shared" si="89"/>
        <v>9.7650000000000006</v>
      </c>
      <c r="L58" s="44">
        <f t="shared" si="89"/>
        <v>19.53</v>
      </c>
      <c r="M58" s="44">
        <f t="shared" si="89"/>
        <v>39.06</v>
      </c>
      <c r="N58" s="44">
        <f t="shared" si="89"/>
        <v>78.12</v>
      </c>
      <c r="O58" s="44">
        <f t="shared" si="89"/>
        <v>156.24</v>
      </c>
      <c r="P58" s="44">
        <f t="shared" si="89"/>
        <v>312.48</v>
      </c>
      <c r="Q58" s="44">
        <f t="shared" si="89"/>
        <v>624.96</v>
      </c>
      <c r="R58" s="44">
        <f t="shared" si="89"/>
        <v>1249.92</v>
      </c>
      <c r="S58" s="44">
        <f t="shared" si="89"/>
        <v>2499.84</v>
      </c>
      <c r="T58" s="44">
        <f t="shared" si="89"/>
        <v>4999.68</v>
      </c>
      <c r="U58" s="44">
        <f t="shared" si="89"/>
        <v>9999.36</v>
      </c>
      <c r="V58" s="44">
        <f t="shared" si="89"/>
        <v>19998.72</v>
      </c>
      <c r="W58" s="44">
        <f t="shared" si="89"/>
        <v>39997.440000000002</v>
      </c>
      <c r="X58" s="44">
        <f t="shared" ref="X58:AA58" si="90">X57*$E$58</f>
        <v>79994.880000000005</v>
      </c>
      <c r="Y58" s="44">
        <f t="shared" si="90"/>
        <v>159989.76000000001</v>
      </c>
      <c r="Z58" s="44">
        <f t="shared" si="90"/>
        <v>319979.52000000002</v>
      </c>
      <c r="AA58" s="99">
        <f t="shared" si="90"/>
        <v>500632.02</v>
      </c>
    </row>
    <row r="59" spans="1:27" x14ac:dyDescent="0.25">
      <c r="A59" s="59" t="s">
        <v>8</v>
      </c>
      <c r="B59" s="38">
        <v>0.33700000000000002</v>
      </c>
      <c r="C59" s="22">
        <f>$B$1 * B59</f>
        <v>8638658</v>
      </c>
      <c r="D59" s="65"/>
      <c r="E59" s="30"/>
      <c r="F59" s="30"/>
      <c r="G59" s="34">
        <f t="shared" ref="G59:W59" si="91">G$12*$B$59</f>
        <v>10.53125</v>
      </c>
      <c r="H59" s="35">
        <f t="shared" si="91"/>
        <v>21.0625</v>
      </c>
      <c r="I59" s="35">
        <f t="shared" si="91"/>
        <v>42.125</v>
      </c>
      <c r="J59" s="35">
        <f t="shared" si="91"/>
        <v>84.25</v>
      </c>
      <c r="K59" s="35">
        <f t="shared" si="91"/>
        <v>168.5</v>
      </c>
      <c r="L59" s="35">
        <f t="shared" si="91"/>
        <v>337</v>
      </c>
      <c r="M59" s="35">
        <f t="shared" si="91"/>
        <v>674</v>
      </c>
      <c r="N59" s="35">
        <f t="shared" si="91"/>
        <v>1348</v>
      </c>
      <c r="O59" s="35">
        <f t="shared" si="91"/>
        <v>2696</v>
      </c>
      <c r="P59" s="35">
        <f t="shared" si="91"/>
        <v>5392</v>
      </c>
      <c r="Q59" s="35">
        <f t="shared" si="91"/>
        <v>10784</v>
      </c>
      <c r="R59" s="35">
        <f t="shared" si="91"/>
        <v>21568</v>
      </c>
      <c r="S59" s="35">
        <f t="shared" si="91"/>
        <v>43136</v>
      </c>
      <c r="T59" s="35">
        <f t="shared" si="91"/>
        <v>86272</v>
      </c>
      <c r="U59" s="35">
        <f t="shared" si="91"/>
        <v>172544</v>
      </c>
      <c r="V59" s="35">
        <f t="shared" si="91"/>
        <v>345088</v>
      </c>
      <c r="W59" s="35">
        <f t="shared" si="91"/>
        <v>690176</v>
      </c>
      <c r="X59" s="35">
        <f t="shared" ref="X59:AA59" si="92">X$12*$B$59</f>
        <v>1380352</v>
      </c>
      <c r="Y59" s="35">
        <f t="shared" si="92"/>
        <v>2760704</v>
      </c>
      <c r="Z59" s="35">
        <f t="shared" si="92"/>
        <v>5521408</v>
      </c>
      <c r="AA59" s="100">
        <f t="shared" si="92"/>
        <v>8638658</v>
      </c>
    </row>
    <row r="60" spans="1:27" x14ac:dyDescent="0.25">
      <c r="A60" s="59"/>
      <c r="B60" s="30"/>
      <c r="C60" s="30"/>
      <c r="D60" s="39"/>
      <c r="E60" s="64">
        <v>0.06</v>
      </c>
      <c r="F60" s="30"/>
      <c r="G60" s="43">
        <f t="shared" ref="G60:W60" si="93">G59*$E$60</f>
        <v>0.63187499999999996</v>
      </c>
      <c r="H60" s="44">
        <f t="shared" si="93"/>
        <v>1.2637499999999999</v>
      </c>
      <c r="I60" s="44">
        <f t="shared" si="93"/>
        <v>2.5274999999999999</v>
      </c>
      <c r="J60" s="44">
        <f t="shared" si="93"/>
        <v>5.0549999999999997</v>
      </c>
      <c r="K60" s="44">
        <f t="shared" si="93"/>
        <v>10.11</v>
      </c>
      <c r="L60" s="44">
        <f t="shared" si="93"/>
        <v>20.22</v>
      </c>
      <c r="M60" s="44">
        <f t="shared" si="93"/>
        <v>40.44</v>
      </c>
      <c r="N60" s="44">
        <f t="shared" si="93"/>
        <v>80.88</v>
      </c>
      <c r="O60" s="44">
        <f t="shared" si="93"/>
        <v>161.76</v>
      </c>
      <c r="P60" s="44">
        <f t="shared" si="93"/>
        <v>323.52</v>
      </c>
      <c r="Q60" s="44">
        <f t="shared" si="93"/>
        <v>647.04</v>
      </c>
      <c r="R60" s="44">
        <f t="shared" si="93"/>
        <v>1294.08</v>
      </c>
      <c r="S60" s="44">
        <f t="shared" si="93"/>
        <v>2588.16</v>
      </c>
      <c r="T60" s="44">
        <f t="shared" si="93"/>
        <v>5176.32</v>
      </c>
      <c r="U60" s="44">
        <f t="shared" si="93"/>
        <v>10352.64</v>
      </c>
      <c r="V60" s="44">
        <f t="shared" si="93"/>
        <v>20705.28</v>
      </c>
      <c r="W60" s="44">
        <f t="shared" si="93"/>
        <v>41410.559999999998</v>
      </c>
      <c r="X60" s="44">
        <f t="shared" ref="X60:AA60" si="94">X59*$E$60</f>
        <v>82821.119999999995</v>
      </c>
      <c r="Y60" s="44">
        <f t="shared" si="94"/>
        <v>165642.23999999999</v>
      </c>
      <c r="Z60" s="44">
        <f t="shared" si="94"/>
        <v>331284.47999999998</v>
      </c>
      <c r="AA60" s="99">
        <f t="shared" si="94"/>
        <v>518319.48</v>
      </c>
    </row>
    <row r="61" spans="1:27" x14ac:dyDescent="0.25">
      <c r="A61" s="59" t="s">
        <v>9</v>
      </c>
      <c r="B61" s="38">
        <v>1.4999999999999999E-2</v>
      </c>
      <c r="C61" s="22">
        <f>$B$1 * B61</f>
        <v>384510</v>
      </c>
      <c r="D61" s="65"/>
      <c r="E61" s="30"/>
      <c r="F61" s="30"/>
      <c r="G61" s="34">
        <f t="shared" ref="G61:W61" si="95">G$12*$B$61</f>
        <v>0.46875</v>
      </c>
      <c r="H61" s="35">
        <f t="shared" si="95"/>
        <v>0.9375</v>
      </c>
      <c r="I61" s="35">
        <f t="shared" si="95"/>
        <v>1.875</v>
      </c>
      <c r="J61" s="35">
        <f t="shared" si="95"/>
        <v>3.75</v>
      </c>
      <c r="K61" s="35">
        <f t="shared" si="95"/>
        <v>7.5</v>
      </c>
      <c r="L61" s="35">
        <f t="shared" si="95"/>
        <v>15</v>
      </c>
      <c r="M61" s="35">
        <f t="shared" si="95"/>
        <v>30</v>
      </c>
      <c r="N61" s="35">
        <f t="shared" si="95"/>
        <v>60</v>
      </c>
      <c r="O61" s="35">
        <f t="shared" si="95"/>
        <v>120</v>
      </c>
      <c r="P61" s="35">
        <f t="shared" si="95"/>
        <v>240</v>
      </c>
      <c r="Q61" s="35">
        <f t="shared" si="95"/>
        <v>480</v>
      </c>
      <c r="R61" s="35">
        <f t="shared" si="95"/>
        <v>960</v>
      </c>
      <c r="S61" s="35">
        <f t="shared" si="95"/>
        <v>1920</v>
      </c>
      <c r="T61" s="35">
        <f t="shared" si="95"/>
        <v>3840</v>
      </c>
      <c r="U61" s="35">
        <f t="shared" si="95"/>
        <v>7680</v>
      </c>
      <c r="V61" s="35">
        <f t="shared" si="95"/>
        <v>15360</v>
      </c>
      <c r="W61" s="35">
        <f t="shared" si="95"/>
        <v>30720</v>
      </c>
      <c r="X61" s="35">
        <f t="shared" ref="X61:AA61" si="96">X$12*$B$61</f>
        <v>61440</v>
      </c>
      <c r="Y61" s="35">
        <f t="shared" si="96"/>
        <v>122880</v>
      </c>
      <c r="Z61" s="35">
        <f t="shared" si="96"/>
        <v>245760</v>
      </c>
      <c r="AA61" s="100">
        <f t="shared" si="96"/>
        <v>384510</v>
      </c>
    </row>
    <row r="62" spans="1:27" x14ac:dyDescent="0.25">
      <c r="A62" s="59"/>
      <c r="B62" s="30"/>
      <c r="C62" s="30"/>
      <c r="D62" s="39"/>
      <c r="E62" s="64">
        <v>5.6000000000000001E-2</v>
      </c>
      <c r="F62" s="30"/>
      <c r="G62" s="43">
        <f t="shared" ref="G62:W62" si="97">G61*$E$62</f>
        <v>2.6249999999999999E-2</v>
      </c>
      <c r="H62" s="44">
        <f t="shared" si="97"/>
        <v>5.2499999999999998E-2</v>
      </c>
      <c r="I62" s="44">
        <f t="shared" si="97"/>
        <v>0.105</v>
      </c>
      <c r="J62" s="44">
        <f t="shared" si="97"/>
        <v>0.21</v>
      </c>
      <c r="K62" s="44">
        <f t="shared" si="97"/>
        <v>0.42</v>
      </c>
      <c r="L62" s="44">
        <f t="shared" si="97"/>
        <v>0.84</v>
      </c>
      <c r="M62" s="44">
        <f t="shared" si="97"/>
        <v>1.68</v>
      </c>
      <c r="N62" s="44">
        <f t="shared" si="97"/>
        <v>3.36</v>
      </c>
      <c r="O62" s="44">
        <f t="shared" si="97"/>
        <v>6.72</v>
      </c>
      <c r="P62" s="44">
        <f t="shared" si="97"/>
        <v>13.44</v>
      </c>
      <c r="Q62" s="44">
        <f t="shared" si="97"/>
        <v>26.88</v>
      </c>
      <c r="R62" s="44">
        <f t="shared" si="97"/>
        <v>53.76</v>
      </c>
      <c r="S62" s="44">
        <f t="shared" si="97"/>
        <v>107.52</v>
      </c>
      <c r="T62" s="44">
        <f t="shared" si="97"/>
        <v>215.04</v>
      </c>
      <c r="U62" s="44">
        <f t="shared" si="97"/>
        <v>430.08</v>
      </c>
      <c r="V62" s="44">
        <f t="shared" si="97"/>
        <v>860.16</v>
      </c>
      <c r="W62" s="44">
        <f t="shared" si="97"/>
        <v>1720.32</v>
      </c>
      <c r="X62" s="44">
        <f t="shared" ref="X62:AA62" si="98">X61*$E$62</f>
        <v>3440.64</v>
      </c>
      <c r="Y62" s="44">
        <f t="shared" si="98"/>
        <v>6881.28</v>
      </c>
      <c r="Z62" s="44">
        <f t="shared" si="98"/>
        <v>13762.56</v>
      </c>
      <c r="AA62" s="99">
        <f t="shared" si="98"/>
        <v>21532.560000000001</v>
      </c>
    </row>
    <row r="63" spans="1:27" x14ac:dyDescent="0.25">
      <c r="A63" s="59" t="s">
        <v>10</v>
      </c>
      <c r="B63" s="38">
        <v>0.161</v>
      </c>
      <c r="C63" s="22">
        <f>$B$1 * B63</f>
        <v>4127074</v>
      </c>
      <c r="D63" s="65"/>
      <c r="E63" s="30"/>
      <c r="F63" s="30"/>
      <c r="G63" s="34">
        <f t="shared" ref="G63:W63" si="99">G$12*$B$63</f>
        <v>5.03125</v>
      </c>
      <c r="H63" s="35">
        <f t="shared" si="99"/>
        <v>10.0625</v>
      </c>
      <c r="I63" s="35">
        <f t="shared" si="99"/>
        <v>20.125</v>
      </c>
      <c r="J63" s="35">
        <f t="shared" si="99"/>
        <v>40.25</v>
      </c>
      <c r="K63" s="35">
        <f t="shared" si="99"/>
        <v>80.5</v>
      </c>
      <c r="L63" s="35">
        <f t="shared" si="99"/>
        <v>161</v>
      </c>
      <c r="M63" s="35">
        <f t="shared" si="99"/>
        <v>322</v>
      </c>
      <c r="N63" s="35">
        <f t="shared" si="99"/>
        <v>644</v>
      </c>
      <c r="O63" s="35">
        <f t="shared" si="99"/>
        <v>1288</v>
      </c>
      <c r="P63" s="35">
        <f t="shared" si="99"/>
        <v>2576</v>
      </c>
      <c r="Q63" s="35">
        <f t="shared" si="99"/>
        <v>5152</v>
      </c>
      <c r="R63" s="35">
        <f t="shared" si="99"/>
        <v>10304</v>
      </c>
      <c r="S63" s="35">
        <f t="shared" si="99"/>
        <v>20608</v>
      </c>
      <c r="T63" s="35">
        <f t="shared" si="99"/>
        <v>41216</v>
      </c>
      <c r="U63" s="35">
        <f t="shared" si="99"/>
        <v>82432</v>
      </c>
      <c r="V63" s="35">
        <f t="shared" si="99"/>
        <v>164864</v>
      </c>
      <c r="W63" s="35">
        <f t="shared" si="99"/>
        <v>329728</v>
      </c>
      <c r="X63" s="35">
        <f t="shared" ref="X63:AA63" si="100">X$12*$B$63</f>
        <v>659456</v>
      </c>
      <c r="Y63" s="35">
        <f t="shared" si="100"/>
        <v>1318912</v>
      </c>
      <c r="Z63" s="35">
        <f t="shared" si="100"/>
        <v>2637824</v>
      </c>
      <c r="AA63" s="100">
        <f t="shared" si="100"/>
        <v>4127074</v>
      </c>
    </row>
    <row r="64" spans="1:27" x14ac:dyDescent="0.25">
      <c r="A64" s="54"/>
      <c r="B64" s="56"/>
      <c r="C64" s="56"/>
      <c r="D64" s="76"/>
      <c r="E64" s="77" t="s">
        <v>11</v>
      </c>
      <c r="F64" s="56"/>
      <c r="G64" s="45" t="s">
        <v>11</v>
      </c>
      <c r="H64" s="46" t="s">
        <v>11</v>
      </c>
      <c r="I64" s="46" t="s">
        <v>11</v>
      </c>
      <c r="J64" s="46" t="s">
        <v>11</v>
      </c>
      <c r="K64" s="46" t="s">
        <v>11</v>
      </c>
      <c r="L64" s="46" t="s">
        <v>11</v>
      </c>
      <c r="M64" s="46" t="s">
        <v>11</v>
      </c>
      <c r="N64" s="46" t="s">
        <v>11</v>
      </c>
      <c r="O64" s="46" t="s">
        <v>11</v>
      </c>
      <c r="P64" s="46" t="s">
        <v>11</v>
      </c>
      <c r="Q64" s="46" t="s">
        <v>11</v>
      </c>
      <c r="R64" s="46" t="s">
        <v>11</v>
      </c>
      <c r="S64" s="46" t="s">
        <v>11</v>
      </c>
      <c r="T64" s="46" t="s">
        <v>11</v>
      </c>
      <c r="U64" s="46" t="s">
        <v>11</v>
      </c>
      <c r="V64" s="46" t="s">
        <v>11</v>
      </c>
      <c r="W64" s="46" t="s">
        <v>11</v>
      </c>
      <c r="X64" s="46" t="s">
        <v>11</v>
      </c>
      <c r="Y64" s="46" t="s">
        <v>11</v>
      </c>
      <c r="Z64" s="46" t="s">
        <v>11</v>
      </c>
      <c r="AA64" s="101" t="s">
        <v>11</v>
      </c>
    </row>
    <row r="65" spans="1:27" x14ac:dyDescent="0.25">
      <c r="A65" s="59"/>
      <c r="B65" s="30"/>
      <c r="C65" s="30"/>
      <c r="D65" s="65"/>
      <c r="E65" s="30"/>
      <c r="F65" s="30"/>
      <c r="G65" s="34">
        <f>SUM(G53,G55,G57,G59,G61,G63)</f>
        <v>28.71875</v>
      </c>
      <c r="H65" s="35">
        <f t="shared" ref="H65:W65" si="101">SUM(H53,H55,H57,H59,H61,H63)</f>
        <v>57.4375</v>
      </c>
      <c r="I65" s="35">
        <f t="shared" si="101"/>
        <v>114.875</v>
      </c>
      <c r="J65" s="35">
        <f t="shared" si="101"/>
        <v>229.75</v>
      </c>
      <c r="K65" s="35">
        <f t="shared" si="101"/>
        <v>459.5</v>
      </c>
      <c r="L65" s="35">
        <f t="shared" si="101"/>
        <v>919</v>
      </c>
      <c r="M65" s="35">
        <f>SUM(M53,M55,M57,M59,M61,M63)</f>
        <v>1838</v>
      </c>
      <c r="N65" s="35">
        <f t="shared" si="101"/>
        <v>3676</v>
      </c>
      <c r="O65" s="35">
        <f t="shared" si="101"/>
        <v>7352</v>
      </c>
      <c r="P65" s="35">
        <f t="shared" si="101"/>
        <v>14704</v>
      </c>
      <c r="Q65" s="35">
        <f t="shared" si="101"/>
        <v>29408</v>
      </c>
      <c r="R65" s="35">
        <f t="shared" si="101"/>
        <v>58816</v>
      </c>
      <c r="S65" s="35">
        <f t="shared" si="101"/>
        <v>117632</v>
      </c>
      <c r="T65" s="35">
        <f t="shared" si="101"/>
        <v>235264</v>
      </c>
      <c r="U65" s="35">
        <f t="shared" si="101"/>
        <v>470528</v>
      </c>
      <c r="V65" s="35">
        <f t="shared" si="101"/>
        <v>941056</v>
      </c>
      <c r="W65" s="35">
        <f t="shared" si="101"/>
        <v>1882112</v>
      </c>
      <c r="X65" s="35">
        <f t="shared" ref="X65:Z65" si="102">SUM(X53,X55,X57,X59,X61,X63)</f>
        <v>3764224</v>
      </c>
      <c r="Y65" s="35">
        <f t="shared" si="102"/>
        <v>7528448</v>
      </c>
      <c r="Z65" s="35">
        <f t="shared" si="102"/>
        <v>15056896</v>
      </c>
      <c r="AA65" s="100">
        <f>SUM(AA53,AA55,AA57,AA59,AA61,AA63)</f>
        <v>23557646</v>
      </c>
    </row>
    <row r="66" spans="1:27" x14ac:dyDescent="0.25">
      <c r="A66" s="54" t="s">
        <v>135</v>
      </c>
      <c r="B66" s="56"/>
      <c r="C66" s="56"/>
      <c r="D66" s="56"/>
      <c r="E66" s="56"/>
      <c r="F66" s="56"/>
      <c r="G66" s="45">
        <f>SUM(G54,G56,G58,G60,G62,G64)</f>
        <v>1.5374375000000002</v>
      </c>
      <c r="H66" s="46">
        <f t="shared" ref="H66:W66" si="103">SUM(H54,H56,H58,H60,H62,H64)</f>
        <v>3.0748750000000005</v>
      </c>
      <c r="I66" s="46">
        <f t="shared" si="103"/>
        <v>6.1497500000000009</v>
      </c>
      <c r="J66" s="46">
        <f t="shared" si="103"/>
        <v>12.299500000000002</v>
      </c>
      <c r="K66" s="46">
        <f t="shared" si="103"/>
        <v>24.599000000000004</v>
      </c>
      <c r="L66" s="46">
        <f t="shared" si="103"/>
        <v>49.198000000000008</v>
      </c>
      <c r="M66" s="46">
        <f t="shared" si="103"/>
        <v>98.396000000000015</v>
      </c>
      <c r="N66" s="46">
        <f t="shared" si="103"/>
        <v>196.79200000000003</v>
      </c>
      <c r="O66" s="46">
        <f t="shared" si="103"/>
        <v>393.58400000000006</v>
      </c>
      <c r="P66" s="46">
        <f t="shared" si="103"/>
        <v>787.16800000000012</v>
      </c>
      <c r="Q66" s="46">
        <f t="shared" si="103"/>
        <v>1574.3360000000002</v>
      </c>
      <c r="R66" s="46">
        <f t="shared" si="103"/>
        <v>3148.6720000000005</v>
      </c>
      <c r="S66" s="46">
        <f t="shared" si="103"/>
        <v>6297.344000000001</v>
      </c>
      <c r="T66" s="46">
        <f t="shared" si="103"/>
        <v>12594.688000000002</v>
      </c>
      <c r="U66" s="46">
        <f t="shared" si="103"/>
        <v>25189.376000000004</v>
      </c>
      <c r="V66" s="46">
        <f t="shared" si="103"/>
        <v>50378.752000000008</v>
      </c>
      <c r="W66" s="46">
        <f t="shared" si="103"/>
        <v>100757.50400000002</v>
      </c>
      <c r="X66" s="46">
        <f t="shared" ref="X66:Z66" si="104">SUM(X54,X56,X58,X60,X62,X64)</f>
        <v>201515.00800000003</v>
      </c>
      <c r="Y66" s="46">
        <f t="shared" si="104"/>
        <v>403030.01600000006</v>
      </c>
      <c r="Z66" s="46">
        <f t="shared" si="104"/>
        <v>806060.03200000012</v>
      </c>
      <c r="AA66" s="101">
        <f>SUM(AA54,AA56,AA58,AA60,AA62,AA64)</f>
        <v>1261141.5320000001</v>
      </c>
    </row>
  </sheetData>
  <mergeCells count="9">
    <mergeCell ref="U23:V23"/>
    <mergeCell ref="W23:X23"/>
    <mergeCell ref="Y23:AA23"/>
    <mergeCell ref="G23:I23"/>
    <mergeCell ref="J23:K23"/>
    <mergeCell ref="L23:M23"/>
    <mergeCell ref="N23:O23"/>
    <mergeCell ref="P23:Q23"/>
    <mergeCell ref="R23:T23"/>
  </mergeCells>
  <hyperlinks>
    <hyperlink ref="D29" r:id="rId1" xr:uid="{98D6456F-EA03-4FCB-8D3D-1822F6B38CCF}"/>
    <hyperlink ref="E29" r:id="rId2" location="case-fatality-rate-of-covid-19-by-age" xr:uid="{0058192C-B05A-45D2-8597-C1F9B3D9241E}"/>
    <hyperlink ref="E52" r:id="rId3" location="case-fatality-rate-of-covid-19-by-preexisting-health-conditions" xr:uid="{110A2613-24A6-4768-B90C-571B307D13E2}"/>
    <hyperlink ref="B1" r:id="rId4" display="https://www.abs.gov.au/ausstats/abs@.nsf/0/1647509ef7e25faaca2568a900154b63?opendocument" xr:uid="{63727E5E-0850-4414-8DD8-E50A09A5AEE8}"/>
    <hyperlink ref="B29"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130</v>
      </c>
      <c r="B1" t="s">
        <v>159</v>
      </c>
    </row>
    <row r="2" spans="1:12" x14ac:dyDescent="0.25">
      <c r="A2" s="6" t="s">
        <v>23</v>
      </c>
      <c r="B2" s="7">
        <v>302684</v>
      </c>
      <c r="L2" s="106"/>
    </row>
    <row r="3" spans="1:12" x14ac:dyDescent="0.25">
      <c r="A3" s="8" t="s">
        <v>24</v>
      </c>
      <c r="B3" s="9">
        <v>304818</v>
      </c>
      <c r="L3" s="106"/>
    </row>
    <row r="4" spans="1:12" x14ac:dyDescent="0.25">
      <c r="A4" s="8" t="s">
        <v>25</v>
      </c>
      <c r="B4" s="9">
        <v>311200</v>
      </c>
      <c r="L4" s="106"/>
    </row>
    <row r="5" spans="1:12" x14ac:dyDescent="0.25">
      <c r="A5" s="8" t="s">
        <v>26</v>
      </c>
      <c r="B5" s="9">
        <v>326896</v>
      </c>
      <c r="L5" s="106"/>
    </row>
    <row r="6" spans="1:12" x14ac:dyDescent="0.25">
      <c r="A6" s="8" t="s">
        <v>27</v>
      </c>
      <c r="B6" s="9">
        <v>321565</v>
      </c>
      <c r="L6" s="106"/>
    </row>
    <row r="7" spans="1:12" x14ac:dyDescent="0.25">
      <c r="A7" s="10" t="s">
        <v>28</v>
      </c>
      <c r="B7" s="11">
        <v>1567163</v>
      </c>
      <c r="L7" s="107"/>
    </row>
    <row r="8" spans="1:12" x14ac:dyDescent="0.25">
      <c r="A8" s="8" t="s">
        <v>29</v>
      </c>
      <c r="B8" s="9">
        <v>321643</v>
      </c>
      <c r="L8" s="106"/>
    </row>
    <row r="9" spans="1:12" x14ac:dyDescent="0.25">
      <c r="A9" s="8" t="s">
        <v>30</v>
      </c>
      <c r="B9" s="9">
        <v>326729</v>
      </c>
      <c r="L9" s="106"/>
    </row>
    <row r="10" spans="1:12" x14ac:dyDescent="0.25">
      <c r="A10" s="8" t="s">
        <v>31</v>
      </c>
      <c r="B10" s="9">
        <v>323562</v>
      </c>
      <c r="L10" s="106"/>
    </row>
    <row r="11" spans="1:12" x14ac:dyDescent="0.25">
      <c r="A11" s="8" t="s">
        <v>32</v>
      </c>
      <c r="B11" s="9">
        <v>322648</v>
      </c>
      <c r="L11" s="106"/>
    </row>
    <row r="12" spans="1:12" x14ac:dyDescent="0.25">
      <c r="A12" s="8" t="s">
        <v>33</v>
      </c>
      <c r="B12" s="9">
        <v>324065</v>
      </c>
      <c r="L12" s="106"/>
    </row>
    <row r="13" spans="1:12" x14ac:dyDescent="0.25">
      <c r="A13" s="12" t="s">
        <v>34</v>
      </c>
      <c r="B13" s="13">
        <v>1618647</v>
      </c>
      <c r="C13" s="2">
        <f>SUM(B7,B13)</f>
        <v>3185810</v>
      </c>
      <c r="D13" s="1">
        <f>C13/$B$108</f>
        <v>0.1255958322404806</v>
      </c>
      <c r="L13" s="107"/>
    </row>
    <row r="14" spans="1:12" x14ac:dyDescent="0.25">
      <c r="A14" s="6" t="s">
        <v>35</v>
      </c>
      <c r="B14" s="7">
        <v>319703</v>
      </c>
      <c r="L14" s="106"/>
    </row>
    <row r="15" spans="1:12" x14ac:dyDescent="0.25">
      <c r="A15" s="8" t="s">
        <v>36</v>
      </c>
      <c r="B15" s="9">
        <v>319972</v>
      </c>
      <c r="L15" s="106"/>
    </row>
    <row r="16" spans="1:12" x14ac:dyDescent="0.25">
      <c r="A16" s="8" t="s">
        <v>37</v>
      </c>
      <c r="B16" s="9">
        <v>316523</v>
      </c>
      <c r="L16" s="106"/>
    </row>
    <row r="17" spans="1:12" x14ac:dyDescent="0.25">
      <c r="A17" s="8" t="s">
        <v>38</v>
      </c>
      <c r="B17" s="9">
        <v>305472</v>
      </c>
      <c r="L17" s="106"/>
    </row>
    <row r="18" spans="1:12" x14ac:dyDescent="0.25">
      <c r="A18" s="8" t="s">
        <v>39</v>
      </c>
      <c r="B18" s="9">
        <v>294067</v>
      </c>
      <c r="L18" s="106"/>
    </row>
    <row r="19" spans="1:12" x14ac:dyDescent="0.25">
      <c r="A19" s="10" t="s">
        <v>40</v>
      </c>
      <c r="B19" s="11">
        <v>1555737</v>
      </c>
      <c r="L19" s="107"/>
    </row>
    <row r="20" spans="1:12" x14ac:dyDescent="0.25">
      <c r="A20" s="8" t="s">
        <v>41</v>
      </c>
      <c r="B20" s="9">
        <v>290601</v>
      </c>
      <c r="L20" s="106"/>
    </row>
    <row r="21" spans="1:12" x14ac:dyDescent="0.25">
      <c r="A21" s="8" t="s">
        <v>42</v>
      </c>
      <c r="B21" s="9">
        <v>288611</v>
      </c>
      <c r="L21" s="106"/>
    </row>
    <row r="22" spans="1:12" x14ac:dyDescent="0.25">
      <c r="A22" s="8" t="s">
        <v>43</v>
      </c>
      <c r="B22" s="9">
        <v>290316</v>
      </c>
      <c r="L22" s="106"/>
    </row>
    <row r="23" spans="1:12" x14ac:dyDescent="0.25">
      <c r="A23" s="8" t="s">
        <v>44</v>
      </c>
      <c r="B23" s="9">
        <v>307634</v>
      </c>
      <c r="L23" s="106"/>
    </row>
    <row r="24" spans="1:12" x14ac:dyDescent="0.25">
      <c r="A24" s="8" t="s">
        <v>45</v>
      </c>
      <c r="B24" s="9">
        <v>325295</v>
      </c>
      <c r="L24" s="106"/>
    </row>
    <row r="25" spans="1:12" x14ac:dyDescent="0.25">
      <c r="A25" s="12" t="s">
        <v>46</v>
      </c>
      <c r="B25" s="13">
        <v>1502457</v>
      </c>
      <c r="C25" s="2">
        <f>SUM(B25,B19)</f>
        <v>3058194</v>
      </c>
      <c r="D25" s="1">
        <f>C25/$B$108</f>
        <v>0.12056476079328157</v>
      </c>
      <c r="L25" s="107"/>
    </row>
    <row r="26" spans="1:12" x14ac:dyDescent="0.25">
      <c r="A26" s="6" t="s">
        <v>47</v>
      </c>
      <c r="B26" s="7">
        <v>330388</v>
      </c>
      <c r="L26" s="106"/>
    </row>
    <row r="27" spans="1:12" x14ac:dyDescent="0.25">
      <c r="A27" s="8" t="s">
        <v>48</v>
      </c>
      <c r="B27" s="9">
        <v>335483</v>
      </c>
      <c r="L27" s="106"/>
    </row>
    <row r="28" spans="1:12" x14ac:dyDescent="0.25">
      <c r="A28" s="8" t="s">
        <v>49</v>
      </c>
      <c r="B28" s="9">
        <v>347121</v>
      </c>
      <c r="L28" s="106"/>
    </row>
    <row r="29" spans="1:12" x14ac:dyDescent="0.25">
      <c r="A29" s="8" t="s">
        <v>50</v>
      </c>
      <c r="B29" s="9">
        <v>365323</v>
      </c>
      <c r="L29" s="106"/>
    </row>
    <row r="30" spans="1:12" x14ac:dyDescent="0.25">
      <c r="A30" s="8" t="s">
        <v>51</v>
      </c>
      <c r="B30" s="9">
        <v>380725</v>
      </c>
      <c r="L30" s="106"/>
    </row>
    <row r="31" spans="1:12" x14ac:dyDescent="0.25">
      <c r="A31" s="10" t="s">
        <v>52</v>
      </c>
      <c r="B31" s="11">
        <v>1759040</v>
      </c>
      <c r="L31" s="107"/>
    </row>
    <row r="32" spans="1:12" x14ac:dyDescent="0.25">
      <c r="A32" s="8" t="s">
        <v>53</v>
      </c>
      <c r="B32" s="9">
        <v>379564</v>
      </c>
      <c r="L32" s="106"/>
    </row>
    <row r="33" spans="1:12" x14ac:dyDescent="0.25">
      <c r="A33" s="8" t="s">
        <v>54</v>
      </c>
      <c r="B33" s="9">
        <v>376903</v>
      </c>
      <c r="L33" s="106"/>
    </row>
    <row r="34" spans="1:12" x14ac:dyDescent="0.25">
      <c r="A34" s="8" t="s">
        <v>55</v>
      </c>
      <c r="B34" s="9">
        <v>378326</v>
      </c>
      <c r="L34" s="106"/>
    </row>
    <row r="35" spans="1:12" x14ac:dyDescent="0.25">
      <c r="A35" s="8" t="s">
        <v>56</v>
      </c>
      <c r="B35" s="9">
        <v>384454</v>
      </c>
      <c r="L35" s="106"/>
    </row>
    <row r="36" spans="1:12" x14ac:dyDescent="0.25">
      <c r="A36" s="8" t="s">
        <v>57</v>
      </c>
      <c r="B36" s="9">
        <v>389152</v>
      </c>
      <c r="L36" s="106"/>
    </row>
    <row r="37" spans="1:12" x14ac:dyDescent="0.25">
      <c r="A37" s="12" t="s">
        <v>58</v>
      </c>
      <c r="B37" s="13">
        <v>1908399</v>
      </c>
      <c r="C37" s="2">
        <f>SUM(B31,B37)</f>
        <v>3667439</v>
      </c>
      <c r="D37" s="1">
        <f>C37/$B$108</f>
        <v>0.14458334093878666</v>
      </c>
      <c r="L37" s="107"/>
    </row>
    <row r="38" spans="1:12" x14ac:dyDescent="0.25">
      <c r="A38" s="6" t="s">
        <v>59</v>
      </c>
      <c r="B38" s="7">
        <v>381627</v>
      </c>
      <c r="L38" s="106"/>
    </row>
    <row r="39" spans="1:12" x14ac:dyDescent="0.25">
      <c r="A39" s="8" t="s">
        <v>60</v>
      </c>
      <c r="B39" s="9">
        <v>380703</v>
      </c>
      <c r="L39" s="106"/>
    </row>
    <row r="40" spans="1:12" x14ac:dyDescent="0.25">
      <c r="A40" s="8" t="s">
        <v>61</v>
      </c>
      <c r="B40" s="9">
        <v>376308</v>
      </c>
      <c r="L40" s="106"/>
    </row>
    <row r="41" spans="1:12" x14ac:dyDescent="0.25">
      <c r="A41" s="8" t="s">
        <v>62</v>
      </c>
      <c r="B41" s="9">
        <v>378900</v>
      </c>
      <c r="L41" s="106"/>
    </row>
    <row r="42" spans="1:12" x14ac:dyDescent="0.25">
      <c r="A42" s="8" t="s">
        <v>63</v>
      </c>
      <c r="B42" s="9">
        <v>374563</v>
      </c>
      <c r="L42" s="106"/>
    </row>
    <row r="43" spans="1:12" x14ac:dyDescent="0.25">
      <c r="A43" s="10" t="s">
        <v>64</v>
      </c>
      <c r="B43" s="11">
        <v>1892101</v>
      </c>
      <c r="L43" s="107"/>
    </row>
    <row r="44" spans="1:12" x14ac:dyDescent="0.25">
      <c r="A44" s="8" t="s">
        <v>65</v>
      </c>
      <c r="B44" s="9">
        <v>371946</v>
      </c>
      <c r="L44" s="106"/>
    </row>
    <row r="45" spans="1:12" x14ac:dyDescent="0.25">
      <c r="A45" s="8" t="s">
        <v>66</v>
      </c>
      <c r="B45" s="9">
        <v>368877</v>
      </c>
      <c r="L45" s="106"/>
    </row>
    <row r="46" spans="1:12" x14ac:dyDescent="0.25">
      <c r="A46" s="8" t="s">
        <v>67</v>
      </c>
      <c r="B46" s="9">
        <v>357736</v>
      </c>
      <c r="L46" s="106"/>
    </row>
    <row r="47" spans="1:12" x14ac:dyDescent="0.25">
      <c r="A47" s="8" t="s">
        <v>68</v>
      </c>
      <c r="B47" s="9">
        <v>348170</v>
      </c>
      <c r="L47" s="106"/>
    </row>
    <row r="48" spans="1:12" x14ac:dyDescent="0.25">
      <c r="A48" s="8" t="s">
        <v>69</v>
      </c>
      <c r="B48" s="9">
        <v>334445</v>
      </c>
      <c r="L48" s="106"/>
    </row>
    <row r="49" spans="1:12" x14ac:dyDescent="0.25">
      <c r="A49" s="12" t="s">
        <v>70</v>
      </c>
      <c r="B49" s="13">
        <v>1781174</v>
      </c>
      <c r="C49" s="2">
        <f>SUM(B43,B49)</f>
        <v>3673275</v>
      </c>
      <c r="D49" s="1">
        <f>C49/$B$108</f>
        <v>0.14481341657950456</v>
      </c>
      <c r="L49" s="107"/>
    </row>
    <row r="50" spans="1:12" x14ac:dyDescent="0.25">
      <c r="A50" s="6" t="s">
        <v>71</v>
      </c>
      <c r="B50" s="7">
        <v>324591</v>
      </c>
      <c r="L50" s="106"/>
    </row>
    <row r="51" spans="1:12" x14ac:dyDescent="0.25">
      <c r="A51" s="8" t="s">
        <v>72</v>
      </c>
      <c r="B51" s="9">
        <v>318448</v>
      </c>
      <c r="L51" s="106"/>
    </row>
    <row r="52" spans="1:12" x14ac:dyDescent="0.25">
      <c r="A52" s="8" t="s">
        <v>73</v>
      </c>
      <c r="B52" s="9">
        <v>315770</v>
      </c>
      <c r="L52" s="106"/>
    </row>
    <row r="53" spans="1:12" x14ac:dyDescent="0.25">
      <c r="A53" s="8" t="s">
        <v>74</v>
      </c>
      <c r="B53" s="9">
        <v>318107</v>
      </c>
      <c r="L53" s="106"/>
    </row>
    <row r="54" spans="1:12" x14ac:dyDescent="0.25">
      <c r="A54" s="8" t="s">
        <v>75</v>
      </c>
      <c r="B54" s="9">
        <v>318926</v>
      </c>
      <c r="L54" s="106"/>
    </row>
    <row r="55" spans="1:12" x14ac:dyDescent="0.25">
      <c r="A55" s="10" t="s">
        <v>76</v>
      </c>
      <c r="B55" s="11">
        <v>1595842</v>
      </c>
      <c r="L55" s="107"/>
    </row>
    <row r="56" spans="1:12" x14ac:dyDescent="0.25">
      <c r="A56" s="8" t="s">
        <v>77</v>
      </c>
      <c r="B56" s="9">
        <v>327436</v>
      </c>
      <c r="L56" s="106"/>
    </row>
    <row r="57" spans="1:12" x14ac:dyDescent="0.25">
      <c r="A57" s="8" t="s">
        <v>78</v>
      </c>
      <c r="B57" s="9">
        <v>332934</v>
      </c>
      <c r="L57" s="106"/>
    </row>
    <row r="58" spans="1:12" x14ac:dyDescent="0.25">
      <c r="A58" s="8" t="s">
        <v>79</v>
      </c>
      <c r="B58" s="9">
        <v>344168</v>
      </c>
      <c r="L58" s="106"/>
    </row>
    <row r="59" spans="1:12" x14ac:dyDescent="0.25">
      <c r="A59" s="8" t="s">
        <v>80</v>
      </c>
      <c r="B59" s="9">
        <v>347705</v>
      </c>
      <c r="L59" s="106"/>
    </row>
    <row r="60" spans="1:12" x14ac:dyDescent="0.25">
      <c r="A60" s="8" t="s">
        <v>81</v>
      </c>
      <c r="B60" s="9">
        <v>326172</v>
      </c>
      <c r="L60" s="106"/>
    </row>
    <row r="61" spans="1:12" x14ac:dyDescent="0.25">
      <c r="A61" s="12" t="s">
        <v>82</v>
      </c>
      <c r="B61" s="13">
        <v>1678415</v>
      </c>
      <c r="C61" s="2">
        <f>SUM(B55,B61)</f>
        <v>3274257</v>
      </c>
      <c r="D61" s="1">
        <f>C61/$B$108</f>
        <v>0.12908272398046944</v>
      </c>
      <c r="L61" s="107"/>
    </row>
    <row r="62" spans="1:12" x14ac:dyDescent="0.25">
      <c r="A62" s="6" t="s">
        <v>83</v>
      </c>
      <c r="B62" s="7">
        <v>320460</v>
      </c>
      <c r="L62" s="106"/>
    </row>
    <row r="63" spans="1:12" x14ac:dyDescent="0.25">
      <c r="A63" s="8" t="s">
        <v>84</v>
      </c>
      <c r="B63" s="9">
        <v>310043</v>
      </c>
      <c r="L63" s="106"/>
    </row>
    <row r="64" spans="1:12" x14ac:dyDescent="0.25">
      <c r="A64" s="8" t="s">
        <v>85</v>
      </c>
      <c r="B64" s="9">
        <v>301380</v>
      </c>
      <c r="L64" s="106"/>
    </row>
    <row r="65" spans="1:12" x14ac:dyDescent="0.25">
      <c r="A65" s="8" t="s">
        <v>86</v>
      </c>
      <c r="B65" s="9">
        <v>301965</v>
      </c>
      <c r="L65" s="106"/>
    </row>
    <row r="66" spans="1:12" x14ac:dyDescent="0.25">
      <c r="A66" s="8" t="s">
        <v>87</v>
      </c>
      <c r="B66" s="9">
        <v>300916</v>
      </c>
      <c r="L66" s="106"/>
    </row>
    <row r="67" spans="1:12" x14ac:dyDescent="0.25">
      <c r="A67" s="10" t="s">
        <v>88</v>
      </c>
      <c r="B67" s="11">
        <v>1534764</v>
      </c>
      <c r="L67" s="107"/>
    </row>
    <row r="68" spans="1:12" x14ac:dyDescent="0.25">
      <c r="A68" s="8" t="s">
        <v>89</v>
      </c>
      <c r="B68" s="9">
        <v>311890</v>
      </c>
      <c r="L68" s="106"/>
    </row>
    <row r="69" spans="1:12" x14ac:dyDescent="0.25">
      <c r="A69" s="8" t="s">
        <v>90</v>
      </c>
      <c r="B69" s="9">
        <v>313933</v>
      </c>
      <c r="L69" s="106"/>
    </row>
    <row r="70" spans="1:12" x14ac:dyDescent="0.25">
      <c r="A70" s="8" t="s">
        <v>91</v>
      </c>
      <c r="B70" s="9">
        <v>311527</v>
      </c>
      <c r="L70" s="106"/>
    </row>
    <row r="71" spans="1:12" x14ac:dyDescent="0.25">
      <c r="A71" s="8" t="s">
        <v>92</v>
      </c>
      <c r="B71" s="9">
        <v>309248</v>
      </c>
      <c r="L71" s="106"/>
    </row>
    <row r="72" spans="1:12" x14ac:dyDescent="0.25">
      <c r="A72" s="8" t="s">
        <v>93</v>
      </c>
      <c r="B72" s="9">
        <v>298726</v>
      </c>
      <c r="L72" s="106"/>
    </row>
    <row r="73" spans="1:12" x14ac:dyDescent="0.25">
      <c r="A73" s="14" t="s">
        <v>94</v>
      </c>
      <c r="B73" s="15">
        <v>1545324</v>
      </c>
      <c r="C73" s="2">
        <f>SUM(B67,B73)</f>
        <v>3080088</v>
      </c>
      <c r="D73" s="1">
        <f>C73/$B$108</f>
        <v>0.12142789925761971</v>
      </c>
      <c r="L73" s="107"/>
    </row>
    <row r="74" spans="1:12" x14ac:dyDescent="0.25">
      <c r="A74" s="6" t="s">
        <v>95</v>
      </c>
      <c r="B74" s="7">
        <v>290624</v>
      </c>
      <c r="L74" s="106"/>
    </row>
    <row r="75" spans="1:12" x14ac:dyDescent="0.25">
      <c r="A75" s="8" t="s">
        <v>96</v>
      </c>
      <c r="B75" s="9">
        <v>285521</v>
      </c>
      <c r="L75" s="106"/>
    </row>
    <row r="76" spans="1:12" x14ac:dyDescent="0.25">
      <c r="A76" s="8" t="s">
        <v>97</v>
      </c>
      <c r="B76" s="9">
        <v>277305</v>
      </c>
      <c r="L76" s="106"/>
    </row>
    <row r="77" spans="1:12" x14ac:dyDescent="0.25">
      <c r="A77" s="8" t="s">
        <v>98</v>
      </c>
      <c r="B77" s="9">
        <v>272986</v>
      </c>
      <c r="L77" s="106"/>
    </row>
    <row r="78" spans="1:12" x14ac:dyDescent="0.25">
      <c r="A78" s="8" t="s">
        <v>99</v>
      </c>
      <c r="B78" s="9">
        <v>261893</v>
      </c>
      <c r="L78" s="106"/>
    </row>
    <row r="79" spans="1:12" x14ac:dyDescent="0.25">
      <c r="A79" s="10" t="s">
        <v>100</v>
      </c>
      <c r="B79" s="11">
        <v>1388329</v>
      </c>
      <c r="L79" s="107"/>
    </row>
    <row r="80" spans="1:12" x14ac:dyDescent="0.25">
      <c r="A80" s="8" t="s">
        <v>101</v>
      </c>
      <c r="B80" s="9">
        <v>254839</v>
      </c>
      <c r="L80" s="106"/>
    </row>
    <row r="81" spans="1:12" x14ac:dyDescent="0.25">
      <c r="A81" s="8" t="s">
        <v>102</v>
      </c>
      <c r="B81" s="9">
        <v>251416</v>
      </c>
      <c r="L81" s="106"/>
    </row>
    <row r="82" spans="1:12" x14ac:dyDescent="0.25">
      <c r="A82" s="8" t="s">
        <v>103</v>
      </c>
      <c r="B82" s="9">
        <v>243468</v>
      </c>
      <c r="L82" s="106"/>
    </row>
    <row r="83" spans="1:12" x14ac:dyDescent="0.25">
      <c r="A83" s="8" t="s">
        <v>104</v>
      </c>
      <c r="B83" s="9">
        <v>240724</v>
      </c>
      <c r="L83" s="106"/>
    </row>
    <row r="84" spans="1:12" x14ac:dyDescent="0.25">
      <c r="A84" s="8" t="s">
        <v>105</v>
      </c>
      <c r="B84" s="9">
        <v>234326</v>
      </c>
      <c r="L84" s="106"/>
    </row>
    <row r="85" spans="1:12" x14ac:dyDescent="0.25">
      <c r="A85" s="12" t="s">
        <v>106</v>
      </c>
      <c r="B85" s="13">
        <v>1224773</v>
      </c>
      <c r="C85" s="2">
        <f>SUM(B79,B85)</f>
        <v>2613102</v>
      </c>
      <c r="D85" s="1">
        <f>C85/$B$108</f>
        <v>0.10301766910746854</v>
      </c>
      <c r="L85" s="107"/>
    </row>
    <row r="86" spans="1:12" x14ac:dyDescent="0.25">
      <c r="A86" s="6" t="s">
        <v>107</v>
      </c>
      <c r="B86" s="7">
        <v>226082</v>
      </c>
      <c r="L86" s="106"/>
    </row>
    <row r="87" spans="1:12" x14ac:dyDescent="0.25">
      <c r="A87" s="8" t="s">
        <v>108</v>
      </c>
      <c r="B87" s="9">
        <v>226412</v>
      </c>
      <c r="L87" s="106"/>
    </row>
    <row r="88" spans="1:12" x14ac:dyDescent="0.25">
      <c r="A88" s="8" t="s">
        <v>109</v>
      </c>
      <c r="B88" s="9">
        <v>231019</v>
      </c>
      <c r="L88" s="106"/>
    </row>
    <row r="89" spans="1:12" x14ac:dyDescent="0.25">
      <c r="A89" s="8" t="s">
        <v>110</v>
      </c>
      <c r="B89" s="9">
        <v>192937</v>
      </c>
      <c r="L89" s="106"/>
    </row>
    <row r="90" spans="1:12" x14ac:dyDescent="0.25">
      <c r="A90" s="8" t="s">
        <v>111</v>
      </c>
      <c r="B90" s="9">
        <v>181454</v>
      </c>
      <c r="L90" s="106"/>
    </row>
    <row r="91" spans="1:12" x14ac:dyDescent="0.25">
      <c r="A91" s="10" t="s">
        <v>112</v>
      </c>
      <c r="B91" s="11">
        <v>1057904</v>
      </c>
      <c r="L91" s="107"/>
    </row>
    <row r="92" spans="1:12" x14ac:dyDescent="0.25">
      <c r="A92" s="8" t="s">
        <v>113</v>
      </c>
      <c r="B92" s="9">
        <v>171139</v>
      </c>
      <c r="L92" s="106"/>
    </row>
    <row r="93" spans="1:12" x14ac:dyDescent="0.25">
      <c r="A93" s="8" t="s">
        <v>114</v>
      </c>
      <c r="B93" s="9">
        <v>151876</v>
      </c>
      <c r="L93" s="106"/>
    </row>
    <row r="94" spans="1:12" x14ac:dyDescent="0.25">
      <c r="A94" s="8" t="s">
        <v>115</v>
      </c>
      <c r="B94" s="9">
        <v>148212</v>
      </c>
      <c r="L94" s="106"/>
    </row>
    <row r="95" spans="1:12" x14ac:dyDescent="0.25">
      <c r="A95" s="8" t="s">
        <v>116</v>
      </c>
      <c r="B95" s="9">
        <v>135541</v>
      </c>
      <c r="L95" s="106"/>
    </row>
    <row r="96" spans="1:12" x14ac:dyDescent="0.25">
      <c r="A96" s="8" t="s">
        <v>117</v>
      </c>
      <c r="B96" s="9">
        <v>127491</v>
      </c>
      <c r="L96" s="106"/>
    </row>
    <row r="97" spans="1:12" x14ac:dyDescent="0.25">
      <c r="A97" s="12" t="s">
        <v>118</v>
      </c>
      <c r="B97" s="13">
        <v>734259</v>
      </c>
      <c r="C97" s="2">
        <f>SUM(B91,B97)</f>
        <v>1792163</v>
      </c>
      <c r="D97" s="1">
        <f>C97/$B$108</f>
        <v>7.065336711718416E-2</v>
      </c>
      <c r="L97" s="107"/>
    </row>
    <row r="98" spans="1:12" x14ac:dyDescent="0.25">
      <c r="A98" s="6" t="s">
        <v>119</v>
      </c>
      <c r="B98" s="7">
        <v>118484</v>
      </c>
      <c r="L98" s="106"/>
    </row>
    <row r="99" spans="1:12" x14ac:dyDescent="0.25">
      <c r="A99" s="8" t="s">
        <v>120</v>
      </c>
      <c r="B99" s="9">
        <v>109564</v>
      </c>
      <c r="L99" s="106"/>
    </row>
    <row r="100" spans="1:12" x14ac:dyDescent="0.25">
      <c r="A100" s="8" t="s">
        <v>121</v>
      </c>
      <c r="B100" s="9">
        <v>101897</v>
      </c>
      <c r="L100" s="106"/>
    </row>
    <row r="101" spans="1:12" x14ac:dyDescent="0.25">
      <c r="A101" s="8" t="s">
        <v>122</v>
      </c>
      <c r="B101" s="9">
        <v>93053</v>
      </c>
      <c r="L101" s="106"/>
    </row>
    <row r="102" spans="1:12" x14ac:dyDescent="0.25">
      <c r="A102" s="8" t="s">
        <v>123</v>
      </c>
      <c r="B102" s="9">
        <v>82541</v>
      </c>
      <c r="L102" s="106"/>
    </row>
    <row r="103" spans="1:12" x14ac:dyDescent="0.25">
      <c r="A103" s="10" t="s">
        <v>124</v>
      </c>
      <c r="B103" s="11">
        <v>505539</v>
      </c>
      <c r="L103" s="107"/>
    </row>
    <row r="104" spans="1:12" x14ac:dyDescent="0.25">
      <c r="A104" s="10" t="s">
        <v>125</v>
      </c>
      <c r="B104" s="11">
        <v>313008</v>
      </c>
      <c r="L104" s="107"/>
    </row>
    <row r="105" spans="1:12" x14ac:dyDescent="0.25">
      <c r="A105" s="10" t="s">
        <v>126</v>
      </c>
      <c r="B105" s="11">
        <v>153468</v>
      </c>
      <c r="L105" s="107"/>
    </row>
    <row r="106" spans="1:12" x14ac:dyDescent="0.25">
      <c r="A106" s="10" t="s">
        <v>127</v>
      </c>
      <c r="B106" s="11">
        <v>44201</v>
      </c>
      <c r="L106" s="107"/>
    </row>
    <row r="107" spans="1:12" x14ac:dyDescent="0.25">
      <c r="A107" s="12" t="s">
        <v>128</v>
      </c>
      <c r="B107" s="13">
        <v>5027</v>
      </c>
      <c r="C107" s="2">
        <f>SUM(B103:B107)</f>
        <v>1021243</v>
      </c>
      <c r="D107" s="1">
        <f>C107/$B$108</f>
        <v>4.0260989985204748E-2</v>
      </c>
      <c r="L107" s="107"/>
    </row>
    <row r="108" spans="1:12" x14ac:dyDescent="0.25">
      <c r="A108" s="4" t="s">
        <v>129</v>
      </c>
      <c r="B108" s="5">
        <v>25365571</v>
      </c>
      <c r="L108" s="1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H21" sqref="H21"/>
    </sheetView>
  </sheetViews>
  <sheetFormatPr defaultRowHeight="15" x14ac:dyDescent="0.25"/>
  <sheetData>
    <row r="3" spans="1:3" x14ac:dyDescent="0.25">
      <c r="A3" t="s">
        <v>142</v>
      </c>
      <c r="B3" t="s">
        <v>143</v>
      </c>
      <c r="C3" t="s">
        <v>144</v>
      </c>
    </row>
    <row r="4" spans="1:3" x14ac:dyDescent="0.25">
      <c r="A4" s="59" t="s">
        <v>14</v>
      </c>
      <c r="B4">
        <v>33</v>
      </c>
      <c r="C4" s="3">
        <f t="shared" ref="C4:C12" si="0">B4/$B$14</f>
        <v>3.3199195171026159E-2</v>
      </c>
    </row>
    <row r="5" spans="1:3" x14ac:dyDescent="0.25">
      <c r="A5" s="59" t="s">
        <v>15</v>
      </c>
      <c r="B5">
        <v>89</v>
      </c>
      <c r="C5" s="3">
        <f t="shared" si="0"/>
        <v>8.9537223340040245E-2</v>
      </c>
    </row>
    <row r="6" spans="1:3" x14ac:dyDescent="0.25">
      <c r="A6" s="59" t="s">
        <v>16</v>
      </c>
      <c r="B6">
        <v>164</v>
      </c>
      <c r="C6" s="3">
        <f t="shared" si="0"/>
        <v>0.16498993963782696</v>
      </c>
    </row>
    <row r="7" spans="1:3" x14ac:dyDescent="0.25">
      <c r="A7" s="59" t="s">
        <v>17</v>
      </c>
      <c r="B7">
        <v>170</v>
      </c>
      <c r="C7" s="3">
        <f t="shared" si="0"/>
        <v>0.17102615694164991</v>
      </c>
    </row>
    <row r="8" spans="1:3" x14ac:dyDescent="0.25">
      <c r="A8" s="59" t="s">
        <v>18</v>
      </c>
      <c r="B8">
        <v>146</v>
      </c>
      <c r="C8" s="3">
        <f t="shared" si="0"/>
        <v>0.14688128772635814</v>
      </c>
    </row>
    <row r="9" spans="1:3" x14ac:dyDescent="0.25">
      <c r="A9" s="59" t="s">
        <v>19</v>
      </c>
      <c r="B9">
        <v>174</v>
      </c>
      <c r="C9" s="3">
        <f t="shared" si="0"/>
        <v>0.1750503018108652</v>
      </c>
    </row>
    <row r="10" spans="1:3" x14ac:dyDescent="0.25">
      <c r="A10" s="59" t="s">
        <v>20</v>
      </c>
      <c r="B10">
        <v>179</v>
      </c>
      <c r="C10" s="3">
        <f t="shared" si="0"/>
        <v>0.18008048289738432</v>
      </c>
    </row>
    <row r="11" spans="1:3" ht="15.75" customHeight="1" x14ac:dyDescent="0.25">
      <c r="A11" s="60" t="s">
        <v>21</v>
      </c>
      <c r="B11">
        <v>33</v>
      </c>
      <c r="C11" s="3">
        <f t="shared" si="0"/>
        <v>3.3199195171026159E-2</v>
      </c>
    </row>
    <row r="12" spans="1:3" x14ac:dyDescent="0.25">
      <c r="A12" s="60" t="s">
        <v>22</v>
      </c>
      <c r="B12">
        <v>6</v>
      </c>
      <c r="C12" s="3">
        <f t="shared" si="0"/>
        <v>6.0362173038229373E-3</v>
      </c>
    </row>
    <row r="14" spans="1:3" x14ac:dyDescent="0.25">
      <c r="A14" t="s">
        <v>145</v>
      </c>
      <c r="B14">
        <f>SUM(B4:B12)</f>
        <v>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Projections</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2020-03-25T07:11:05Z</dcterms:modified>
</cp:coreProperties>
</file>