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ED59F1B7-0C59-4897-9F1D-E01FB85A1F03}" xr6:coauthVersionLast="45" xr6:coauthVersionMax="45" xr10:uidLastSave="{00000000-0000-0000-0000-000000000000}"/>
  <bookViews>
    <workbookView xWindow="3828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33" i="1" l="1"/>
  <c r="AJ26" i="1"/>
  <c r="AJ24" i="1"/>
  <c r="AJ22" i="1"/>
  <c r="AJ18" i="1"/>
  <c r="AJ19" i="1"/>
  <c r="AI25" i="1"/>
  <c r="AG25" i="1"/>
  <c r="AH25" i="1"/>
  <c r="AF25" i="1"/>
  <c r="AE25" i="1"/>
  <c r="T25" i="1"/>
  <c r="U25" i="1"/>
  <c r="V25" i="1"/>
  <c r="W25" i="1"/>
  <c r="X25" i="1"/>
  <c r="Y25" i="1"/>
  <c r="Z25" i="1"/>
  <c r="AA25" i="1"/>
  <c r="AB25" i="1"/>
  <c r="AC25" i="1"/>
  <c r="AD25" i="1"/>
  <c r="S25" i="1"/>
  <c r="R25" i="1"/>
  <c r="L25" i="1"/>
  <c r="M25" i="1"/>
  <c r="N25" i="1"/>
  <c r="O25" i="1"/>
  <c r="P25" i="1"/>
  <c r="Q25" i="1"/>
  <c r="K25" i="1"/>
  <c r="J25" i="1"/>
  <c r="AD24" i="1"/>
  <c r="AC24" i="1"/>
  <c r="AB24" i="1"/>
  <c r="AG22" i="1"/>
  <c r="AH22" i="1"/>
  <c r="AF22" i="1"/>
  <c r="AI17" i="1"/>
  <c r="AJ23" i="1" l="1"/>
  <c r="C5" i="5"/>
  <c r="C4" i="5"/>
  <c r="B17" i="4"/>
  <c r="K20" i="4" s="1"/>
  <c r="B65" i="1"/>
  <c r="B61" i="1"/>
  <c r="B63" i="1"/>
  <c r="B59" i="1"/>
  <c r="B57" i="1"/>
  <c r="B55" i="1"/>
  <c r="B53" i="1"/>
  <c r="B51" i="1"/>
  <c r="B49"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K17" i="1"/>
  <c r="L17" i="1" s="1"/>
  <c r="M17" i="1" s="1"/>
  <c r="N17" i="1" s="1"/>
  <c r="O17" i="1" s="1"/>
  <c r="P17" i="1" s="1"/>
  <c r="Q17" i="1" s="1"/>
  <c r="R17" i="1" s="1"/>
  <c r="S17" i="1" s="1"/>
  <c r="T17" i="1" s="1"/>
  <c r="U17" i="1" s="1"/>
  <c r="V17" i="1" s="1"/>
  <c r="W17" i="1" s="1"/>
  <c r="X17" i="1" s="1"/>
  <c r="Y17" i="1" s="1"/>
  <c r="Z17" i="1" s="1"/>
  <c r="AA17" i="1" s="1"/>
  <c r="AB17" i="1" s="1"/>
  <c r="AC17" i="1" s="1"/>
  <c r="AD17" i="1" s="1"/>
  <c r="J41" i="1"/>
  <c r="K43" i="1" l="1"/>
  <c r="B18" i="4"/>
  <c r="B19" i="4" s="1"/>
  <c r="AE17" i="1"/>
  <c r="AF17" i="1" s="1"/>
  <c r="AG17" i="1" s="1"/>
  <c r="AH17" i="1" s="1"/>
  <c r="H21" i="4" l="1"/>
  <c r="K41" i="1"/>
  <c r="J43" i="1"/>
  <c r="J40" i="1"/>
  <c r="O30" i="1" l="1"/>
  <c r="O31" i="1" s="1"/>
  <c r="P30" i="1"/>
  <c r="P31" i="1" s="1"/>
  <c r="N30" i="1"/>
  <c r="N31" i="1" s="1"/>
  <c r="Q30" i="1"/>
  <c r="Q31" i="1" s="1"/>
  <c r="M28" i="1"/>
  <c r="M29" i="1" s="1"/>
  <c r="L28" i="1"/>
  <c r="L29" i="1" s="1"/>
  <c r="L41" i="1"/>
  <c r="J28" i="1"/>
  <c r="J29" i="1" s="1"/>
  <c r="J30" i="1"/>
  <c r="J31" i="1" s="1"/>
  <c r="Z42" i="1"/>
  <c r="AA42" i="1" s="1"/>
  <c r="AB42" i="1" s="1"/>
  <c r="AC42" i="1" s="1"/>
  <c r="AD42" i="1" s="1"/>
  <c r="AE42" i="1" s="1"/>
  <c r="AF42" i="1" s="1"/>
  <c r="AG42" i="1" s="1"/>
  <c r="AH42" i="1" s="1"/>
  <c r="M41" i="1" l="1"/>
  <c r="J26" i="1"/>
  <c r="J27" i="1" s="1"/>
  <c r="J22" i="1"/>
  <c r="J24" i="1" s="1"/>
  <c r="C12" i="5"/>
  <c r="C7" i="5"/>
  <c r="C8" i="5" s="1"/>
  <c r="C9" i="5" s="1"/>
  <c r="C21" i="5"/>
  <c r="C18" i="5"/>
  <c r="C15" i="5"/>
  <c r="C24" i="5"/>
  <c r="C3" i="5"/>
  <c r="C30" i="5" l="1"/>
  <c r="J23" i="1"/>
  <c r="N41" i="1"/>
  <c r="J20" i="1"/>
  <c r="J21" i="1" s="1"/>
  <c r="C34" i="5"/>
  <c r="O41" i="1" l="1"/>
  <c r="C13" i="5"/>
  <c r="C14" i="5" s="1"/>
  <c r="AI18" i="1"/>
  <c r="J36" i="1"/>
  <c r="J34" i="1"/>
  <c r="J37" i="1"/>
  <c r="J35" i="1"/>
  <c r="AI74" i="1" l="1"/>
  <c r="AI75" i="1" s="1"/>
  <c r="AI72" i="1"/>
  <c r="AI78" i="1"/>
  <c r="AI79" i="1" s="1"/>
  <c r="AI82" i="1"/>
  <c r="AI76" i="1"/>
  <c r="AI77" i="1" s="1"/>
  <c r="AI80" i="1"/>
  <c r="AI81" i="1" s="1"/>
  <c r="P41" i="1"/>
  <c r="AI19" i="1"/>
  <c r="AJ32" i="1"/>
  <c r="AJ30" i="1"/>
  <c r="AJ28" i="1"/>
  <c r="AI42" i="1"/>
  <c r="AJ42" i="1" s="1"/>
  <c r="AI26" i="1"/>
  <c r="AI22" i="1"/>
  <c r="AI24" i="1" s="1"/>
  <c r="C22" i="5"/>
  <c r="C23" i="5" s="1"/>
  <c r="C35" i="5"/>
  <c r="C40" i="5" s="1"/>
  <c r="C25" i="5"/>
  <c r="C19" i="5"/>
  <c r="C20" i="5" s="1"/>
  <c r="C16" i="5"/>
  <c r="C17" i="5" s="1"/>
  <c r="C31" i="5"/>
  <c r="AP25" i="4"/>
  <c r="E31" i="4"/>
  <c r="AI73" i="1" l="1"/>
  <c r="AI85" i="1" s="1"/>
  <c r="AI84" i="1"/>
  <c r="C38" i="5"/>
  <c r="C36" i="5"/>
  <c r="C39" i="5"/>
  <c r="C37" i="5"/>
  <c r="E17" i="4"/>
  <c r="V24"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E18" i="4" l="1"/>
  <c r="K21" i="4" s="1"/>
  <c r="N20" i="4"/>
  <c r="AD40" i="1"/>
  <c r="AD43" i="1"/>
  <c r="AD41" i="1"/>
  <c r="H17" i="4"/>
  <c r="J72" i="1"/>
  <c r="J73" i="1" s="1"/>
  <c r="E19" i="4" l="1"/>
  <c r="Q20" i="4"/>
  <c r="H18" i="4"/>
  <c r="N22" i="4" s="1"/>
  <c r="AE41" i="1"/>
  <c r="AE40" i="1"/>
  <c r="AE43" i="1"/>
  <c r="K17" i="4"/>
  <c r="Y24" i="4"/>
  <c r="B14" i="3"/>
  <c r="H19" i="4" l="1"/>
  <c r="T20" i="4"/>
  <c r="K18" i="4"/>
  <c r="N21" i="4"/>
  <c r="AF40" i="1"/>
  <c r="AF41" i="1"/>
  <c r="AF43" i="1"/>
  <c r="K19" i="4"/>
  <c r="N17" i="4"/>
  <c r="AB24" i="4"/>
  <c r="Q17" i="4" l="1"/>
  <c r="W20" i="4"/>
  <c r="N18" i="4"/>
  <c r="AG40" i="1"/>
  <c r="AG41" i="1"/>
  <c r="AG43" i="1"/>
  <c r="Q21" i="4"/>
  <c r="AE24" i="4" s="1"/>
  <c r="Q22" i="4"/>
  <c r="N19" i="4"/>
  <c r="T17" i="4"/>
  <c r="T18" i="4" l="1"/>
  <c r="T19" i="4" s="1"/>
  <c r="AC20" i="4"/>
  <c r="Z20" i="4"/>
  <c r="Q18" i="4"/>
  <c r="Q19" i="4" s="1"/>
  <c r="AH41" i="1"/>
  <c r="AH40" i="1"/>
  <c r="AH43" i="1"/>
  <c r="T21" i="4"/>
  <c r="AH24" i="4" s="1"/>
  <c r="T22" i="4"/>
  <c r="T23" i="4"/>
  <c r="W21" i="4"/>
  <c r="AK24" i="4" s="1"/>
  <c r="W23" i="4"/>
  <c r="W17" i="4"/>
  <c r="W18" i="4" l="1"/>
  <c r="AF20" i="4"/>
  <c r="W22" i="4"/>
  <c r="Z21" i="4"/>
  <c r="AN24" i="4" s="1"/>
  <c r="Z23" i="4"/>
  <c r="Z22" i="4"/>
  <c r="Z17" i="4"/>
  <c r="W19" i="4"/>
  <c r="C82" i="1"/>
  <c r="C80" i="1"/>
  <c r="C78" i="1"/>
  <c r="C76" i="1"/>
  <c r="C74" i="1"/>
  <c r="C72" i="1"/>
  <c r="J32" i="1"/>
  <c r="C5" i="3"/>
  <c r="D51" i="1" s="1"/>
  <c r="Z18" i="4" l="1"/>
  <c r="AI20" i="4"/>
  <c r="AI51" i="1"/>
  <c r="AI52" i="1"/>
  <c r="AC21" i="4"/>
  <c r="AC22" i="4"/>
  <c r="AC23" i="4"/>
  <c r="AC17" i="4"/>
  <c r="Z19" i="4"/>
  <c r="AI32" i="1"/>
  <c r="C7" i="3"/>
  <c r="D55" i="1" s="1"/>
  <c r="C4" i="3"/>
  <c r="D49" i="1" s="1"/>
  <c r="C12" i="3"/>
  <c r="D65" i="1" s="1"/>
  <c r="C11" i="3"/>
  <c r="D63" i="1" s="1"/>
  <c r="C10" i="3"/>
  <c r="D61" i="1" s="1"/>
  <c r="C9" i="3"/>
  <c r="D59" i="1" s="1"/>
  <c r="C8" i="3"/>
  <c r="D57" i="1" s="1"/>
  <c r="C6" i="3"/>
  <c r="D53" i="1" s="1"/>
  <c r="C8" i="1"/>
  <c r="C10" i="5" s="1"/>
  <c r="C26" i="5" s="1"/>
  <c r="C27" i="5" s="1"/>
  <c r="C9" i="1"/>
  <c r="C11" i="5" s="1"/>
  <c r="C28" i="5" s="1"/>
  <c r="C29" i="5" s="1"/>
  <c r="J52" i="1"/>
  <c r="J82" i="1"/>
  <c r="J80" i="1"/>
  <c r="J78" i="1"/>
  <c r="J79" i="1" s="1"/>
  <c r="J76" i="1"/>
  <c r="J77" i="1" s="1"/>
  <c r="J74" i="1"/>
  <c r="J75" i="1" s="1"/>
  <c r="C51" i="1"/>
  <c r="C53" i="1"/>
  <c r="C55" i="1"/>
  <c r="C57" i="1"/>
  <c r="C59" i="1"/>
  <c r="C61" i="1"/>
  <c r="C63" i="1"/>
  <c r="C65" i="1"/>
  <c r="C49" i="1"/>
  <c r="J19" i="1"/>
  <c r="K18" i="1"/>
  <c r="AI49" i="1" l="1"/>
  <c r="AI50" i="1"/>
  <c r="AL20" i="4"/>
  <c r="AC18" i="4"/>
  <c r="AI61" i="1"/>
  <c r="AI62" i="1"/>
  <c r="AI54" i="1"/>
  <c r="AI53" i="1"/>
  <c r="AI57" i="1"/>
  <c r="AI58" i="1"/>
  <c r="AI64" i="1"/>
  <c r="AI63" i="1"/>
  <c r="AI56" i="1"/>
  <c r="AI55" i="1"/>
  <c r="AI60" i="1"/>
  <c r="AI59" i="1"/>
  <c r="J66" i="1"/>
  <c r="AI66" i="1"/>
  <c r="AI65" i="1"/>
  <c r="K28" i="1"/>
  <c r="K30" i="1"/>
  <c r="K31" i="1" s="1"/>
  <c r="K26" i="1"/>
  <c r="K27" i="1" s="1"/>
  <c r="K34" i="1"/>
  <c r="K37" i="1"/>
  <c r="K40" i="1"/>
  <c r="K35" i="1"/>
  <c r="K36" i="1"/>
  <c r="K22" i="1"/>
  <c r="AF22" i="4"/>
  <c r="AF23" i="4"/>
  <c r="AF21" i="4"/>
  <c r="AF17" i="4"/>
  <c r="AC19" i="4"/>
  <c r="J50" i="1"/>
  <c r="J49" i="1"/>
  <c r="J58" i="1"/>
  <c r="J57" i="1"/>
  <c r="J61" i="1"/>
  <c r="J60" i="1"/>
  <c r="J63" i="1"/>
  <c r="J53" i="1"/>
  <c r="L18" i="1"/>
  <c r="L26" i="1" s="1"/>
  <c r="L27" i="1" s="1"/>
  <c r="K76" i="1"/>
  <c r="K77" i="1" s="1"/>
  <c r="J54" i="1"/>
  <c r="K65" i="1"/>
  <c r="K74" i="1"/>
  <c r="K75" i="1" s="1"/>
  <c r="J62" i="1"/>
  <c r="K63" i="1"/>
  <c r="K82" i="1"/>
  <c r="J51" i="1"/>
  <c r="J59" i="1"/>
  <c r="K80" i="1"/>
  <c r="K81" i="1" s="1"/>
  <c r="K78" i="1"/>
  <c r="K79" i="1" s="1"/>
  <c r="K61" i="1"/>
  <c r="K54" i="1"/>
  <c r="K58" i="1"/>
  <c r="K62" i="1"/>
  <c r="K66" i="1"/>
  <c r="J84" i="1"/>
  <c r="K72" i="1"/>
  <c r="K73" i="1" s="1"/>
  <c r="J55" i="1"/>
  <c r="K51" i="1"/>
  <c r="J56" i="1"/>
  <c r="J64" i="1"/>
  <c r="K55" i="1"/>
  <c r="K52" i="1"/>
  <c r="K59" i="1"/>
  <c r="J65" i="1"/>
  <c r="K49" i="1"/>
  <c r="K56" i="1"/>
  <c r="K60" i="1"/>
  <c r="K64" i="1"/>
  <c r="K53" i="1"/>
  <c r="K50" i="1"/>
  <c r="K57" i="1"/>
  <c r="J81" i="1"/>
  <c r="J85" i="1" s="1"/>
  <c r="K19" i="1"/>
  <c r="K32" i="1"/>
  <c r="AO20" i="4" l="1"/>
  <c r="AF18" i="4"/>
  <c r="AI68" i="1"/>
  <c r="AI67" i="1"/>
  <c r="K29" i="1"/>
  <c r="K20" i="1" s="1"/>
  <c r="K21" i="1" s="1"/>
  <c r="L74" i="1"/>
  <c r="L75" i="1" s="1"/>
  <c r="L55" i="1"/>
  <c r="L30" i="1"/>
  <c r="L31" i="1" s="1"/>
  <c r="L80" i="1"/>
  <c r="L81" i="1" s="1"/>
  <c r="L51" i="1"/>
  <c r="L50" i="1"/>
  <c r="L72" i="1"/>
  <c r="L73" i="1" s="1"/>
  <c r="L52" i="1"/>
  <c r="L19" i="1"/>
  <c r="K23" i="1"/>
  <c r="K24" i="1"/>
  <c r="L43" i="1"/>
  <c r="M18" i="1"/>
  <c r="M26" i="1" s="1"/>
  <c r="M27" i="1" s="1"/>
  <c r="L22" i="1"/>
  <c r="L32" i="1"/>
  <c r="L65" i="1"/>
  <c r="L64" i="1"/>
  <c r="L76" i="1"/>
  <c r="L77" i="1" s="1"/>
  <c r="L60" i="1"/>
  <c r="L59" i="1"/>
  <c r="L36" i="1"/>
  <c r="L34" i="1"/>
  <c r="L37" i="1"/>
  <c r="L40" i="1"/>
  <c r="L35" i="1"/>
  <c r="AI23" i="4"/>
  <c r="AI21" i="4"/>
  <c r="AI22" i="4"/>
  <c r="AI17" i="4"/>
  <c r="AI18" i="4" s="1"/>
  <c r="AF19" i="4"/>
  <c r="J68" i="1"/>
  <c r="K68" i="1"/>
  <c r="L62" i="1"/>
  <c r="L61" i="1"/>
  <c r="L57" i="1"/>
  <c r="L54" i="1"/>
  <c r="L56" i="1"/>
  <c r="L49" i="1"/>
  <c r="L58" i="1"/>
  <c r="L63" i="1"/>
  <c r="L82" i="1"/>
  <c r="L53" i="1"/>
  <c r="L78" i="1"/>
  <c r="L79" i="1" s="1"/>
  <c r="L66" i="1"/>
  <c r="M66" i="1"/>
  <c r="M52" i="1"/>
  <c r="M54" i="1"/>
  <c r="M56" i="1"/>
  <c r="K84" i="1"/>
  <c r="J67" i="1"/>
  <c r="K67" i="1"/>
  <c r="K85" i="1"/>
  <c r="M74" i="1" l="1"/>
  <c r="M75" i="1" s="1"/>
  <c r="M62" i="1"/>
  <c r="M61" i="1"/>
  <c r="M53" i="1"/>
  <c r="M64" i="1"/>
  <c r="M59" i="1"/>
  <c r="M82" i="1"/>
  <c r="M49" i="1"/>
  <c r="M30" i="1"/>
  <c r="M31" i="1" s="1"/>
  <c r="M60" i="1"/>
  <c r="M58" i="1"/>
  <c r="M51" i="1"/>
  <c r="M72" i="1"/>
  <c r="M73" i="1" s="1"/>
  <c r="M55" i="1"/>
  <c r="N18" i="1"/>
  <c r="N61" i="1" s="1"/>
  <c r="M65" i="1"/>
  <c r="M63" i="1"/>
  <c r="M32" i="1"/>
  <c r="M76" i="1"/>
  <c r="M77" i="1" s="1"/>
  <c r="L85" i="1"/>
  <c r="M50" i="1"/>
  <c r="M78" i="1"/>
  <c r="M79" i="1" s="1"/>
  <c r="M80" i="1"/>
  <c r="M81" i="1" s="1"/>
  <c r="M19" i="1"/>
  <c r="M57" i="1"/>
  <c r="M43" i="1"/>
  <c r="L23" i="1"/>
  <c r="L24" i="1"/>
  <c r="M35" i="1"/>
  <c r="M36" i="1"/>
  <c r="M37" i="1"/>
  <c r="M40" i="1"/>
  <c r="M34" i="1"/>
  <c r="L84" i="1"/>
  <c r="M22" i="1"/>
  <c r="AL22" i="4"/>
  <c r="AL21" i="4"/>
  <c r="AL23" i="4"/>
  <c r="AL17" i="4"/>
  <c r="AL18" i="4" s="1"/>
  <c r="AI19" i="4"/>
  <c r="L67" i="1"/>
  <c r="L68" i="1"/>
  <c r="N65" i="1" l="1"/>
  <c r="N62" i="1"/>
  <c r="N74" i="1"/>
  <c r="N75" i="1" s="1"/>
  <c r="N59" i="1"/>
  <c r="N60" i="1"/>
  <c r="N51" i="1"/>
  <c r="N57" i="1"/>
  <c r="N72" i="1"/>
  <c r="N73" i="1" s="1"/>
  <c r="M68" i="1"/>
  <c r="N58" i="1"/>
  <c r="N50" i="1"/>
  <c r="N80" i="1"/>
  <c r="N81" i="1" s="1"/>
  <c r="N64" i="1"/>
  <c r="N56" i="1"/>
  <c r="N63" i="1"/>
  <c r="N78" i="1"/>
  <c r="N79" i="1" s="1"/>
  <c r="M85" i="1"/>
  <c r="N26" i="1"/>
  <c r="N27" i="1" s="1"/>
  <c r="N19" i="1"/>
  <c r="N52" i="1"/>
  <c r="N53" i="1"/>
  <c r="N76" i="1"/>
  <c r="N77" i="1" s="1"/>
  <c r="N22" i="1"/>
  <c r="N24" i="1" s="1"/>
  <c r="N32" i="1"/>
  <c r="N55" i="1"/>
  <c r="O18" i="1"/>
  <c r="O62" i="1" s="1"/>
  <c r="N66" i="1"/>
  <c r="M67" i="1"/>
  <c r="N54" i="1"/>
  <c r="N82" i="1"/>
  <c r="M84" i="1"/>
  <c r="N49" i="1"/>
  <c r="N43" i="1"/>
  <c r="M23" i="1"/>
  <c r="M24" i="1"/>
  <c r="N35" i="1"/>
  <c r="N40" i="1"/>
  <c r="N36" i="1"/>
  <c r="N37" i="1"/>
  <c r="N34" i="1"/>
  <c r="AO21" i="4"/>
  <c r="AO22" i="4"/>
  <c r="AO23" i="4"/>
  <c r="AO17" i="4"/>
  <c r="AO18" i="4" s="1"/>
  <c r="AO19" i="4" s="1"/>
  <c r="AL19" i="4"/>
  <c r="O59" i="1"/>
  <c r="O49" i="1"/>
  <c r="O52" i="1" l="1"/>
  <c r="N67" i="1"/>
  <c r="N85" i="1"/>
  <c r="O65" i="1"/>
  <c r="O32" i="1"/>
  <c r="P18" i="1"/>
  <c r="P63" i="1" s="1"/>
  <c r="O54" i="1"/>
  <c r="O80" i="1"/>
  <c r="O81" i="1" s="1"/>
  <c r="O60" i="1"/>
  <c r="O61" i="1"/>
  <c r="N84" i="1"/>
  <c r="O57" i="1"/>
  <c r="N68" i="1"/>
  <c r="O19" i="1"/>
  <c r="O55" i="1"/>
  <c r="O78" i="1"/>
  <c r="O79" i="1" s="1"/>
  <c r="O26" i="1"/>
  <c r="O27" i="1" s="1"/>
  <c r="O74" i="1"/>
  <c r="O75" i="1" s="1"/>
  <c r="O56" i="1"/>
  <c r="O22" i="1"/>
  <c r="O23" i="1" s="1"/>
  <c r="O64" i="1"/>
  <c r="O63" i="1"/>
  <c r="O58" i="1"/>
  <c r="O76" i="1"/>
  <c r="O77" i="1" s="1"/>
  <c r="O51" i="1"/>
  <c r="O72" i="1"/>
  <c r="O73" i="1" s="1"/>
  <c r="O82" i="1"/>
  <c r="O53" i="1"/>
  <c r="N23" i="1"/>
  <c r="O50" i="1"/>
  <c r="O66" i="1"/>
  <c r="P22" i="1"/>
  <c r="P26" i="1"/>
  <c r="P27" i="1" s="1"/>
  <c r="O43" i="1"/>
  <c r="O35" i="1"/>
  <c r="O36" i="1"/>
  <c r="O34" i="1"/>
  <c r="O37" i="1"/>
  <c r="O40" i="1"/>
  <c r="P32" i="1" l="1"/>
  <c r="P60" i="1"/>
  <c r="P72" i="1"/>
  <c r="P82" i="1"/>
  <c r="P57" i="1"/>
  <c r="P58" i="1"/>
  <c r="P50" i="1"/>
  <c r="P64" i="1"/>
  <c r="P51" i="1"/>
  <c r="P49" i="1"/>
  <c r="P54" i="1"/>
  <c r="P61" i="1"/>
  <c r="P62" i="1"/>
  <c r="P19" i="1"/>
  <c r="P74" i="1"/>
  <c r="P75" i="1" s="1"/>
  <c r="P59" i="1"/>
  <c r="P52" i="1"/>
  <c r="P78" i="1"/>
  <c r="P79" i="1" s="1"/>
  <c r="P76" i="1"/>
  <c r="P77" i="1" s="1"/>
  <c r="P56" i="1"/>
  <c r="P55" i="1"/>
  <c r="Q18" i="1"/>
  <c r="Q59" i="1" s="1"/>
  <c r="P66" i="1"/>
  <c r="P65" i="1"/>
  <c r="P80" i="1"/>
  <c r="P81" i="1" s="1"/>
  <c r="P53" i="1"/>
  <c r="O85" i="1"/>
  <c r="O68" i="1"/>
  <c r="O84" i="1"/>
  <c r="O67" i="1"/>
  <c r="O24" i="1"/>
  <c r="P43" i="1"/>
  <c r="P23" i="1"/>
  <c r="P24" i="1"/>
  <c r="P35" i="1"/>
  <c r="P36" i="1"/>
  <c r="P37" i="1"/>
  <c r="P34" i="1"/>
  <c r="P40" i="1"/>
  <c r="P73" i="1"/>
  <c r="Q62" i="1" l="1"/>
  <c r="Q74" i="1"/>
  <c r="Q75" i="1" s="1"/>
  <c r="Q49" i="1"/>
  <c r="Q72" i="1"/>
  <c r="Q73" i="1" s="1"/>
  <c r="Q32" i="1"/>
  <c r="Q60" i="1"/>
  <c r="Q65" i="1"/>
  <c r="Q82" i="1"/>
  <c r="Q54" i="1"/>
  <c r="R18" i="1"/>
  <c r="R26" i="1" s="1"/>
  <c r="Q61" i="1"/>
  <c r="Q66" i="1"/>
  <c r="Q50" i="1"/>
  <c r="P67" i="1"/>
  <c r="Q56" i="1"/>
  <c r="P68" i="1"/>
  <c r="P84" i="1"/>
  <c r="Q52" i="1"/>
  <c r="Q63" i="1"/>
  <c r="Q58" i="1"/>
  <c r="Q57" i="1"/>
  <c r="Q76" i="1"/>
  <c r="Q77" i="1" s="1"/>
  <c r="P85" i="1"/>
  <c r="Q22" i="1"/>
  <c r="Q23" i="1" s="1"/>
  <c r="Q78" i="1"/>
  <c r="Q79" i="1" s="1"/>
  <c r="Q26" i="1"/>
  <c r="Q27" i="1" s="1"/>
  <c r="Q19" i="1"/>
  <c r="Q51" i="1"/>
  <c r="Q53" i="1"/>
  <c r="Q64" i="1"/>
  <c r="Q80" i="1"/>
  <c r="Q81" i="1" s="1"/>
  <c r="Q55" i="1"/>
  <c r="R43" i="1"/>
  <c r="Q43" i="1"/>
  <c r="Q41" i="1"/>
  <c r="Q40" i="1"/>
  <c r="Q35" i="1"/>
  <c r="Q37" i="1"/>
  <c r="Q36" i="1"/>
  <c r="Q34" i="1"/>
  <c r="R62" i="1" l="1"/>
  <c r="R65" i="1"/>
  <c r="R66" i="1"/>
  <c r="R19" i="1"/>
  <c r="R80" i="1"/>
  <c r="R81" i="1" s="1"/>
  <c r="R78" i="1"/>
  <c r="R79" i="1" s="1"/>
  <c r="R76" i="1"/>
  <c r="R77" i="1" s="1"/>
  <c r="R57" i="1"/>
  <c r="R74" i="1"/>
  <c r="R75" i="1" s="1"/>
  <c r="R60" i="1"/>
  <c r="R52" i="1"/>
  <c r="R50" i="1"/>
  <c r="R49" i="1"/>
  <c r="R58" i="1"/>
  <c r="R64" i="1"/>
  <c r="R32" i="1"/>
  <c r="R51" i="1"/>
  <c r="R59" i="1"/>
  <c r="R63" i="1"/>
  <c r="R72" i="1"/>
  <c r="R73" i="1" s="1"/>
  <c r="R56" i="1"/>
  <c r="R61" i="1"/>
  <c r="R55" i="1"/>
  <c r="R54" i="1"/>
  <c r="S18" i="1"/>
  <c r="S32" i="1" s="1"/>
  <c r="R53" i="1"/>
  <c r="R82" i="1"/>
  <c r="R22" i="1"/>
  <c r="R23" i="1" s="1"/>
  <c r="Q68" i="1"/>
  <c r="Q24" i="1"/>
  <c r="Q67" i="1"/>
  <c r="Q84" i="1"/>
  <c r="Q85" i="1"/>
  <c r="R40" i="1"/>
  <c r="R41" i="1"/>
  <c r="S19" i="1"/>
  <c r="S22" i="1"/>
  <c r="R35" i="1"/>
  <c r="R37" i="1"/>
  <c r="R34" i="1"/>
  <c r="R36" i="1"/>
  <c r="S82" i="1"/>
  <c r="S78" i="1"/>
  <c r="S79" i="1" s="1"/>
  <c r="S55" i="1"/>
  <c r="R85" i="1" l="1"/>
  <c r="R84" i="1"/>
  <c r="R68" i="1"/>
  <c r="R67" i="1"/>
  <c r="S52" i="1"/>
  <c r="S54" i="1"/>
  <c r="S62" i="1"/>
  <c r="S49" i="1"/>
  <c r="T18" i="1"/>
  <c r="T26" i="1" s="1"/>
  <c r="S63" i="1"/>
  <c r="S76" i="1"/>
  <c r="S77" i="1" s="1"/>
  <c r="S72" i="1"/>
  <c r="S73" i="1" s="1"/>
  <c r="S65" i="1"/>
  <c r="S74" i="1"/>
  <c r="S75" i="1" s="1"/>
  <c r="S60" i="1"/>
  <c r="S56" i="1"/>
  <c r="S61" i="1"/>
  <c r="S51" i="1"/>
  <c r="S26" i="1"/>
  <c r="S59" i="1"/>
  <c r="S57" i="1"/>
  <c r="S50" i="1"/>
  <c r="S66" i="1"/>
  <c r="S58" i="1"/>
  <c r="S80" i="1"/>
  <c r="S81" i="1" s="1"/>
  <c r="S64" i="1"/>
  <c r="S53" i="1"/>
  <c r="R24" i="1"/>
  <c r="S23" i="1"/>
  <c r="S24" i="1"/>
  <c r="S43" i="1"/>
  <c r="S41" i="1"/>
  <c r="S40" i="1"/>
  <c r="S36" i="1"/>
  <c r="S37" i="1"/>
  <c r="S34" i="1"/>
  <c r="S35" i="1"/>
  <c r="T54" i="1" l="1"/>
  <c r="T59" i="1"/>
  <c r="T57" i="1"/>
  <c r="T74" i="1"/>
  <c r="T75" i="1" s="1"/>
  <c r="T61" i="1"/>
  <c r="S67" i="1"/>
  <c r="T65" i="1"/>
  <c r="T72" i="1"/>
  <c r="T51" i="1"/>
  <c r="T58" i="1"/>
  <c r="T32" i="1"/>
  <c r="T76" i="1"/>
  <c r="T77" i="1" s="1"/>
  <c r="T63" i="1"/>
  <c r="T60" i="1"/>
  <c r="T66" i="1"/>
  <c r="T52" i="1"/>
  <c r="T56" i="1"/>
  <c r="T78" i="1"/>
  <c r="T79" i="1" s="1"/>
  <c r="T64" i="1"/>
  <c r="U18" i="1"/>
  <c r="U19" i="1" s="1"/>
  <c r="T49" i="1"/>
  <c r="T22" i="1"/>
  <c r="T24" i="1" s="1"/>
  <c r="S68" i="1"/>
  <c r="T62" i="1"/>
  <c r="T55" i="1"/>
  <c r="T80" i="1"/>
  <c r="T81" i="1" s="1"/>
  <c r="T50" i="1"/>
  <c r="T53" i="1"/>
  <c r="T82" i="1"/>
  <c r="T19" i="1"/>
  <c r="S84" i="1"/>
  <c r="S85" i="1"/>
  <c r="T43" i="1"/>
  <c r="T41" i="1"/>
  <c r="T40" i="1"/>
  <c r="T23" i="1"/>
  <c r="T37" i="1"/>
  <c r="T34" i="1"/>
  <c r="T36" i="1"/>
  <c r="T35" i="1"/>
  <c r="T73" i="1"/>
  <c r="U66" i="1"/>
  <c r="U82" i="1"/>
  <c r="U80" i="1"/>
  <c r="U81" i="1" s="1"/>
  <c r="U54" i="1"/>
  <c r="U61" i="1"/>
  <c r="U76" i="1"/>
  <c r="U77" i="1" s="1"/>
  <c r="U63" i="1"/>
  <c r="U56" i="1" l="1"/>
  <c r="U57" i="1"/>
  <c r="U55" i="1"/>
  <c r="U52" i="1"/>
  <c r="U65" i="1"/>
  <c r="U49" i="1"/>
  <c r="U67" i="1" s="1"/>
  <c r="T84" i="1"/>
  <c r="T67" i="1"/>
  <c r="U59" i="1"/>
  <c r="U64" i="1"/>
  <c r="U32" i="1"/>
  <c r="U62" i="1"/>
  <c r="U26" i="1"/>
  <c r="U53" i="1"/>
  <c r="U51" i="1"/>
  <c r="V18" i="1"/>
  <c r="V26" i="1" s="1"/>
  <c r="U50" i="1"/>
  <c r="U22" i="1"/>
  <c r="U24" i="1" s="1"/>
  <c r="U60" i="1"/>
  <c r="U78" i="1"/>
  <c r="U79" i="1" s="1"/>
  <c r="U58" i="1"/>
  <c r="U68" i="1" s="1"/>
  <c r="T68" i="1"/>
  <c r="T85" i="1"/>
  <c r="U74" i="1"/>
  <c r="U75" i="1" s="1"/>
  <c r="U72" i="1"/>
  <c r="U73" i="1" s="1"/>
  <c r="U41" i="1"/>
  <c r="U43" i="1"/>
  <c r="U34" i="1"/>
  <c r="U36" i="1"/>
  <c r="U40" i="1"/>
  <c r="U35" i="1"/>
  <c r="U37" i="1"/>
  <c r="V19" i="1"/>
  <c r="V22" i="1"/>
  <c r="V52" i="1"/>
  <c r="V64" i="1"/>
  <c r="V61" i="1"/>
  <c r="V54" i="1"/>
  <c r="V50" i="1"/>
  <c r="V76" i="1"/>
  <c r="V77" i="1" s="1"/>
  <c r="V82" i="1"/>
  <c r="V59" i="1"/>
  <c r="V53" i="1"/>
  <c r="V56" i="1"/>
  <c r="V63" i="1"/>
  <c r="V74" i="1"/>
  <c r="V75" i="1" s="1"/>
  <c r="V57" i="1"/>
  <c r="V78" i="1"/>
  <c r="V79" i="1" s="1"/>
  <c r="V51" i="1"/>
  <c r="V58" i="1"/>
  <c r="V49" i="1"/>
  <c r="V60" i="1"/>
  <c r="V55" i="1" l="1"/>
  <c r="U23" i="1"/>
  <c r="V65" i="1"/>
  <c r="W18" i="1"/>
  <c r="W26" i="1" s="1"/>
  <c r="V80" i="1"/>
  <c r="V81" i="1" s="1"/>
  <c r="U84" i="1"/>
  <c r="V72" i="1"/>
  <c r="V73" i="1" s="1"/>
  <c r="V85" i="1" s="1"/>
  <c r="V62" i="1"/>
  <c r="V68" i="1" s="1"/>
  <c r="V66" i="1"/>
  <c r="V32" i="1"/>
  <c r="U85" i="1"/>
  <c r="W22" i="1"/>
  <c r="V23" i="1"/>
  <c r="V24" i="1"/>
  <c r="V41" i="1"/>
  <c r="V43" i="1"/>
  <c r="V34" i="1"/>
  <c r="V36" i="1"/>
  <c r="V37" i="1"/>
  <c r="V40" i="1"/>
  <c r="V35" i="1"/>
  <c r="W32" i="1"/>
  <c r="V67" i="1"/>
  <c r="X18" i="1"/>
  <c r="W54" i="1"/>
  <c r="W59" i="1"/>
  <c r="W53" i="1"/>
  <c r="W52" i="1"/>
  <c r="W58" i="1"/>
  <c r="W82" i="1"/>
  <c r="W49" i="1"/>
  <c r="W63" i="1"/>
  <c r="W65" i="1"/>
  <c r="W61" i="1"/>
  <c r="W76" i="1"/>
  <c r="W77" i="1" s="1"/>
  <c r="W19" i="1"/>
  <c r="W74" i="1"/>
  <c r="W75" i="1" s="1"/>
  <c r="W56" i="1"/>
  <c r="W62" i="1"/>
  <c r="W55" i="1"/>
  <c r="W50" i="1"/>
  <c r="W60" i="1"/>
  <c r="W66" i="1"/>
  <c r="W51" i="1"/>
  <c r="V84" i="1" l="1"/>
  <c r="W72" i="1"/>
  <c r="W57" i="1"/>
  <c r="W64" i="1"/>
  <c r="W80" i="1"/>
  <c r="W81" i="1" s="1"/>
  <c r="W78" i="1"/>
  <c r="W79" i="1" s="1"/>
  <c r="W41" i="1"/>
  <c r="W43" i="1"/>
  <c r="X22" i="1"/>
  <c r="X26" i="1"/>
  <c r="W23" i="1"/>
  <c r="W24" i="1"/>
  <c r="W37" i="1"/>
  <c r="W36" i="1"/>
  <c r="W34" i="1"/>
  <c r="W40" i="1"/>
  <c r="W35" i="1"/>
  <c r="X32" i="1"/>
  <c r="W67" i="1"/>
  <c r="W73" i="1"/>
  <c r="W85" i="1" s="1"/>
  <c r="W84" i="1"/>
  <c r="Y18" i="1"/>
  <c r="X52" i="1"/>
  <c r="X55" i="1"/>
  <c r="X57" i="1"/>
  <c r="X56" i="1"/>
  <c r="X66" i="1"/>
  <c r="X78" i="1"/>
  <c r="X79" i="1" s="1"/>
  <c r="X53" i="1"/>
  <c r="X59" i="1"/>
  <c r="X63" i="1"/>
  <c r="X74" i="1"/>
  <c r="X75" i="1" s="1"/>
  <c r="X58" i="1"/>
  <c r="X76" i="1"/>
  <c r="X77" i="1" s="1"/>
  <c r="X62" i="1"/>
  <c r="X82" i="1"/>
  <c r="X50" i="1"/>
  <c r="X60" i="1"/>
  <c r="X80" i="1"/>
  <c r="X81" i="1" s="1"/>
  <c r="X72" i="1"/>
  <c r="X51" i="1"/>
  <c r="X54" i="1"/>
  <c r="X49" i="1"/>
  <c r="X65" i="1"/>
  <c r="X64" i="1"/>
  <c r="X19" i="1"/>
  <c r="X61" i="1"/>
  <c r="W68" i="1"/>
  <c r="N28" i="1" l="1"/>
  <c r="N29" i="1" s="1"/>
  <c r="L20" i="1"/>
  <c r="L21" i="1" s="1"/>
  <c r="AF28" i="1"/>
  <c r="AG28" i="1"/>
  <c r="AG30" i="1"/>
  <c r="AH30" i="1"/>
  <c r="T27" i="1"/>
  <c r="O28" i="1"/>
  <c r="O29" i="1" s="1"/>
  <c r="T30" i="1"/>
  <c r="T31" i="1" s="1"/>
  <c r="R27" i="1"/>
  <c r="M20" i="1"/>
  <c r="M21" i="1" s="1"/>
  <c r="S28" i="1"/>
  <c r="S29" i="1" s="1"/>
  <c r="S30" i="1"/>
  <c r="S31" i="1" s="1"/>
  <c r="Q28" i="1"/>
  <c r="Q29" i="1" s="1"/>
  <c r="S27" i="1"/>
  <c r="R30" i="1"/>
  <c r="R31" i="1" s="1"/>
  <c r="R28" i="1"/>
  <c r="R29" i="1" s="1"/>
  <c r="P28" i="1"/>
  <c r="P29" i="1" s="1"/>
  <c r="T28" i="1"/>
  <c r="T29" i="1" s="1"/>
  <c r="Y22" i="1"/>
  <c r="Y26" i="1"/>
  <c r="X41" i="1"/>
  <c r="X43" i="1"/>
  <c r="X23" i="1"/>
  <c r="X24" i="1"/>
  <c r="X37" i="1"/>
  <c r="X34" i="1"/>
  <c r="X36" i="1"/>
  <c r="X40" i="1"/>
  <c r="X35" i="1"/>
  <c r="Y32" i="1"/>
  <c r="X68" i="1"/>
  <c r="X73" i="1"/>
  <c r="X85" i="1" s="1"/>
  <c r="X84" i="1"/>
  <c r="X67" i="1"/>
  <c r="Z18" i="1"/>
  <c r="Y76" i="1"/>
  <c r="Y77" i="1" s="1"/>
  <c r="Y54" i="1"/>
  <c r="Y50" i="1"/>
  <c r="Y59" i="1"/>
  <c r="Y80" i="1"/>
  <c r="Y81" i="1" s="1"/>
  <c r="Y52" i="1"/>
  <c r="Y78" i="1"/>
  <c r="Y79" i="1" s="1"/>
  <c r="Y58" i="1"/>
  <c r="Y51" i="1"/>
  <c r="Y56" i="1"/>
  <c r="Y72" i="1"/>
  <c r="Y55" i="1"/>
  <c r="Y60" i="1"/>
  <c r="Y62" i="1"/>
  <c r="Y19" i="1"/>
  <c r="Y74" i="1"/>
  <c r="Y75" i="1" s="1"/>
  <c r="Y65" i="1"/>
  <c r="Y53" i="1"/>
  <c r="Y66" i="1"/>
  <c r="Y49" i="1"/>
  <c r="Y64" i="1"/>
  <c r="Y63" i="1"/>
  <c r="Y57" i="1"/>
  <c r="Y82" i="1"/>
  <c r="Y61" i="1"/>
  <c r="N20" i="1" l="1"/>
  <c r="N21" i="1" s="1"/>
  <c r="S20" i="1"/>
  <c r="S21" i="1" s="1"/>
  <c r="T20" i="1"/>
  <c r="T21" i="1" s="1"/>
  <c r="O20" i="1"/>
  <c r="O21" i="1" s="1"/>
  <c r="P20" i="1"/>
  <c r="P21" i="1" s="1"/>
  <c r="R20" i="1"/>
  <c r="R21" i="1" s="1"/>
  <c r="Q20" i="1"/>
  <c r="Q21" i="1" s="1"/>
  <c r="Y43" i="1"/>
  <c r="Y41" i="1"/>
  <c r="Z22" i="1"/>
  <c r="Z26" i="1"/>
  <c r="Y23" i="1"/>
  <c r="Y24" i="1"/>
  <c r="Y34" i="1"/>
  <c r="Y36" i="1"/>
  <c r="Y40" i="1"/>
  <c r="Y35" i="1"/>
  <c r="Y37" i="1"/>
  <c r="Z32" i="1"/>
  <c r="AA18" i="1"/>
  <c r="Y67" i="1"/>
  <c r="Y68" i="1"/>
  <c r="Y73" i="1"/>
  <c r="Y85" i="1" s="1"/>
  <c r="Y84" i="1"/>
  <c r="Z55" i="1"/>
  <c r="Z61" i="1"/>
  <c r="Z58" i="1"/>
  <c r="Z50" i="1"/>
  <c r="Z52" i="1"/>
  <c r="Z49" i="1"/>
  <c r="Z82" i="1"/>
  <c r="Z59" i="1"/>
  <c r="Z80" i="1"/>
  <c r="Z81" i="1" s="1"/>
  <c r="Z53" i="1"/>
  <c r="Z62" i="1"/>
  <c r="Z56" i="1"/>
  <c r="Z64" i="1"/>
  <c r="Z78" i="1"/>
  <c r="Z79" i="1" s="1"/>
  <c r="Z74" i="1"/>
  <c r="Z75" i="1" s="1"/>
  <c r="Z72" i="1"/>
  <c r="Z51" i="1"/>
  <c r="Z65" i="1"/>
  <c r="Z66" i="1"/>
  <c r="Z63" i="1"/>
  <c r="Z76" i="1"/>
  <c r="Z77" i="1" s="1"/>
  <c r="Z57" i="1"/>
  <c r="Z60" i="1"/>
  <c r="Z54" i="1"/>
  <c r="Z19" i="1"/>
  <c r="AA22" i="1" l="1"/>
  <c r="AA24" i="1" s="1"/>
  <c r="AA26" i="1"/>
  <c r="Z43" i="1"/>
  <c r="Z41" i="1"/>
  <c r="Z23" i="1"/>
  <c r="Z24" i="1"/>
  <c r="Z40" i="1"/>
  <c r="Z35" i="1"/>
  <c r="Z34" i="1"/>
  <c r="Z36" i="1"/>
  <c r="Z37" i="1"/>
  <c r="AA32" i="1"/>
  <c r="AB18" i="1"/>
  <c r="AA72" i="1"/>
  <c r="AA78" i="1"/>
  <c r="AA79" i="1" s="1"/>
  <c r="AA74" i="1"/>
  <c r="AA75" i="1" s="1"/>
  <c r="AA19" i="1"/>
  <c r="AA80" i="1"/>
  <c r="AA81" i="1" s="1"/>
  <c r="AA76" i="1"/>
  <c r="AA77" i="1" s="1"/>
  <c r="AA82" i="1"/>
  <c r="AA51" i="1"/>
  <c r="AA52" i="1"/>
  <c r="AA58" i="1"/>
  <c r="AA53" i="1"/>
  <c r="AA66" i="1"/>
  <c r="AA57" i="1"/>
  <c r="AA65" i="1"/>
  <c r="AA63" i="1"/>
  <c r="AA49" i="1"/>
  <c r="AA54" i="1"/>
  <c r="AA64" i="1"/>
  <c r="AA59" i="1"/>
  <c r="AA50" i="1"/>
  <c r="AA60" i="1"/>
  <c r="AA61" i="1"/>
  <c r="AA55" i="1"/>
  <c r="AA62" i="1"/>
  <c r="AA56" i="1"/>
  <c r="Z67" i="1"/>
  <c r="Z73" i="1"/>
  <c r="Z85" i="1" s="1"/>
  <c r="Z84" i="1"/>
  <c r="Z68" i="1"/>
  <c r="V27" i="1" l="1"/>
  <c r="W27" i="1"/>
  <c r="X27" i="1"/>
  <c r="U27" i="1"/>
  <c r="U30" i="1"/>
  <c r="U31" i="1" s="1"/>
  <c r="U28" i="1"/>
  <c r="U29" i="1" s="1"/>
  <c r="V28" i="1"/>
  <c r="V29" i="1" s="1"/>
  <c r="V30" i="1"/>
  <c r="V31" i="1" s="1"/>
  <c r="W30" i="1"/>
  <c r="W31" i="1" s="1"/>
  <c r="W28" i="1"/>
  <c r="W29" i="1" s="1"/>
  <c r="X30" i="1"/>
  <c r="X31" i="1" s="1"/>
  <c r="Y30" i="1"/>
  <c r="Y31" i="1" s="1"/>
  <c r="Y33" i="1"/>
  <c r="Z33" i="1"/>
  <c r="AB22" i="1"/>
  <c r="AB26" i="1"/>
  <c r="AA41" i="1"/>
  <c r="AA43" i="1"/>
  <c r="AA23" i="1"/>
  <c r="AA35" i="1"/>
  <c r="AA36" i="1"/>
  <c r="AA34" i="1"/>
  <c r="AA37" i="1"/>
  <c r="AA40" i="1"/>
  <c r="AB32" i="1"/>
  <c r="AA73" i="1"/>
  <c r="AA85" i="1" s="1"/>
  <c r="AA84" i="1"/>
  <c r="AA67" i="1"/>
  <c r="AA68" i="1"/>
  <c r="AB72" i="1"/>
  <c r="AB78" i="1"/>
  <c r="AB79" i="1" s="1"/>
  <c r="AB80" i="1"/>
  <c r="AB81" i="1" s="1"/>
  <c r="AB76" i="1"/>
  <c r="AB77" i="1" s="1"/>
  <c r="AB82" i="1"/>
  <c r="AB74" i="1"/>
  <c r="AB75" i="1" s="1"/>
  <c r="AB52" i="1"/>
  <c r="AC18" i="1"/>
  <c r="AC22" i="1" s="1"/>
  <c r="AB19" i="1"/>
  <c r="AB51" i="1"/>
  <c r="AB57" i="1"/>
  <c r="AB53" i="1"/>
  <c r="AB66" i="1"/>
  <c r="AB50" i="1"/>
  <c r="AB58" i="1"/>
  <c r="AB54" i="1"/>
  <c r="AB60" i="1"/>
  <c r="AB65" i="1"/>
  <c r="AB56" i="1"/>
  <c r="AB49" i="1"/>
  <c r="AB59" i="1"/>
  <c r="AB61" i="1"/>
  <c r="AB55" i="1"/>
  <c r="AB64" i="1"/>
  <c r="AB63" i="1"/>
  <c r="AB62" i="1"/>
  <c r="AC23" i="1" l="1"/>
  <c r="AC61" i="1"/>
  <c r="AD18" i="1"/>
  <c r="Y27" i="1"/>
  <c r="W20" i="1"/>
  <c r="W21" i="1" s="1"/>
  <c r="V20" i="1"/>
  <c r="V21" i="1" s="1"/>
  <c r="U20" i="1"/>
  <c r="U21" i="1" s="1"/>
  <c r="AB41" i="1"/>
  <c r="AB43" i="1"/>
  <c r="AC32" i="1"/>
  <c r="AC26" i="1"/>
  <c r="AB23" i="1"/>
  <c r="AB36" i="1"/>
  <c r="AB35" i="1"/>
  <c r="AB34" i="1"/>
  <c r="AB37" i="1"/>
  <c r="AB40" i="1"/>
  <c r="AB68" i="1"/>
  <c r="AB84" i="1"/>
  <c r="AB73" i="1"/>
  <c r="AB85" i="1" s="1"/>
  <c r="AB67" i="1"/>
  <c r="AC76" i="1"/>
  <c r="AC77" i="1" s="1"/>
  <c r="AC72" i="1"/>
  <c r="AC78" i="1"/>
  <c r="AC79" i="1" s="1"/>
  <c r="AC74" i="1"/>
  <c r="AC75" i="1" s="1"/>
  <c r="AC80" i="1"/>
  <c r="AC81" i="1" s="1"/>
  <c r="AC82" i="1"/>
  <c r="AC52" i="1"/>
  <c r="AC51" i="1"/>
  <c r="AC62" i="1"/>
  <c r="AC56" i="1"/>
  <c r="AC59" i="1"/>
  <c r="AC50" i="1"/>
  <c r="AC57" i="1"/>
  <c r="AC55" i="1"/>
  <c r="AC63" i="1"/>
  <c r="AC60" i="1"/>
  <c r="AC65" i="1"/>
  <c r="AC58" i="1"/>
  <c r="AC53" i="1"/>
  <c r="AC19" i="1"/>
  <c r="AC49" i="1"/>
  <c r="AC66" i="1"/>
  <c r="AC54" i="1"/>
  <c r="AC64" i="1"/>
  <c r="AD22" i="1" l="1"/>
  <c r="AD76" i="1"/>
  <c r="AD77" i="1" s="1"/>
  <c r="AD80" i="1"/>
  <c r="AD81" i="1" s="1"/>
  <c r="AD49" i="1"/>
  <c r="AD51" i="1"/>
  <c r="AD53" i="1"/>
  <c r="AD55" i="1"/>
  <c r="AD57" i="1"/>
  <c r="AD59" i="1"/>
  <c r="AD61" i="1"/>
  <c r="AD63" i="1"/>
  <c r="AD65" i="1"/>
  <c r="AD74" i="1"/>
  <c r="AD75" i="1" s="1"/>
  <c r="AD72" i="1"/>
  <c r="AD78" i="1"/>
  <c r="AD79" i="1" s="1"/>
  <c r="AD82" i="1"/>
  <c r="AD50" i="1"/>
  <c r="AD52" i="1"/>
  <c r="AD54" i="1"/>
  <c r="AD56" i="1"/>
  <c r="AD58" i="1"/>
  <c r="AD60" i="1"/>
  <c r="AD62" i="1"/>
  <c r="AD64" i="1"/>
  <c r="AD66" i="1"/>
  <c r="D14" i="1"/>
  <c r="AD33" i="1"/>
  <c r="AE18" i="1"/>
  <c r="AD19" i="1"/>
  <c r="AD26" i="1"/>
  <c r="AD32" i="1"/>
  <c r="AH33" i="1"/>
  <c r="AH31" i="1"/>
  <c r="AC41" i="1"/>
  <c r="AC43" i="1"/>
  <c r="AG31" i="1" s="1"/>
  <c r="AG29" i="1" s="1"/>
  <c r="AC37" i="1"/>
  <c r="AC34" i="1"/>
  <c r="AC40" i="1"/>
  <c r="AC35" i="1"/>
  <c r="AC36" i="1"/>
  <c r="AC68" i="1"/>
  <c r="AC67" i="1"/>
  <c r="AC73" i="1"/>
  <c r="AC85" i="1" s="1"/>
  <c r="AC84" i="1"/>
  <c r="AD67" i="1" l="1"/>
  <c r="AD68" i="1"/>
  <c r="AE82" i="1"/>
  <c r="AE50" i="1"/>
  <c r="AE52" i="1"/>
  <c r="AE54" i="1"/>
  <c r="AE56" i="1"/>
  <c r="AE58" i="1"/>
  <c r="AE60" i="1"/>
  <c r="AE62" i="1"/>
  <c r="AE64" i="1"/>
  <c r="AE66" i="1"/>
  <c r="AE22" i="1"/>
  <c r="AE76" i="1"/>
  <c r="AE77" i="1" s="1"/>
  <c r="AE80" i="1"/>
  <c r="AE81" i="1" s="1"/>
  <c r="AE49" i="1"/>
  <c r="AE51" i="1"/>
  <c r="AE53" i="1"/>
  <c r="AE55" i="1"/>
  <c r="AE57" i="1"/>
  <c r="AE59" i="1"/>
  <c r="AE61" i="1"/>
  <c r="AE63" i="1"/>
  <c r="AE65" i="1"/>
  <c r="AE74" i="1"/>
  <c r="AE75" i="1" s="1"/>
  <c r="AE72" i="1"/>
  <c r="AE78" i="1"/>
  <c r="AE79" i="1" s="1"/>
  <c r="AD73" i="1"/>
  <c r="AD85" i="1" s="1"/>
  <c r="AD84" i="1"/>
  <c r="AD23" i="1"/>
  <c r="AD27" i="1"/>
  <c r="AD30" i="1"/>
  <c r="AD31" i="1" s="1"/>
  <c r="AE33" i="1"/>
  <c r="AG33" i="1"/>
  <c r="AF33" i="1"/>
  <c r="AE19" i="1"/>
  <c r="AE32" i="1"/>
  <c r="AE26" i="1"/>
  <c r="AE27" i="1" s="1"/>
  <c r="AF18" i="1"/>
  <c r="AF30" i="1"/>
  <c r="AF31" i="1" s="1"/>
  <c r="AF29" i="1" s="1"/>
  <c r="AD28" i="1"/>
  <c r="AE30" i="1"/>
  <c r="AE31" i="1" s="1"/>
  <c r="AE28" i="1"/>
  <c r="X28" i="1"/>
  <c r="AA33" i="1"/>
  <c r="AB33" i="1"/>
  <c r="AC33" i="1"/>
  <c r="AC28" i="1"/>
  <c r="AI41" i="1"/>
  <c r="AI43" i="1"/>
  <c r="AI28" i="1" s="1"/>
  <c r="AI37" i="1"/>
  <c r="AI34" i="1"/>
  <c r="AI40" i="1"/>
  <c r="AJ17" i="1"/>
  <c r="AI36" i="1"/>
  <c r="AI35" i="1"/>
  <c r="AE68" i="1" l="1"/>
  <c r="AE67" i="1"/>
  <c r="AE73" i="1"/>
  <c r="AE85" i="1" s="1"/>
  <c r="AE84" i="1"/>
  <c r="AF72" i="1"/>
  <c r="AF78" i="1"/>
  <c r="AF79" i="1" s="1"/>
  <c r="AF63" i="1"/>
  <c r="AF82" i="1"/>
  <c r="AF50" i="1"/>
  <c r="AF52" i="1"/>
  <c r="AF54" i="1"/>
  <c r="AF56" i="1"/>
  <c r="AF58" i="1"/>
  <c r="AF60" i="1"/>
  <c r="AF62" i="1"/>
  <c r="AF64" i="1"/>
  <c r="AF66" i="1"/>
  <c r="AF53" i="1"/>
  <c r="AF65" i="1"/>
  <c r="AF49" i="1"/>
  <c r="AF57" i="1"/>
  <c r="AF67" i="1" s="1"/>
  <c r="AF76" i="1"/>
  <c r="AF77" i="1" s="1"/>
  <c r="AF80" i="1"/>
  <c r="AF81" i="1" s="1"/>
  <c r="AF55" i="1"/>
  <c r="AF51" i="1"/>
  <c r="AF74" i="1"/>
  <c r="AF75" i="1" s="1"/>
  <c r="AF61" i="1"/>
  <c r="AF59" i="1"/>
  <c r="AE23" i="1"/>
  <c r="AE24" i="1"/>
  <c r="AD29" i="1"/>
  <c r="AD20" i="1" s="1"/>
  <c r="AD21" i="1" s="1"/>
  <c r="X29" i="1"/>
  <c r="X20" i="1" s="1"/>
  <c r="X21" i="1" s="1"/>
  <c r="AB27" i="1"/>
  <c r="AE29" i="1"/>
  <c r="AE20" i="1" s="1"/>
  <c r="AE21" i="1" s="1"/>
  <c r="AF19" i="1"/>
  <c r="AF26" i="1"/>
  <c r="AF32" i="1"/>
  <c r="AG18" i="1"/>
  <c r="AC30" i="1"/>
  <c r="AC31" i="1" s="1"/>
  <c r="AC29" i="1" s="1"/>
  <c r="AA28" i="1"/>
  <c r="AI33" i="1"/>
  <c r="Y28" i="1"/>
  <c r="AA27" i="1"/>
  <c r="AC27" i="1"/>
  <c r="Z28" i="1"/>
  <c r="AB30" i="1"/>
  <c r="AB31" i="1" s="1"/>
  <c r="Z30" i="1"/>
  <c r="Z31" i="1" s="1"/>
  <c r="Z27" i="1"/>
  <c r="AB28" i="1"/>
  <c r="AA30" i="1"/>
  <c r="AA31" i="1" s="1"/>
  <c r="AI27" i="1"/>
  <c r="AI30" i="1"/>
  <c r="AI31" i="1" s="1"/>
  <c r="AI29" i="1" s="1"/>
  <c r="AJ41" i="1"/>
  <c r="AH28" i="1" s="1"/>
  <c r="AH29" i="1" s="1"/>
  <c r="AJ40" i="1"/>
  <c r="AJ43" i="1"/>
  <c r="AF68" i="1" l="1"/>
  <c r="AF73" i="1"/>
  <c r="AF85" i="1" s="1"/>
  <c r="AF84" i="1"/>
  <c r="AF23" i="1"/>
  <c r="AF24" i="1"/>
  <c r="AG72" i="1"/>
  <c r="AG78" i="1"/>
  <c r="AG79" i="1" s="1"/>
  <c r="AG76" i="1"/>
  <c r="AG77" i="1" s="1"/>
  <c r="AG82" i="1"/>
  <c r="AG50" i="1"/>
  <c r="AG68" i="1" s="1"/>
  <c r="AG52" i="1"/>
  <c r="AG54" i="1"/>
  <c r="AG56" i="1"/>
  <c r="AG58" i="1"/>
  <c r="AG60" i="1"/>
  <c r="AG62" i="1"/>
  <c r="AG64" i="1"/>
  <c r="AG66" i="1"/>
  <c r="AG80" i="1"/>
  <c r="AG81" i="1" s="1"/>
  <c r="AG49" i="1"/>
  <c r="AG51" i="1"/>
  <c r="AG53" i="1"/>
  <c r="AG55" i="1"/>
  <c r="AG57" i="1"/>
  <c r="AG59" i="1"/>
  <c r="AG61" i="1"/>
  <c r="AG63" i="1"/>
  <c r="AG65" i="1"/>
  <c r="AG74" i="1"/>
  <c r="AG75" i="1" s="1"/>
  <c r="Y29" i="1"/>
  <c r="Y20" i="1" s="1"/>
  <c r="Y21" i="1" s="1"/>
  <c r="AI20" i="1"/>
  <c r="AI21" i="1" s="1"/>
  <c r="AG19" i="1"/>
  <c r="AG32" i="1"/>
  <c r="AG26" i="1"/>
  <c r="AG27" i="1" s="1"/>
  <c r="AG20" i="1" s="1"/>
  <c r="AG21" i="1" s="1"/>
  <c r="AH18" i="1"/>
  <c r="AF27" i="1"/>
  <c r="AF20" i="1" s="1"/>
  <c r="AF21" i="1" s="1"/>
  <c r="AA29" i="1"/>
  <c r="AA20" i="1" s="1"/>
  <c r="AA21" i="1" s="1"/>
  <c r="Z29" i="1"/>
  <c r="Z20" i="1" s="1"/>
  <c r="Z21" i="1" s="1"/>
  <c r="AB29" i="1"/>
  <c r="AB20" i="1" s="1"/>
  <c r="AB21" i="1" s="1"/>
  <c r="AC20" i="1"/>
  <c r="AC21" i="1" s="1"/>
  <c r="AH74" i="1" l="1"/>
  <c r="AH75" i="1" s="1"/>
  <c r="AH72" i="1"/>
  <c r="AH78" i="1"/>
  <c r="AH79" i="1" s="1"/>
  <c r="AH82" i="1"/>
  <c r="AH50" i="1"/>
  <c r="AH52" i="1"/>
  <c r="AH54" i="1"/>
  <c r="AH56" i="1"/>
  <c r="AH58" i="1"/>
  <c r="AH60" i="1"/>
  <c r="AH62" i="1"/>
  <c r="AH64" i="1"/>
  <c r="AH66" i="1"/>
  <c r="AH76" i="1"/>
  <c r="AH77" i="1" s="1"/>
  <c r="AH80" i="1"/>
  <c r="AH81" i="1" s="1"/>
  <c r="AH49" i="1"/>
  <c r="AH51" i="1"/>
  <c r="AH53" i="1"/>
  <c r="AH55" i="1"/>
  <c r="AH57" i="1"/>
  <c r="AH59" i="1"/>
  <c r="AH61" i="1"/>
  <c r="AH63" i="1"/>
  <c r="AH65" i="1"/>
  <c r="AG24" i="1"/>
  <c r="AG23" i="1"/>
  <c r="AG73" i="1"/>
  <c r="AG85" i="1" s="1"/>
  <c r="AG84" i="1"/>
  <c r="AG67" i="1"/>
  <c r="AH32" i="1"/>
  <c r="AH19" i="1"/>
  <c r="AH26" i="1"/>
  <c r="AH27" i="1" s="1"/>
  <c r="AH20" i="1" s="1"/>
  <c r="AH21" i="1" s="1"/>
  <c r="AH67" i="1" l="1"/>
  <c r="AH68" i="1"/>
  <c r="AH23" i="1"/>
  <c r="AH24" i="1"/>
  <c r="AH73" i="1"/>
  <c r="AH85" i="1" s="1"/>
  <c r="AH84" i="1"/>
</calcChain>
</file>

<file path=xl/sharedStrings.xml><?xml version="1.0" encoding="utf-8"?>
<sst xmlns="http://schemas.openxmlformats.org/spreadsheetml/2006/main" count="271" uniqueCount="199">
  <si>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</si>
  <si>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</si>
  <si>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</si>
  <si>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</si>
  <si>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</si>
  <si>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</si>
  <si>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</si>
  <si>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</si>
  <si>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</si>
  <si>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</si>
  <si>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</si>
  <si>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</si>
  <si>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</si>
  <si>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</si>
  <si>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</si>
  <si>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</si>
  <si>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</si>
  <si>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</si>
  <si>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</si>
  <si>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</si>
  <si>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</si>
  <si>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</si>
  <si>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</si>
  <si>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</si>
  <si>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</si>
  <si>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</si>
  <si>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</si>
  <si>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</si>
  <si>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</si>
  <si>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</si>
  <si>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</si>
  <si>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</si>
  <si>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</si>
  <si>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</si>
  <si>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</si>
  <si>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</si>
  <si>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</si>
  <si>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</si>
  <si>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</si>
  <si>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</si>
  <si>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</si>
  <si>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</si>
  <si>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</si>
  <si>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</si>
  <si>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</si>
  <si>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</si>
  <si>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</si>
  <si>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</si>
  <si>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</si>
  <si>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</si>
  <si>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</si>
  <si>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</si>
  <si>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</si>
  <si>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</si>
  <si>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</si>
  <si>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</si>
  <si>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</si>
  <si>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</si>
  <si>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</si>
  <si>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</si>
  <si>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</si>
  <si>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</si>
  <si>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</si>
  <si>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</si>
  <si>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</si>
  <si>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</si>
  <si>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</si>
  <si>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</si>
  <si>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</si>
  <si>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</si>
  <si>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</si>
  <si>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</si>
  <si>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</si>
  <si>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</si>
  <si>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</si>
  <si>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</si>
  <si>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</si>
  <si>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</si>
  <si>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</si>
  <si>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</si>
  <si>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</si>
  <si>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</si>
  <si>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</si>
  <si>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</si>
  <si>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</si>
  <si>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</si>
  <si>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</si>
  <si>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</si>
  <si>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</si>
  <si>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</si>
  <si>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</si>
  <si>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</si>
  <si>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</si>
  <si>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</si>
  <si>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</si>
  <si>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</si>
  <si>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</si>
  <si>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</si>
  <si>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</si>
  <si>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</si>
  <si>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</si>
  <si>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</si>
  <si>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</si>
  <si>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</si>
  <si>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</si>
  <si>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</si>
  <si>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</si>
  <si>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</si>
  <si>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</si>
  <si>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</si>
  <si>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</si>
  <si>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</si>
  <si>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</si>
  <si>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</si>
  <si>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</si>
  <si>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</si>
  <si>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</si>
  <si>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</si>
  <si>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</si>
  <si>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</si>
  <si>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</si>
  <si>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</si>
  <si>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</si>
  <si>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</si>
  <si>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</si>
  <si>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</si>
  <si>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</si>
  <si>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</si>
  <si>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</si>
  <si>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</si>
  <si>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</si>
  <si>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</si>
  <si>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</si>
  <si>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</si>
  <si>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</si>
  <si>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</si>
  <si>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</si>
  <si>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</si>
  <si>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</si>
  <si>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</si>
  <si>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</si>
  <si>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</si>
  <si>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</si>
  <si>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</si>
  <si>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</si>
  <si>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</si>
  <si>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</si>
  <si>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</si>
  <si>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</si>
  <si>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</si>
  <si>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</si>
  <si>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</si>
  <si>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</si>
  <si>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</si>
  <si>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</si>
  <si>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</si>
  <si>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</si>
  <si>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</si>
  <si>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</si>
  <si>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</si>
  <si>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</si>
  <si>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</si>
  <si>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</si>
  <si>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</si>
  <si>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</si>
  <si>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</si>
  <si>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</si>
  <si>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</si>
  <si>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</si>
  <si>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</si>
  <si>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</si>
  <si>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</si>
  <si>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</si>
  <si>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</si>
  <si>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</si>
  <si>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as of 8/4/2020</t>
  </si>
  <si>
    <t>First death 29/2</t>
  </si>
  <si>
    <t>Travel from the European Schengen Area blocked</t>
  </si>
  <si>
    <t>Canada travel restricted</t>
  </si>
  <si>
    <t>Mexico travel restricted</t>
  </si>
  <si>
    <t>UK and Ireland travel restricted</t>
  </si>
  <si>
    <t>China travel restricted</t>
  </si>
  <si>
    <t>Iran travel blocked</t>
  </si>
  <si>
    <t>State of Emergency declared by Trump</t>
  </si>
  <si>
    <t>By 16/3/2020 all states had declared a State of Emergency.  States progressively began implementing stay at home orders.  Not all states have done so though</t>
  </si>
  <si>
    <t>Public Hospital Beds in US / 1,000</t>
  </si>
  <si>
    <t>ICU Beds in US / 100,000</t>
  </si>
  <si>
    <t>Detected infection rates appear to have peaked 4/4</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</si>
  <si>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</si>
  <si>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</si>
  <si>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</si>
  <si>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</si>
  <si>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</si>
  <si>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</si>
  <si>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</si>
  <si>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</si>
  <si>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~22,000</t>
  </si>
  <si>
    <t>Worst case numbers</t>
  </si>
  <si>
    <t>USA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</si>
</sst>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285">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9" fillId="4" borderId="8" xfId="0" applyNumberFormat="1" applyFont="1" applyFill="1" applyBorder="1"/>
    <xf numFmtId="171" fontId="9" fillId="4" borderId="6" xfId="0" applyNumberFormat="1" applyFont="1" applyFill="1" applyBorder="1"/>
    <xf numFmtId="171" fontId="0" fillId="0" borderId="3" xfId="0" applyNumberFormat="1" applyFill="1" applyBorder="1"/>
    <xf numFmtId="171" fontId="0" fillId="0" borderId="0" xfId="0" applyNumberFormat="1" applyFill="1" applyBorder="1"/>
    <xf numFmtId="171" fontId="0" fillId="0" borderId="4"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2" borderId="6" xfId="0" applyNumberForma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14" fontId="0" fillId="4" borderId="14" xfId="0" applyNumberFormat="1" applyFill="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2"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0" fontId="5"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3" fontId="0" fillId="8" borderId="4" xfId="0" applyNumberFormat="1" applyFill="1" applyBorder="1"/>
    <xf numFmtId="171" fontId="0" fillId="0" borderId="2" xfId="0" applyNumberFormat="1" applyBorder="1"/>
    <xf numFmtId="9"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2" borderId="2" xfId="0" applyNumberFormat="1" applyFill="1" applyBorder="1"/>
    <xf numFmtId="171" fontId="0" fillId="9" borderId="3" xfId="0" applyNumberFormat="1" applyFill="1" applyBorder="1"/>
    <xf numFmtId="171" fontId="0" fillId="3" borderId="4" xfId="0" applyNumberFormat="1" applyFill="1" applyBorder="1"/>
    <xf numFmtId="14" fontId="0" fillId="15" borderId="13" xfId="0" applyNumberFormat="1" applyFill="1" applyBorder="1"/>
    <xf numFmtId="14" fontId="0" fillId="15" borderId="14" xfId="0" applyNumberFormat="1" applyFill="1" applyBorder="1"/>
    <xf numFmtId="14" fontId="0" fillId="10" borderId="14"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xf numFmtId="171" fontId="0" fillId="0" borderId="0" xfId="0" applyNumberFormat="1" applyFill="1"/>
    <xf numFmtId="3" fontId="0" fillId="0" borderId="5" xfId="0" applyNumberFormat="1" applyFill="1" applyBorder="1" applyAlignment="1">
      <alignment horizontal="center"/>
    </xf>
    <xf numFmtId="3" fontId="0" fillId="0" borderId="8" xfId="0" applyNumberFormat="1" applyFill="1" applyBorder="1" applyAlignment="1">
      <alignment horizontal="center"/>
    </xf>
    <xf numFmtId="14" fontId="0" fillId="0" borderId="13" xfId="0" applyNumberFormat="1" applyFill="1" applyBorder="1"/>
    <xf numFmtId="14" fontId="0" fillId="0"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171" fontId="9" fillId="4" borderId="5" xfId="0" applyNumberFormat="1" applyFont="1" applyFill="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9" xfId="0" applyNumberFormat="1" applyFont="1" applyFill="1" applyBorder="1"/>
    <xf numFmtId="0" fontId="9" fillId="0" borderId="0" xfId="0" applyFont="1" applyFill="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2">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285.71428571428567</c:v>
                </c:pt>
                <c:pt idx="1">
                  <c:v>571.42857142857133</c:v>
                </c:pt>
                <c:pt idx="2">
                  <c:v>1142.8571428571427</c:v>
                </c:pt>
                <c:pt idx="3">
                  <c:v>2285.7142857142853</c:v>
                </c:pt>
                <c:pt idx="4">
                  <c:v>4571.4285714285706</c:v>
                </c:pt>
                <c:pt idx="5">
                  <c:v>9142.8571428571413</c:v>
                </c:pt>
                <c:pt idx="6">
                  <c:v>18285.714285714283</c:v>
                </c:pt>
                <c:pt idx="7">
                  <c:v>36571.428571428565</c:v>
                </c:pt>
                <c:pt idx="8">
                  <c:v>73142.85714285713</c:v>
                </c:pt>
                <c:pt idx="9">
                  <c:v>146285.71428571426</c:v>
                </c:pt>
                <c:pt idx="10">
                  <c:v>292571.42857142852</c:v>
                </c:pt>
                <c:pt idx="11">
                  <c:v>585142.85714285704</c:v>
                </c:pt>
                <c:pt idx="12">
                  <c:v>1170285.7142857141</c:v>
                </c:pt>
                <c:pt idx="13">
                  <c:v>2340571.4285714282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257.14285714285711</c:v>
                </c:pt>
                <c:pt idx="1">
                  <c:v>514.28571428571422</c:v>
                </c:pt>
                <c:pt idx="2">
                  <c:v>1028.5714285714284</c:v>
                </c:pt>
                <c:pt idx="3">
                  <c:v>2057.1428571428569</c:v>
                </c:pt>
                <c:pt idx="4">
                  <c:v>4114.2857142857138</c:v>
                </c:pt>
                <c:pt idx="5">
                  <c:v>8228.5714285714275</c:v>
                </c:pt>
                <c:pt idx="6">
                  <c:v>16457.142857142855</c:v>
                </c:pt>
                <c:pt idx="7">
                  <c:v>32914.28571428571</c:v>
                </c:pt>
                <c:pt idx="8">
                  <c:v>65828.57142857142</c:v>
                </c:pt>
                <c:pt idx="9">
                  <c:v>131657.14285714284</c:v>
                </c:pt>
                <c:pt idx="10">
                  <c:v>263314.28571428568</c:v>
                </c:pt>
                <c:pt idx="11">
                  <c:v>526628.57142857136</c:v>
                </c:pt>
                <c:pt idx="12">
                  <c:v>1053257.1428571427</c:v>
                </c:pt>
                <c:pt idx="13">
                  <c:v>2106514.2857142854</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Projections!$J$17:$AI$17</c15:sqref>
                  </c15:fullRef>
                </c:ext>
              </c:extLst>
              <c:f>Projections!$J$17:$Z$17</c:f>
              <c:numCache>
                <c:formatCode>m/d/yyyy</c:formatCode>
                <c:ptCount val="17"/>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numCache>
            </c:numRef>
          </c:cat>
          <c:val>
            <c:numRef>
              <c:extLst>
                <c:ext xmlns:c15="http://schemas.microsoft.com/office/drawing/2012/chart" uri="{02D57815-91ED-43cb-92C2-25804820EDAC}">
                  <c15:fullRef>
                    <c15:sqref>Projections!$J$18:$AI$18</c15:sqref>
                  </c15:fullRef>
                </c:ext>
              </c:extLst>
              <c:f>Projections!$J$18:$Z$18</c:f>
              <c:numCache>
                <c:formatCode>#,##0_ ;[Red]\-#,##0\ </c:formatCode>
                <c:ptCount val="17"/>
                <c:pt idx="0">
                  <c:v>12.5</c:v>
                </c:pt>
                <c:pt idx="1">
                  <c:v>25</c:v>
                </c:pt>
                <c:pt idx="2">
                  <c:v>50</c:v>
                </c:pt>
                <c:pt idx="3">
                  <c:v>100</c:v>
                </c:pt>
                <c:pt idx="4">
                  <c:v>200</c:v>
                </c:pt>
                <c:pt idx="5">
                  <c:v>400</c:v>
                </c:pt>
                <c:pt idx="6">
                  <c:v>800</c:v>
                </c:pt>
                <c:pt idx="7">
                  <c:v>1600</c:v>
                </c:pt>
                <c:pt idx="8">
                  <c:v>3200</c:v>
                </c:pt>
                <c:pt idx="9">
                  <c:v>6400</c:v>
                </c:pt>
                <c:pt idx="10">
                  <c:v>12800</c:v>
                </c:pt>
                <c:pt idx="11">
                  <c:v>25600</c:v>
                </c:pt>
                <c:pt idx="12">
                  <c:v>51200</c:v>
                </c:pt>
                <c:pt idx="13">
                  <c:v>102400</c:v>
                </c:pt>
                <c:pt idx="14">
                  <c:v>204800</c:v>
                </c:pt>
                <c:pt idx="15">
                  <c:v>409600</c:v>
                </c:pt>
                <c:pt idx="16">
                  <c:v>819200</c:v>
                </c:pt>
              </c:numCache>
            </c:numRef>
          </c:val>
          <c:smooth val="0"/>
          <c:extLst>
            <c:ext xmlns:c16="http://schemas.microsoft.com/office/drawing/2014/chart" uri="{C3380CC4-5D6E-409C-BE32-E72D297353CC}">
              <c16:uniqueId val="{00000004-8BCC-427B-903C-670C749E04E9}"/>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Projections!$J$17:$AI$17</c15:sqref>
                  </c15:fullRef>
                </c:ext>
              </c:extLst>
              <c:f>Projections!$J$17:$Z$17</c:f>
              <c:numCache>
                <c:formatCode>m/d/yyyy</c:formatCode>
                <c:ptCount val="17"/>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numCache>
            </c:numRef>
          </c:cat>
          <c:val>
            <c:numRef>
              <c:extLst>
                <c:ext xmlns:c15="http://schemas.microsoft.com/office/drawing/2012/chart" uri="{02D57815-91ED-43cb-92C2-25804820EDAC}">
                  <c15:fullRef>
                    <c15:sqref>Projections!$J$42:$AI$42</c15:sqref>
                  </c15:fullRef>
                </c:ext>
              </c:extLst>
              <c:f>Projections!$J$42:$Z$42</c:f>
              <c:numCache>
                <c:formatCode>General</c:formatCode>
                <c:ptCount val="17"/>
                <c:pt idx="0">
                  <c:v>16</c:v>
                </c:pt>
                <c:pt idx="1">
                  <c:v>24</c:v>
                </c:pt>
                <c:pt idx="2" formatCode="#,##0">
                  <c:v>53</c:v>
                </c:pt>
                <c:pt idx="3" formatCode="#,##0">
                  <c:v>98</c:v>
                </c:pt>
                <c:pt idx="4" formatCode="#,##0">
                  <c:v>214</c:v>
                </c:pt>
                <c:pt idx="5" formatCode="#,##0">
                  <c:v>423</c:v>
                </c:pt>
                <c:pt idx="6" formatCode="#,##0">
                  <c:v>937</c:v>
                </c:pt>
                <c:pt idx="7" formatCode="#,##0">
                  <c:v>1896</c:v>
                </c:pt>
                <c:pt idx="8" formatCode="#,##0">
                  <c:v>3487</c:v>
                </c:pt>
                <c:pt idx="9" formatCode="#,##0">
                  <c:v>7038</c:v>
                </c:pt>
                <c:pt idx="10" formatCode="#,##0">
                  <c:v>15219</c:v>
                </c:pt>
                <c:pt idx="11" formatCode="#,##0">
                  <c:v>24583</c:v>
                </c:pt>
                <c:pt idx="12" formatCode="#,##0">
                  <c:v>54453</c:v>
                </c:pt>
                <c:pt idx="13" formatCode="#,##0">
                  <c:v>103321</c:v>
                </c:pt>
                <c:pt idx="14" formatCode="#,##0">
                  <c:v>213144</c:v>
                </c:pt>
                <c:pt idx="15" formatCode="#,##0">
                  <c:v>395011</c:v>
                </c:pt>
                <c:pt idx="16" formatCode="#,##0">
                  <c:v>790022</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Projections!$J$17:$AI$17</c15:sqref>
                  </c15:fullRef>
                </c:ext>
              </c:extLst>
              <c:f>Projections!$J$17:$Z$17</c:f>
              <c:numCache>
                <c:formatCode>m/d/yyyy</c:formatCode>
                <c:ptCount val="17"/>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numCache>
            </c:numRef>
          </c:cat>
          <c:val>
            <c:numRef>
              <c:extLst>
                <c:ext xmlns:c15="http://schemas.microsoft.com/office/drawing/2012/chart" uri="{02D57815-91ED-43cb-92C2-25804820EDAC}">
                  <c15:fullRef>
                    <c15:sqref>Projections!$J$32:$AI$32</c15:sqref>
                  </c15:fullRef>
                </c:ext>
              </c:extLst>
              <c:f>Projections!$J$32:$Z$32</c:f>
              <c:numCache>
                <c:formatCode>#,##0_ ;[Red]\-#,##0\ </c:formatCode>
                <c:ptCount val="17"/>
                <c:pt idx="0">
                  <c:v>0.43750000000000006</c:v>
                </c:pt>
                <c:pt idx="1">
                  <c:v>0.87500000000000011</c:v>
                </c:pt>
                <c:pt idx="2">
                  <c:v>1.7500000000000002</c:v>
                </c:pt>
                <c:pt idx="3">
                  <c:v>3.5000000000000004</c:v>
                </c:pt>
                <c:pt idx="4">
                  <c:v>7.0000000000000009</c:v>
                </c:pt>
                <c:pt idx="5">
                  <c:v>14.000000000000002</c:v>
                </c:pt>
                <c:pt idx="6">
                  <c:v>28.000000000000004</c:v>
                </c:pt>
                <c:pt idx="7">
                  <c:v>56.000000000000007</c:v>
                </c:pt>
                <c:pt idx="8">
                  <c:v>112.00000000000001</c:v>
                </c:pt>
                <c:pt idx="9">
                  <c:v>224.00000000000003</c:v>
                </c:pt>
                <c:pt idx="10">
                  <c:v>448.00000000000006</c:v>
                </c:pt>
                <c:pt idx="11">
                  <c:v>896.00000000000011</c:v>
                </c:pt>
                <c:pt idx="12">
                  <c:v>1792.0000000000002</c:v>
                </c:pt>
                <c:pt idx="13">
                  <c:v>3584.0000000000005</c:v>
                </c:pt>
                <c:pt idx="14">
                  <c:v>7168.0000000000009</c:v>
                </c:pt>
                <c:pt idx="15">
                  <c:v>14336.000000000002</c:v>
                </c:pt>
                <c:pt idx="16">
                  <c:v>28672.000000000004</c:v>
                </c:pt>
              </c:numCache>
            </c:numRef>
          </c:val>
          <c:smooth val="0"/>
          <c:extLst>
            <c:ext xmlns:c16="http://schemas.microsoft.com/office/drawing/2014/chart" uri="{C3380CC4-5D6E-409C-BE32-E72D297353CC}">
              <c16:uniqueId val="{00000000-50BE-40C1-B679-81AF0BCE3FCD}"/>
            </c:ext>
          </c:extLst>
        </c:ser>
        <c:ser>
          <c:idx val="1"/>
          <c:order val="1"/>
          <c:tx>
            <c:strRef>
              <c:f>Projections!$A$45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Projections!$J$17:$AI$17</c15:sqref>
                  </c15:fullRef>
                </c:ext>
              </c:extLst>
              <c:f>Projections!$J$17:$Z$17</c:f>
              <c:numCache>
                <c:formatCode>m/d/yyyy</c:formatCode>
                <c:ptCount val="17"/>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numCache>
            </c:numRef>
          </c:cat>
          <c:val>
            <c:numRef>
              <c:extLst>
                <c:ext xmlns:c15="http://schemas.microsoft.com/office/drawing/2012/chart" uri="{02D57815-91ED-43cb-92C2-25804820EDAC}">
                  <c15:fullRef>
                    <c15:sqref>Projections!$J$45:$AI$45</c15:sqref>
                  </c15:fullRef>
                </c:ext>
              </c:extLst>
              <c:f>Projections!$J$45:$Z$45</c:f>
              <c:numCache>
                <c:formatCode>General</c:formatCode>
                <c:ptCount val="17"/>
                <c:pt idx="0">
                  <c:v>0</c:v>
                </c:pt>
                <c:pt idx="1">
                  <c:v>1</c:v>
                </c:pt>
                <c:pt idx="2" formatCode="#,##0">
                  <c:v>1</c:v>
                </c:pt>
                <c:pt idx="3" formatCode="#,##0">
                  <c:v>9</c:v>
                </c:pt>
                <c:pt idx="4" formatCode="#,##0">
                  <c:v>12</c:v>
                </c:pt>
                <c:pt idx="5" formatCode="#,##0">
                  <c:v>7</c:v>
                </c:pt>
                <c:pt idx="6" formatCode="#,##0">
                  <c:v>19</c:v>
                </c:pt>
                <c:pt idx="7" formatCode="#,##0">
                  <c:v>26</c:v>
                </c:pt>
                <c:pt idx="8" formatCode="#,##0">
                  <c:v>57</c:v>
                </c:pt>
                <c:pt idx="9" formatCode="#,##0">
                  <c:v>87</c:v>
                </c:pt>
                <c:pt idx="10" formatCode="#,##0">
                  <c:v>150</c:v>
                </c:pt>
                <c:pt idx="11" formatCode="#,##0">
                  <c:v>255</c:v>
                </c:pt>
                <c:pt idx="12" formatCode="#,##0">
                  <c:v>555</c:v>
                </c:pt>
                <c:pt idx="13" formatCode="#,##0">
                  <c:v>1295</c:v>
                </c:pt>
                <c:pt idx="14" formatCode="#,##0">
                  <c:v>4053</c:v>
                </c:pt>
                <c:pt idx="15" formatCode="#,##0">
                  <c:v>9616</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Projections!$J$28:$AI$28</c15:sqref>
                  </c15:fullRef>
                </c:ext>
              </c:extLst>
              <c:f>Projections!$J$28:$AD$28</c:f>
              <c:numCache>
                <c:formatCode>#,##0_ ;[Red]\-#,##0\ </c:formatCode>
                <c:ptCount val="21"/>
                <c:pt idx="0">
                  <c:v>1.7731241401556967</c:v>
                </c:pt>
                <c:pt idx="1">
                  <c:v>2.0684008002650538</c:v>
                </c:pt>
                <c:pt idx="2">
                  <c:v>2.4128495989916625</c:v>
                </c:pt>
                <c:pt idx="3">
                  <c:v>2.8146591253533622</c:v>
                </c:pt>
                <c:pt idx="4">
                  <c:v>2.5651418798692269</c:v>
                </c:pt>
                <c:pt idx="5">
                  <c:v>4.3631536043325365</c:v>
                </c:pt>
                <c:pt idx="6">
                  <c:v>10.613496295089616</c:v>
                </c:pt>
                <c:pt idx="7">
                  <c:v>31.765624999999993</c:v>
                </c:pt>
                <c:pt idx="8">
                  <c:v>62.789062500000007</c:v>
                </c:pt>
                <c:pt idx="9">
                  <c:v>139.08593749999994</c:v>
                </c:pt>
                <c:pt idx="10">
                  <c:v>274.08577115571507</c:v>
                </c:pt>
                <c:pt idx="11">
                  <c:v>386.92772897925926</c:v>
                </c:pt>
                <c:pt idx="12">
                  <c:v>1044.7031250000005</c:v>
                </c:pt>
                <c:pt idx="13">
                  <c:v>3131.4966051328934</c:v>
                </c:pt>
                <c:pt idx="14">
                  <c:v>11051.15883246587</c:v>
                </c:pt>
                <c:pt idx="15">
                  <c:v>51435.022972362516</c:v>
                </c:pt>
                <c:pt idx="16">
                  <c:v>207593.60554917139</c:v>
                </c:pt>
                <c:pt idx="17">
                  <c:v>331499.39492985891</c:v>
                </c:pt>
                <c:pt idx="18">
                  <c:v>575986.05433270708</c:v>
                </c:pt>
                <c:pt idx="19">
                  <c:v>1046251.6985502951</c:v>
                </c:pt>
                <c:pt idx="20">
                  <c:v>1951021.0818230812</c:v>
                </c:pt>
              </c:numCache>
            </c:numRef>
          </c:val>
          <c:smooth val="0"/>
          <c:extLst>
            <c:ext xmlns:c16="http://schemas.microsoft.com/office/drawing/2014/chart" uri="{C3380CC4-5D6E-409C-BE32-E72D297353CC}">
              <c16:uniqueId val="{00000000-A3C2-4B4C-996C-CDB1A252886F}"/>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Projections!$J$29:$AI$29</c15:sqref>
                  </c15:fullRef>
                </c:ext>
              </c:extLst>
              <c:f>Projections!$J$29:$AD$29</c:f>
              <c:numCache>
                <c:formatCode>#,##0_ ;[Red]\-#,##0\ </c:formatCode>
                <c:ptCount val="21"/>
                <c:pt idx="0">
                  <c:v>1.7731241401556967</c:v>
                </c:pt>
                <c:pt idx="1">
                  <c:v>2.0684008002650538</c:v>
                </c:pt>
                <c:pt idx="2">
                  <c:v>2.4128495989916625</c:v>
                </c:pt>
                <c:pt idx="3">
                  <c:v>2.8146591253533622</c:v>
                </c:pt>
                <c:pt idx="4">
                  <c:v>2.5651418798692269</c:v>
                </c:pt>
                <c:pt idx="5">
                  <c:v>4.3631536043325365</c:v>
                </c:pt>
                <c:pt idx="6">
                  <c:v>10.613496295089616</c:v>
                </c:pt>
                <c:pt idx="7">
                  <c:v>31.765624999999993</c:v>
                </c:pt>
                <c:pt idx="8">
                  <c:v>62.789062500000007</c:v>
                </c:pt>
                <c:pt idx="9">
                  <c:v>139.08593749999994</c:v>
                </c:pt>
                <c:pt idx="10">
                  <c:v>274.08577115571507</c:v>
                </c:pt>
                <c:pt idx="11">
                  <c:v>386.92772897925926</c:v>
                </c:pt>
                <c:pt idx="12">
                  <c:v>1044.7031250000005</c:v>
                </c:pt>
                <c:pt idx="13">
                  <c:v>3131.4966051328934</c:v>
                </c:pt>
                <c:pt idx="14">
                  <c:v>11051.15883246587</c:v>
                </c:pt>
                <c:pt idx="15">
                  <c:v>51435.022972362516</c:v>
                </c:pt>
                <c:pt idx="16">
                  <c:v>182234.31826318579</c:v>
                </c:pt>
                <c:pt idx="17">
                  <c:v>139812.34097624416</c:v>
                </c:pt>
                <c:pt idx="18">
                  <c:v>325939.27462551038</c:v>
                </c:pt>
                <c:pt idx="19">
                  <c:v>515026.71856656077</c:v>
                </c:pt>
                <c:pt idx="20">
                  <c:v>1110092.8208376579</c:v>
                </c:pt>
              </c:numCache>
            </c:numRef>
          </c:val>
          <c:smooth val="0"/>
          <c:extLst>
            <c:ext xmlns:c16="http://schemas.microsoft.com/office/drawing/2014/chart" uri="{C3380CC4-5D6E-409C-BE32-E72D297353CC}">
              <c16:uniqueId val="{00000001-A3C2-4B4C-996C-CDB1A252886F}"/>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Projections!$J$30:$AI$30</c15:sqref>
                  </c15:fullRef>
                </c:ext>
              </c:extLst>
              <c:f>Projections!$J$30:$AD$30</c:f>
              <c:numCache>
                <c:formatCode>#,##0_ ;[Red]\-#,##0\ </c:formatCode>
                <c:ptCount val="21"/>
                <c:pt idx="0">
                  <c:v>0.27215800003487545</c:v>
                </c:pt>
                <c:pt idx="1">
                  <c:v>0.31748021039363988</c:v>
                </c:pt>
                <c:pt idx="2">
                  <c:v>0.37034988491491622</c:v>
                </c:pt>
                <c:pt idx="3">
                  <c:v>0.43202389555692244</c:v>
                </c:pt>
                <c:pt idx="4">
                  <c:v>0.50396841995794928</c:v>
                </c:pt>
                <c:pt idx="5">
                  <c:v>0.58789379691023957</c:v>
                </c:pt>
                <c:pt idx="6">
                  <c:v>0.68579518628245828</c:v>
                </c:pt>
                <c:pt idx="7">
                  <c:v>0.86404779111384478</c:v>
                </c:pt>
                <c:pt idx="8">
                  <c:v>1.1481983169296148</c:v>
                </c:pt>
                <c:pt idx="9">
                  <c:v>2.793025340813057</c:v>
                </c:pt>
                <c:pt idx="10">
                  <c:v>5.1781003088122191</c:v>
                </c:pt>
                <c:pt idx="11">
                  <c:v>11.560071809669832</c:v>
                </c:pt>
                <c:pt idx="12">
                  <c:v>36.601562499999986</c:v>
                </c:pt>
                <c:pt idx="13">
                  <c:v>74.062500000000014</c:v>
                </c:pt>
                <c:pt idx="14">
                  <c:v>378.73190370784857</c:v>
                </c:pt>
                <c:pt idx="15">
                  <c:v>2127.0703124999982</c:v>
                </c:pt>
                <c:pt idx="16">
                  <c:v>25449.232598485585</c:v>
                </c:pt>
                <c:pt idx="17">
                  <c:v>193415.61196496422</c:v>
                </c:pt>
                <c:pt idx="18">
                  <c:v>246603.4038102279</c:v>
                </c:pt>
                <c:pt idx="19">
                  <c:v>372243.84715736721</c:v>
                </c:pt>
                <c:pt idx="20">
                  <c:v>614109.68623013457</c:v>
                </c:pt>
              </c:numCache>
            </c:numRef>
          </c:val>
          <c:smooth val="0"/>
          <c:extLst>
            <c:ext xmlns:c16="http://schemas.microsoft.com/office/drawing/2014/chart" uri="{C3380CC4-5D6E-409C-BE32-E72D297353CC}">
              <c16:uniqueId val="{00000002-A3C2-4B4C-996C-CDB1A252886F}"/>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Projections!$J$31:$AI$31</c15:sqref>
                  </c15:fullRef>
                </c:ext>
              </c:extLst>
              <c:f>Projections!$J$31:$AD$31</c:f>
              <c:numCache>
                <c:formatCode>#,##0_ ;[Red]\-#,##0\ </c:formatCode>
                <c:ptCount val="21"/>
                <c:pt idx="0">
                  <c:v>0.27215800003487545</c:v>
                </c:pt>
                <c:pt idx="1">
                  <c:v>0.31748021039363988</c:v>
                </c:pt>
                <c:pt idx="2">
                  <c:v>0.37034988491491622</c:v>
                </c:pt>
                <c:pt idx="3">
                  <c:v>0.43202389555692244</c:v>
                </c:pt>
                <c:pt idx="4">
                  <c:v>0.50396841995794928</c:v>
                </c:pt>
                <c:pt idx="5">
                  <c:v>0.58789379691023957</c:v>
                </c:pt>
                <c:pt idx="6">
                  <c:v>0.68579518628245828</c:v>
                </c:pt>
                <c:pt idx="7">
                  <c:v>0.86404779111384478</c:v>
                </c:pt>
                <c:pt idx="8">
                  <c:v>1.1481983169296148</c:v>
                </c:pt>
                <c:pt idx="9">
                  <c:v>2.793025340813057</c:v>
                </c:pt>
                <c:pt idx="10">
                  <c:v>5.1781003088122191</c:v>
                </c:pt>
                <c:pt idx="11">
                  <c:v>11.560071809669832</c:v>
                </c:pt>
                <c:pt idx="12">
                  <c:v>36.601562499999986</c:v>
                </c:pt>
                <c:pt idx="13">
                  <c:v>74.062500000000014</c:v>
                </c:pt>
                <c:pt idx="14">
                  <c:v>378.73190370784857</c:v>
                </c:pt>
                <c:pt idx="15">
                  <c:v>2124.2772871591851</c:v>
                </c:pt>
                <c:pt idx="16">
                  <c:v>25313.021660985585</c:v>
                </c:pt>
                <c:pt idx="17">
                  <c:v>189379.63540246422</c:v>
                </c:pt>
                <c:pt idx="18">
                  <c:v>226734.15470719669</c:v>
                </c:pt>
                <c:pt idx="19">
                  <c:v>334254.72966696438</c:v>
                </c:pt>
                <c:pt idx="20">
                  <c:v>540239.52499043278</c:v>
                </c:pt>
              </c:numCache>
            </c:numRef>
          </c:val>
          <c:smooth val="0"/>
          <c:extLst>
            <c:ext xmlns:c16="http://schemas.microsoft.com/office/drawing/2014/chart" uri="{C3380CC4-5D6E-409C-BE32-E72D297353CC}">
              <c16:uniqueId val="{00000003-A3C2-4B4C-996C-CDB1A252886F}"/>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Projections!$J$32:$AI$32</c15:sqref>
                  </c15:fullRef>
                </c:ext>
              </c:extLst>
              <c:f>Projections!$J$32:$AD$32</c:f>
              <c:numCache>
                <c:formatCode>#,##0_ ;[Red]\-#,##0\ </c:formatCode>
                <c:ptCount val="21"/>
                <c:pt idx="0">
                  <c:v>0.43750000000000006</c:v>
                </c:pt>
                <c:pt idx="1">
                  <c:v>0.87500000000000011</c:v>
                </c:pt>
                <c:pt idx="2">
                  <c:v>1.7500000000000002</c:v>
                </c:pt>
                <c:pt idx="3">
                  <c:v>3.5000000000000004</c:v>
                </c:pt>
                <c:pt idx="4">
                  <c:v>7.0000000000000009</c:v>
                </c:pt>
                <c:pt idx="5">
                  <c:v>14.000000000000002</c:v>
                </c:pt>
                <c:pt idx="6">
                  <c:v>28.000000000000004</c:v>
                </c:pt>
                <c:pt idx="7">
                  <c:v>56.000000000000007</c:v>
                </c:pt>
                <c:pt idx="8">
                  <c:v>112.00000000000001</c:v>
                </c:pt>
                <c:pt idx="9">
                  <c:v>224.00000000000003</c:v>
                </c:pt>
                <c:pt idx="10">
                  <c:v>448.00000000000006</c:v>
                </c:pt>
                <c:pt idx="11">
                  <c:v>896.00000000000011</c:v>
                </c:pt>
                <c:pt idx="12">
                  <c:v>1792.0000000000002</c:v>
                </c:pt>
                <c:pt idx="13">
                  <c:v>3584.0000000000005</c:v>
                </c:pt>
                <c:pt idx="14">
                  <c:v>7168.0000000000009</c:v>
                </c:pt>
                <c:pt idx="15">
                  <c:v>14336.000000000002</c:v>
                </c:pt>
                <c:pt idx="16">
                  <c:v>28672.000000000004</c:v>
                </c:pt>
                <c:pt idx="17">
                  <c:v>57344.000000000007</c:v>
                </c:pt>
                <c:pt idx="18">
                  <c:v>114688.00000000001</c:v>
                </c:pt>
                <c:pt idx="19">
                  <c:v>229376.00000000003</c:v>
                </c:pt>
                <c:pt idx="20">
                  <c:v>458752.00000000006</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Projections!$J$49:$AI$49</c15:sqref>
                  </c15:fullRef>
                </c:ext>
              </c:extLst>
              <c:f>Projections!$J$49:$AD$49</c:f>
              <c:numCache>
                <c:formatCode>#,##0</c:formatCode>
                <c:ptCount val="21"/>
                <c:pt idx="0">
                  <c:v>0.36059845905751658</c:v>
                </c:pt>
                <c:pt idx="1">
                  <c:v>0.72119691811503317</c:v>
                </c:pt>
                <c:pt idx="2">
                  <c:v>1.4423938362300663</c:v>
                </c:pt>
                <c:pt idx="3">
                  <c:v>2.8847876724601327</c:v>
                </c:pt>
                <c:pt idx="4">
                  <c:v>5.7695753449202654</c:v>
                </c:pt>
                <c:pt idx="5">
                  <c:v>11.539150689840531</c:v>
                </c:pt>
                <c:pt idx="6">
                  <c:v>23.078301379681061</c:v>
                </c:pt>
                <c:pt idx="7">
                  <c:v>46.156602759362123</c:v>
                </c:pt>
                <c:pt idx="8">
                  <c:v>92.313205518724246</c:v>
                </c:pt>
                <c:pt idx="9">
                  <c:v>184.62641103744849</c:v>
                </c:pt>
                <c:pt idx="10">
                  <c:v>369.25282207489698</c:v>
                </c:pt>
                <c:pt idx="11">
                  <c:v>738.50564414979397</c:v>
                </c:pt>
                <c:pt idx="12">
                  <c:v>1477.0112882995879</c:v>
                </c:pt>
                <c:pt idx="13">
                  <c:v>2954.0225765991759</c:v>
                </c:pt>
                <c:pt idx="14">
                  <c:v>5908.0451531983517</c:v>
                </c:pt>
                <c:pt idx="15">
                  <c:v>11816.090306396703</c:v>
                </c:pt>
                <c:pt idx="16">
                  <c:v>23632.180612793407</c:v>
                </c:pt>
                <c:pt idx="17">
                  <c:v>47264.361225586814</c:v>
                </c:pt>
                <c:pt idx="18">
                  <c:v>94528.722451173628</c:v>
                </c:pt>
                <c:pt idx="19">
                  <c:v>189057.44490234726</c:v>
                </c:pt>
                <c:pt idx="20">
                  <c:v>378114.88980469451</c:v>
                </c:pt>
              </c:numCache>
            </c:numRef>
          </c:val>
          <c:smooth val="0"/>
          <c:extLst>
            <c:ext xmlns:c16="http://schemas.microsoft.com/office/drawing/2014/chart" uri="{C3380CC4-5D6E-409C-BE32-E72D297353CC}">
              <c16:uniqueId val="{00000000-7972-43AB-83E8-C2C99B4277B0}"/>
            </c:ext>
          </c:extLst>
        </c:ser>
        <c:ser>
          <c:idx val="2"/>
          <c:order val="1"/>
          <c:tx>
            <c:strRef>
              <c:f>Projections!$A$51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Projections!$J$51:$AI$51</c15:sqref>
                  </c15:fullRef>
                </c:ext>
              </c:extLst>
              <c:f>Projections!$J$51:$AD$51</c:f>
              <c:numCache>
                <c:formatCode>#,##0</c:formatCode>
                <c:ptCount val="21"/>
                <c:pt idx="0">
                  <c:v>1.3326464791256047</c:v>
                </c:pt>
                <c:pt idx="1">
                  <c:v>2.6652929582512095</c:v>
                </c:pt>
                <c:pt idx="2">
                  <c:v>5.330585916502419</c:v>
                </c:pt>
                <c:pt idx="3">
                  <c:v>10.661171833004838</c:v>
                </c:pt>
                <c:pt idx="4">
                  <c:v>21.322343666009676</c:v>
                </c:pt>
                <c:pt idx="5">
                  <c:v>42.644687332019352</c:v>
                </c:pt>
                <c:pt idx="6">
                  <c:v>85.289374664038704</c:v>
                </c:pt>
                <c:pt idx="7">
                  <c:v>170.57874932807741</c:v>
                </c:pt>
                <c:pt idx="8">
                  <c:v>341.15749865615481</c:v>
                </c:pt>
                <c:pt idx="9">
                  <c:v>682.31499731230963</c:v>
                </c:pt>
                <c:pt idx="10">
                  <c:v>1364.6299946246193</c:v>
                </c:pt>
                <c:pt idx="11">
                  <c:v>2729.2599892492385</c:v>
                </c:pt>
                <c:pt idx="12">
                  <c:v>5458.519978498477</c:v>
                </c:pt>
                <c:pt idx="13">
                  <c:v>10917.039956996954</c:v>
                </c:pt>
                <c:pt idx="14">
                  <c:v>21834.079913993908</c:v>
                </c:pt>
                <c:pt idx="15">
                  <c:v>43668.159827987816</c:v>
                </c:pt>
                <c:pt idx="16">
                  <c:v>87336.319655975632</c:v>
                </c:pt>
                <c:pt idx="17">
                  <c:v>174672.63931195126</c:v>
                </c:pt>
                <c:pt idx="18">
                  <c:v>349345.27862390253</c:v>
                </c:pt>
                <c:pt idx="19">
                  <c:v>698690.55724780506</c:v>
                </c:pt>
                <c:pt idx="20">
                  <c:v>1397381.1144956101</c:v>
                </c:pt>
              </c:numCache>
            </c:numRef>
          </c:val>
          <c:smooth val="0"/>
          <c:extLst>
            <c:ext xmlns:c16="http://schemas.microsoft.com/office/drawing/2014/chart" uri="{C3380CC4-5D6E-409C-BE32-E72D297353CC}">
              <c16:uniqueId val="{00000001-7972-43AB-83E8-C2C99B4277B0}"/>
            </c:ext>
          </c:extLst>
        </c:ser>
        <c:ser>
          <c:idx val="4"/>
          <c:order val="2"/>
          <c:tx>
            <c:strRef>
              <c:f>Projections!$A$53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Projections!$J$53:$AI$53</c15:sqref>
                  </c15:fullRef>
                </c:ext>
              </c:extLst>
              <c:f>Projections!$J$53:$AD$53</c:f>
              <c:numCache>
                <c:formatCode>#,##0</c:formatCode>
                <c:ptCount val="21"/>
                <c:pt idx="0">
                  <c:v>2.0919190109299408</c:v>
                </c:pt>
                <c:pt idx="1">
                  <c:v>4.1838380218598816</c:v>
                </c:pt>
                <c:pt idx="2">
                  <c:v>8.3676760437197633</c:v>
                </c:pt>
                <c:pt idx="3">
                  <c:v>16.735352087439527</c:v>
                </c:pt>
                <c:pt idx="4">
                  <c:v>33.470704174879053</c:v>
                </c:pt>
                <c:pt idx="5">
                  <c:v>66.941408349758106</c:v>
                </c:pt>
                <c:pt idx="6">
                  <c:v>133.88281669951621</c:v>
                </c:pt>
                <c:pt idx="7">
                  <c:v>267.76563339903242</c:v>
                </c:pt>
                <c:pt idx="8">
                  <c:v>535.53126679806485</c:v>
                </c:pt>
                <c:pt idx="9">
                  <c:v>1071.0625335961297</c:v>
                </c:pt>
                <c:pt idx="10">
                  <c:v>2142.1250671922594</c:v>
                </c:pt>
                <c:pt idx="11">
                  <c:v>4284.2501343845188</c:v>
                </c:pt>
                <c:pt idx="12">
                  <c:v>8568.5002687690376</c:v>
                </c:pt>
                <c:pt idx="13">
                  <c:v>17137.000537538075</c:v>
                </c:pt>
                <c:pt idx="14">
                  <c:v>34274.00107507615</c:v>
                </c:pt>
                <c:pt idx="15">
                  <c:v>68548.002150152301</c:v>
                </c:pt>
                <c:pt idx="16">
                  <c:v>137096.0043003046</c:v>
                </c:pt>
                <c:pt idx="17">
                  <c:v>274192.0086006092</c:v>
                </c:pt>
                <c:pt idx="18">
                  <c:v>548384.0172012184</c:v>
                </c:pt>
                <c:pt idx="19">
                  <c:v>1096768.0344024368</c:v>
                </c:pt>
                <c:pt idx="20">
                  <c:v>2193536.0688048736</c:v>
                </c:pt>
              </c:numCache>
            </c:numRef>
          </c:val>
          <c:smooth val="0"/>
          <c:extLst>
            <c:ext xmlns:c16="http://schemas.microsoft.com/office/drawing/2014/chart" uri="{C3380CC4-5D6E-409C-BE32-E72D297353CC}">
              <c16:uniqueId val="{00000002-7972-43AB-83E8-C2C99B4277B0}"/>
            </c:ext>
          </c:extLst>
        </c:ser>
        <c:ser>
          <c:idx val="6"/>
          <c:order val="3"/>
          <c:tx>
            <c:strRef>
              <c:f>Projections!$A$55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Projections!$J$55:$AI$55</c15:sqref>
                  </c15:fullRef>
                </c:ext>
              </c:extLst>
              <c:f>Projections!$J$55:$AD$55</c:f>
              <c:numCache>
                <c:formatCode>#,##0</c:formatCode>
                <c:ptCount val="21"/>
                <c:pt idx="0">
                  <c:v>1.9418562981544527</c:v>
                </c:pt>
                <c:pt idx="1">
                  <c:v>3.8837125963089054</c:v>
                </c:pt>
                <c:pt idx="2">
                  <c:v>7.7674251926178108</c:v>
                </c:pt>
                <c:pt idx="3">
                  <c:v>15.534850385235622</c:v>
                </c:pt>
                <c:pt idx="4">
                  <c:v>31.069700770471243</c:v>
                </c:pt>
                <c:pt idx="5">
                  <c:v>62.139401540942487</c:v>
                </c:pt>
                <c:pt idx="6">
                  <c:v>124.27880308188497</c:v>
                </c:pt>
                <c:pt idx="7">
                  <c:v>248.55760616376995</c:v>
                </c:pt>
                <c:pt idx="8">
                  <c:v>497.11521232753989</c:v>
                </c:pt>
                <c:pt idx="9">
                  <c:v>994.23042465507979</c:v>
                </c:pt>
                <c:pt idx="10">
                  <c:v>1988.4608493101596</c:v>
                </c:pt>
                <c:pt idx="11">
                  <c:v>3976.9216986203191</c:v>
                </c:pt>
                <c:pt idx="12">
                  <c:v>7953.8433972406383</c:v>
                </c:pt>
                <c:pt idx="13">
                  <c:v>15907.686794481277</c:v>
                </c:pt>
                <c:pt idx="14">
                  <c:v>31815.373588962553</c:v>
                </c:pt>
                <c:pt idx="15">
                  <c:v>63630.747177925106</c:v>
                </c:pt>
                <c:pt idx="16">
                  <c:v>127261.49435585021</c:v>
                </c:pt>
                <c:pt idx="17">
                  <c:v>254522.98871170043</c:v>
                </c:pt>
                <c:pt idx="18">
                  <c:v>509045.97742340085</c:v>
                </c:pt>
                <c:pt idx="19">
                  <c:v>1018091.9548468017</c:v>
                </c:pt>
                <c:pt idx="20">
                  <c:v>2036183.9096936034</c:v>
                </c:pt>
              </c:numCache>
            </c:numRef>
          </c:val>
          <c:smooth val="0"/>
          <c:extLst>
            <c:ext xmlns:c16="http://schemas.microsoft.com/office/drawing/2014/chart" uri="{C3380CC4-5D6E-409C-BE32-E72D297353CC}">
              <c16:uniqueId val="{00000003-7972-43AB-83E8-C2C99B4277B0}"/>
            </c:ext>
          </c:extLst>
        </c:ser>
        <c:ser>
          <c:idx val="8"/>
          <c:order val="4"/>
          <c:tx>
            <c:strRef>
              <c:f>Projections!$A$57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Projections!$J$57:$AI$57</c15:sqref>
                  </c15:fullRef>
                </c:ext>
              </c:extLst>
              <c:f>Projections!$J$57:$AD$57</c:f>
              <c:numCache>
                <c:formatCode>#,##0</c:formatCode>
                <c:ptCount val="21"/>
                <c:pt idx="0">
                  <c:v>1.6215731947679626</c:v>
                </c:pt>
                <c:pt idx="1">
                  <c:v>3.2431463895359252</c:v>
                </c:pt>
                <c:pt idx="2">
                  <c:v>6.4862927790718503</c:v>
                </c:pt>
                <c:pt idx="3">
                  <c:v>12.972585558143701</c:v>
                </c:pt>
                <c:pt idx="4">
                  <c:v>25.945171116287401</c:v>
                </c:pt>
                <c:pt idx="5">
                  <c:v>51.890342232574802</c:v>
                </c:pt>
                <c:pt idx="6">
                  <c:v>103.7806844651496</c:v>
                </c:pt>
                <c:pt idx="7">
                  <c:v>207.56136893029921</c:v>
                </c:pt>
                <c:pt idx="8">
                  <c:v>415.12273786059842</c:v>
                </c:pt>
                <c:pt idx="9">
                  <c:v>830.24547572119684</c:v>
                </c:pt>
                <c:pt idx="10">
                  <c:v>1660.4909514423937</c:v>
                </c:pt>
                <c:pt idx="11">
                  <c:v>3320.9819028847874</c:v>
                </c:pt>
                <c:pt idx="12">
                  <c:v>6641.9638057695747</c:v>
                </c:pt>
                <c:pt idx="13">
                  <c:v>13283.927611539149</c:v>
                </c:pt>
                <c:pt idx="14">
                  <c:v>26567.855223078299</c:v>
                </c:pt>
                <c:pt idx="15">
                  <c:v>53135.710446156598</c:v>
                </c:pt>
                <c:pt idx="16">
                  <c:v>106271.4208923132</c:v>
                </c:pt>
                <c:pt idx="17">
                  <c:v>212542.84178462639</c:v>
                </c:pt>
                <c:pt idx="18">
                  <c:v>425085.68356925278</c:v>
                </c:pt>
                <c:pt idx="19">
                  <c:v>850171.36713850556</c:v>
                </c:pt>
                <c:pt idx="20">
                  <c:v>1700342.7342770111</c:v>
                </c:pt>
              </c:numCache>
            </c:numRef>
          </c:val>
          <c:smooth val="0"/>
          <c:extLst>
            <c:ext xmlns:c16="http://schemas.microsoft.com/office/drawing/2014/chart" uri="{C3380CC4-5D6E-409C-BE32-E72D297353CC}">
              <c16:uniqueId val="{00000004-7972-43AB-83E8-C2C99B4277B0}"/>
            </c:ext>
          </c:extLst>
        </c:ser>
        <c:ser>
          <c:idx val="10"/>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Projections!$J$59:$AI$59</c15:sqref>
                  </c15:fullRef>
                </c:ext>
              </c:extLst>
              <c:f>Projections!$J$59:$AD$59</c:f>
              <c:numCache>
                <c:formatCode>#,##0</c:formatCode>
                <c:ptCount val="21"/>
                <c:pt idx="0">
                  <c:v>1.9664934599534132</c:v>
                </c:pt>
                <c:pt idx="1">
                  <c:v>3.9329869199068264</c:v>
                </c:pt>
                <c:pt idx="2">
                  <c:v>7.8659738398136527</c:v>
                </c:pt>
                <c:pt idx="3">
                  <c:v>15.731947679627305</c:v>
                </c:pt>
                <c:pt idx="4">
                  <c:v>31.463895359254611</c:v>
                </c:pt>
                <c:pt idx="5">
                  <c:v>62.927790718509222</c:v>
                </c:pt>
                <c:pt idx="6">
                  <c:v>125.85558143701844</c:v>
                </c:pt>
                <c:pt idx="7">
                  <c:v>251.71116287403689</c:v>
                </c:pt>
                <c:pt idx="8">
                  <c:v>503.42232574807377</c:v>
                </c:pt>
                <c:pt idx="9">
                  <c:v>1006.8446514961475</c:v>
                </c:pt>
                <c:pt idx="10">
                  <c:v>2013.6893029922951</c:v>
                </c:pt>
                <c:pt idx="11">
                  <c:v>4027.3786059845902</c:v>
                </c:pt>
                <c:pt idx="12">
                  <c:v>8054.7572119691804</c:v>
                </c:pt>
                <c:pt idx="13">
                  <c:v>16109.514423938361</c:v>
                </c:pt>
                <c:pt idx="14">
                  <c:v>32219.028847876722</c:v>
                </c:pt>
                <c:pt idx="15">
                  <c:v>64438.057695753443</c:v>
                </c:pt>
                <c:pt idx="16">
                  <c:v>128876.11539150689</c:v>
                </c:pt>
                <c:pt idx="17">
                  <c:v>257752.23078301377</c:v>
                </c:pt>
                <c:pt idx="18">
                  <c:v>515504.46156602754</c:v>
                </c:pt>
                <c:pt idx="19">
                  <c:v>1031008.9231320551</c:v>
                </c:pt>
                <c:pt idx="20">
                  <c:v>2062017.8462641102</c:v>
                </c:pt>
              </c:numCache>
            </c:numRef>
          </c:val>
          <c:smooth val="0"/>
          <c:extLst>
            <c:ext xmlns:c16="http://schemas.microsoft.com/office/drawing/2014/chart" uri="{C3380CC4-5D6E-409C-BE32-E72D297353CC}">
              <c16:uniqueId val="{00000005-7972-43AB-83E8-C2C99B4277B0}"/>
            </c:ext>
          </c:extLst>
        </c:ser>
        <c:ser>
          <c:idx val="12"/>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Projections!$J$61:$AI$61</c15:sqref>
                  </c15:fullRef>
                </c:ext>
              </c:extLst>
              <c:f>Projections!$J$61:$AD$61</c:f>
              <c:numCache>
                <c:formatCode>#,##0</c:formatCode>
                <c:ptCount val="21"/>
                <c:pt idx="0">
                  <c:v>2.7011288299587886</c:v>
                </c:pt>
                <c:pt idx="1">
                  <c:v>5.4022576599175771</c:v>
                </c:pt>
                <c:pt idx="2">
                  <c:v>10.804515319835154</c:v>
                </c:pt>
                <c:pt idx="3">
                  <c:v>21.609030639670308</c:v>
                </c:pt>
                <c:pt idx="4">
                  <c:v>43.218061279340617</c:v>
                </c:pt>
                <c:pt idx="5">
                  <c:v>86.436122558681234</c:v>
                </c:pt>
                <c:pt idx="6">
                  <c:v>172.87224511736247</c:v>
                </c:pt>
                <c:pt idx="7">
                  <c:v>345.74449023472494</c:v>
                </c:pt>
                <c:pt idx="8">
                  <c:v>691.48898046944987</c:v>
                </c:pt>
                <c:pt idx="9">
                  <c:v>1382.9779609388997</c:v>
                </c:pt>
                <c:pt idx="10">
                  <c:v>2765.9559218777995</c:v>
                </c:pt>
                <c:pt idx="11">
                  <c:v>5531.911843755599</c:v>
                </c:pt>
                <c:pt idx="12">
                  <c:v>11063.823687511198</c:v>
                </c:pt>
                <c:pt idx="13">
                  <c:v>22127.647375022396</c:v>
                </c:pt>
                <c:pt idx="14">
                  <c:v>44255.294750044792</c:v>
                </c:pt>
                <c:pt idx="15">
                  <c:v>88510.589500089583</c:v>
                </c:pt>
                <c:pt idx="16">
                  <c:v>177021.17900017917</c:v>
                </c:pt>
                <c:pt idx="17">
                  <c:v>354042.35800035833</c:v>
                </c:pt>
                <c:pt idx="18">
                  <c:v>708084.71600071667</c:v>
                </c:pt>
                <c:pt idx="19">
                  <c:v>1416169.4320014333</c:v>
                </c:pt>
                <c:pt idx="20">
                  <c:v>2832338.8640028667</c:v>
                </c:pt>
              </c:numCache>
            </c:numRef>
          </c:val>
          <c:smooth val="0"/>
          <c:extLst>
            <c:ext xmlns:c16="http://schemas.microsoft.com/office/drawing/2014/chart" uri="{C3380CC4-5D6E-409C-BE32-E72D297353CC}">
              <c16:uniqueId val="{00000006-7972-43AB-83E8-C2C99B4277B0}"/>
            </c:ext>
          </c:extLst>
        </c:ser>
        <c:ser>
          <c:idx val="14"/>
          <c:order val="7"/>
          <c:tx>
            <c:strRef>
              <c:f>Projections!$A$63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Projections!$J$63:$AI$63</c15:sqref>
                  </c15:fullRef>
                </c:ext>
              </c:extLst>
              <c:f>Projections!$J$63:$AD$63</c:f>
              <c:numCache>
                <c:formatCode>#,##0</c:formatCode>
                <c:ptCount val="21"/>
                <c:pt idx="0">
                  <c:v>0.36059845905751658</c:v>
                </c:pt>
                <c:pt idx="1">
                  <c:v>0.72119691811503317</c:v>
                </c:pt>
                <c:pt idx="2">
                  <c:v>1.4423938362300663</c:v>
                </c:pt>
                <c:pt idx="3">
                  <c:v>2.8847876724601327</c:v>
                </c:pt>
                <c:pt idx="4">
                  <c:v>5.7695753449202654</c:v>
                </c:pt>
                <c:pt idx="5">
                  <c:v>11.539150689840531</c:v>
                </c:pt>
                <c:pt idx="6">
                  <c:v>23.078301379681061</c:v>
                </c:pt>
                <c:pt idx="7">
                  <c:v>46.156602759362123</c:v>
                </c:pt>
                <c:pt idx="8">
                  <c:v>92.313205518724246</c:v>
                </c:pt>
                <c:pt idx="9">
                  <c:v>184.62641103744849</c:v>
                </c:pt>
                <c:pt idx="10">
                  <c:v>369.25282207489698</c:v>
                </c:pt>
                <c:pt idx="11">
                  <c:v>738.50564414979397</c:v>
                </c:pt>
                <c:pt idx="12">
                  <c:v>1477.0112882995879</c:v>
                </c:pt>
                <c:pt idx="13">
                  <c:v>2954.0225765991759</c:v>
                </c:pt>
                <c:pt idx="14">
                  <c:v>5908.0451531983517</c:v>
                </c:pt>
                <c:pt idx="15">
                  <c:v>11816.090306396703</c:v>
                </c:pt>
                <c:pt idx="16">
                  <c:v>23632.180612793407</c:v>
                </c:pt>
                <c:pt idx="17">
                  <c:v>47264.361225586814</c:v>
                </c:pt>
                <c:pt idx="18">
                  <c:v>94528.722451173628</c:v>
                </c:pt>
                <c:pt idx="19">
                  <c:v>189057.44490234726</c:v>
                </c:pt>
                <c:pt idx="20">
                  <c:v>378114.88980469451</c:v>
                </c:pt>
              </c:numCache>
            </c:numRef>
          </c:val>
          <c:smooth val="0"/>
          <c:extLst>
            <c:ext xmlns:c16="http://schemas.microsoft.com/office/drawing/2014/chart" uri="{C3380CC4-5D6E-409C-BE32-E72D297353CC}">
              <c16:uniqueId val="{00000007-7972-43AB-83E8-C2C99B4277B0}"/>
            </c:ext>
          </c:extLst>
        </c:ser>
        <c:ser>
          <c:idx val="16"/>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Projections!$J$65:$AI$65</c15:sqref>
                  </c15:fullRef>
                </c:ext>
              </c:extLst>
              <c:f>Projections!$J$65:$AD$65</c:f>
              <c:numCache>
                <c:formatCode>#,##0</c:formatCode>
                <c:ptCount val="21"/>
                <c:pt idx="0">
                  <c:v>0.12318580899480379</c:v>
                </c:pt>
                <c:pt idx="1">
                  <c:v>0.24637161798960758</c:v>
                </c:pt>
                <c:pt idx="2">
                  <c:v>0.49274323597921516</c:v>
                </c:pt>
                <c:pt idx="3">
                  <c:v>0.98548647195843031</c:v>
                </c:pt>
                <c:pt idx="4">
                  <c:v>1.9709729439168606</c:v>
                </c:pt>
                <c:pt idx="5">
                  <c:v>3.9419458878337212</c:v>
                </c:pt>
                <c:pt idx="6">
                  <c:v>7.8838917756674425</c:v>
                </c:pt>
                <c:pt idx="7">
                  <c:v>15.767783551334885</c:v>
                </c:pt>
                <c:pt idx="8">
                  <c:v>31.53556710266977</c:v>
                </c:pt>
                <c:pt idx="9">
                  <c:v>63.07113420533954</c:v>
                </c:pt>
                <c:pt idx="10">
                  <c:v>126.14226841067908</c:v>
                </c:pt>
                <c:pt idx="11">
                  <c:v>252.28453682135816</c:v>
                </c:pt>
                <c:pt idx="12">
                  <c:v>504.56907364271632</c:v>
                </c:pt>
                <c:pt idx="13">
                  <c:v>1009.1381472854326</c:v>
                </c:pt>
                <c:pt idx="14">
                  <c:v>2018.2762945708653</c:v>
                </c:pt>
                <c:pt idx="15">
                  <c:v>4036.5525891417306</c:v>
                </c:pt>
                <c:pt idx="16">
                  <c:v>8073.1051782834611</c:v>
                </c:pt>
                <c:pt idx="17">
                  <c:v>16146.210356566922</c:v>
                </c:pt>
                <c:pt idx="18">
                  <c:v>32292.420713133844</c:v>
                </c:pt>
                <c:pt idx="19">
                  <c:v>64584.841426267689</c:v>
                </c:pt>
                <c:pt idx="20">
                  <c:v>129169.68285253538</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Projections!$J$50:$AI$50</c15:sqref>
                  </c15:fullRef>
                </c:ext>
              </c:extLst>
              <c:f>Projections!$J$50:$AD$50</c:f>
              <c:numCache>
                <c:formatCode>#,##0</c:formatCode>
                <c:ptCount val="21"/>
                <c:pt idx="0">
                  <c:v>5.3368571940512449E-2</c:v>
                </c:pt>
                <c:pt idx="1">
                  <c:v>0.1067371438810249</c:v>
                </c:pt>
                <c:pt idx="2">
                  <c:v>0.2134742877620498</c:v>
                </c:pt>
                <c:pt idx="3">
                  <c:v>0.42694857552409959</c:v>
                </c:pt>
                <c:pt idx="4">
                  <c:v>0.85389715104819919</c:v>
                </c:pt>
                <c:pt idx="5">
                  <c:v>1.7077943020963984</c:v>
                </c:pt>
                <c:pt idx="6">
                  <c:v>3.4155886041927968</c:v>
                </c:pt>
                <c:pt idx="7">
                  <c:v>6.8311772083855935</c:v>
                </c:pt>
                <c:pt idx="8">
                  <c:v>13.662354416771187</c:v>
                </c:pt>
                <c:pt idx="9">
                  <c:v>27.324708833542374</c:v>
                </c:pt>
                <c:pt idx="10">
                  <c:v>54.649417667084748</c:v>
                </c:pt>
                <c:pt idx="11">
                  <c:v>109.2988353341695</c:v>
                </c:pt>
                <c:pt idx="12">
                  <c:v>218.59767066833899</c:v>
                </c:pt>
                <c:pt idx="13">
                  <c:v>437.19534133667798</c:v>
                </c:pt>
                <c:pt idx="14">
                  <c:v>874.39068267335597</c:v>
                </c:pt>
                <c:pt idx="15">
                  <c:v>1748.7813653467119</c:v>
                </c:pt>
                <c:pt idx="16">
                  <c:v>3497.5627306934239</c:v>
                </c:pt>
                <c:pt idx="17">
                  <c:v>6995.1254613868477</c:v>
                </c:pt>
                <c:pt idx="18">
                  <c:v>13990.250922773695</c:v>
                </c:pt>
                <c:pt idx="19">
                  <c:v>27980.501845547391</c:v>
                </c:pt>
                <c:pt idx="20">
                  <c:v>55961.003691094782</c:v>
                </c:pt>
              </c:numCache>
            </c:numRef>
          </c:val>
          <c:smooth val="0"/>
          <c:extLst>
            <c:ext xmlns:c16="http://schemas.microsoft.com/office/drawing/2014/chart" uri="{C3380CC4-5D6E-409C-BE32-E72D297353CC}">
              <c16:uniqueId val="{00000000-FE50-482D-905D-7C3B099138E4}"/>
            </c:ext>
          </c:extLst>
        </c:ser>
        <c:ser>
          <c:idx val="3"/>
          <c:order val="1"/>
          <c:tx>
            <c:strRef>
              <c:f>Projections!$A$51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Projections!$J$52:$AI$52</c15:sqref>
                  </c15:fullRef>
                </c:ext>
              </c:extLst>
              <c:f>Projections!$J$52:$AD$52</c:f>
              <c:numCache>
                <c:formatCode>#,##0</c:formatCode>
                <c:ptCount val="21"/>
                <c:pt idx="0">
                  <c:v>0.10661171833004839</c:v>
                </c:pt>
                <c:pt idx="1">
                  <c:v>0.21322343666009677</c:v>
                </c:pt>
                <c:pt idx="2">
                  <c:v>0.42644687332019354</c:v>
                </c:pt>
                <c:pt idx="3">
                  <c:v>0.85289374664038708</c:v>
                </c:pt>
                <c:pt idx="4">
                  <c:v>1.7057874932807742</c:v>
                </c:pt>
                <c:pt idx="5">
                  <c:v>3.4115749865615483</c:v>
                </c:pt>
                <c:pt idx="6">
                  <c:v>6.8231499731230967</c:v>
                </c:pt>
                <c:pt idx="7">
                  <c:v>13.646299946246193</c:v>
                </c:pt>
                <c:pt idx="8">
                  <c:v>27.292599892492387</c:v>
                </c:pt>
                <c:pt idx="9">
                  <c:v>54.585199784984773</c:v>
                </c:pt>
                <c:pt idx="10">
                  <c:v>109.17039956996955</c:v>
                </c:pt>
                <c:pt idx="11">
                  <c:v>218.34079913993909</c:v>
                </c:pt>
                <c:pt idx="12">
                  <c:v>436.68159827987819</c:v>
                </c:pt>
                <c:pt idx="13">
                  <c:v>873.36319655975637</c:v>
                </c:pt>
                <c:pt idx="14">
                  <c:v>1746.7263931195127</c:v>
                </c:pt>
                <c:pt idx="15">
                  <c:v>3493.4527862390255</c:v>
                </c:pt>
                <c:pt idx="16">
                  <c:v>6986.905572478051</c:v>
                </c:pt>
                <c:pt idx="17">
                  <c:v>13973.811144956102</c:v>
                </c:pt>
                <c:pt idx="18">
                  <c:v>27947.622289912204</c:v>
                </c:pt>
                <c:pt idx="19">
                  <c:v>55895.244579824408</c:v>
                </c:pt>
                <c:pt idx="20">
                  <c:v>111790.48915964882</c:v>
                </c:pt>
              </c:numCache>
            </c:numRef>
          </c:val>
          <c:smooth val="0"/>
          <c:extLst>
            <c:ext xmlns:c16="http://schemas.microsoft.com/office/drawing/2014/chart" uri="{C3380CC4-5D6E-409C-BE32-E72D297353CC}">
              <c16:uniqueId val="{00000001-FE50-482D-905D-7C3B099138E4}"/>
            </c:ext>
          </c:extLst>
        </c:ser>
        <c:ser>
          <c:idx val="5"/>
          <c:order val="2"/>
          <c:tx>
            <c:strRef>
              <c:f>Projections!$A$53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Projections!$J$54:$AI$54</c15:sqref>
                  </c15:fullRef>
                </c:ext>
              </c:extLst>
              <c:f>Projections!$J$54:$AD$54</c:f>
              <c:numCache>
                <c:formatCode>#,##0</c:formatCode>
                <c:ptCount val="21"/>
                <c:pt idx="0">
                  <c:v>7.530908439347786E-2</c:v>
                </c:pt>
                <c:pt idx="1">
                  <c:v>0.15061816878695572</c:v>
                </c:pt>
                <c:pt idx="2">
                  <c:v>0.30123633757391144</c:v>
                </c:pt>
                <c:pt idx="3">
                  <c:v>0.60247267514782288</c:v>
                </c:pt>
                <c:pt idx="4">
                  <c:v>1.2049453502956458</c:v>
                </c:pt>
                <c:pt idx="5">
                  <c:v>2.4098907005912915</c:v>
                </c:pt>
                <c:pt idx="6">
                  <c:v>4.819781401182583</c:v>
                </c:pt>
                <c:pt idx="7">
                  <c:v>9.639562802365166</c:v>
                </c:pt>
                <c:pt idx="8">
                  <c:v>19.279125604730332</c:v>
                </c:pt>
                <c:pt idx="9">
                  <c:v>38.558251209460664</c:v>
                </c:pt>
                <c:pt idx="10">
                  <c:v>77.116502418921328</c:v>
                </c:pt>
                <c:pt idx="11">
                  <c:v>154.23300483784266</c:v>
                </c:pt>
                <c:pt idx="12">
                  <c:v>308.46600967568531</c:v>
                </c:pt>
                <c:pt idx="13">
                  <c:v>616.93201935137063</c:v>
                </c:pt>
                <c:pt idx="14">
                  <c:v>1233.8640387027413</c:v>
                </c:pt>
                <c:pt idx="15">
                  <c:v>2467.7280774054825</c:v>
                </c:pt>
                <c:pt idx="16">
                  <c:v>4935.456154810965</c:v>
                </c:pt>
                <c:pt idx="17">
                  <c:v>9870.91230962193</c:v>
                </c:pt>
                <c:pt idx="18">
                  <c:v>19741.82461924386</c:v>
                </c:pt>
                <c:pt idx="19">
                  <c:v>39483.64923848772</c:v>
                </c:pt>
                <c:pt idx="20">
                  <c:v>78967.29847697544</c:v>
                </c:pt>
              </c:numCache>
            </c:numRef>
          </c:val>
          <c:smooth val="0"/>
          <c:extLst>
            <c:ext xmlns:c16="http://schemas.microsoft.com/office/drawing/2014/chart" uri="{C3380CC4-5D6E-409C-BE32-E72D297353CC}">
              <c16:uniqueId val="{00000002-FE50-482D-905D-7C3B099138E4}"/>
            </c:ext>
          </c:extLst>
        </c:ser>
        <c:ser>
          <c:idx val="7"/>
          <c:order val="3"/>
          <c:tx>
            <c:strRef>
              <c:f>Projections!$A$55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Projections!$J$56:$AI$56</c15:sqref>
                  </c15:fullRef>
                </c:ext>
              </c:extLst>
              <c:f>Projections!$J$56:$AD$56</c:f>
              <c:numCache>
                <c:formatCode>#,##0</c:formatCode>
                <c:ptCount val="21"/>
                <c:pt idx="0">
                  <c:v>2.5244131876007884E-2</c:v>
                </c:pt>
                <c:pt idx="1">
                  <c:v>5.0488263752015768E-2</c:v>
                </c:pt>
                <c:pt idx="2">
                  <c:v>0.10097652750403154</c:v>
                </c:pt>
                <c:pt idx="3">
                  <c:v>0.20195305500806307</c:v>
                </c:pt>
                <c:pt idx="4">
                  <c:v>0.40390611001612614</c:v>
                </c:pt>
                <c:pt idx="5">
                  <c:v>0.80781222003225228</c:v>
                </c:pt>
                <c:pt idx="6">
                  <c:v>1.6156244400645046</c:v>
                </c:pt>
                <c:pt idx="7">
                  <c:v>3.2312488801290091</c:v>
                </c:pt>
                <c:pt idx="8">
                  <c:v>6.4624977602580183</c:v>
                </c:pt>
                <c:pt idx="9">
                  <c:v>12.924995520516037</c:v>
                </c:pt>
                <c:pt idx="10">
                  <c:v>25.849991041032073</c:v>
                </c:pt>
                <c:pt idx="11">
                  <c:v>51.699982082064146</c:v>
                </c:pt>
                <c:pt idx="12">
                  <c:v>103.39996416412829</c:v>
                </c:pt>
                <c:pt idx="13">
                  <c:v>206.79992832825658</c:v>
                </c:pt>
                <c:pt idx="14">
                  <c:v>413.59985665651317</c:v>
                </c:pt>
                <c:pt idx="15">
                  <c:v>827.19971331302634</c:v>
                </c:pt>
                <c:pt idx="16">
                  <c:v>1654.3994266260527</c:v>
                </c:pt>
                <c:pt idx="17">
                  <c:v>3308.7988532521053</c:v>
                </c:pt>
                <c:pt idx="18">
                  <c:v>6617.5977065042107</c:v>
                </c:pt>
                <c:pt idx="19">
                  <c:v>13235.195413008421</c:v>
                </c:pt>
                <c:pt idx="20">
                  <c:v>26470.390826016843</c:v>
                </c:pt>
              </c:numCache>
            </c:numRef>
          </c:val>
          <c:smooth val="0"/>
          <c:extLst>
            <c:ext xmlns:c16="http://schemas.microsoft.com/office/drawing/2014/chart" uri="{C3380CC4-5D6E-409C-BE32-E72D297353CC}">
              <c16:uniqueId val="{00000003-FE50-482D-905D-7C3B099138E4}"/>
            </c:ext>
          </c:extLst>
        </c:ser>
        <c:ser>
          <c:idx val="9"/>
          <c:order val="4"/>
          <c:tx>
            <c:strRef>
              <c:f>Projections!$A$57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Projections!$J$58:$AI$58</c15:sqref>
                  </c15:fullRef>
                </c:ext>
              </c:extLst>
              <c:f>Projections!$J$58:$AD$58</c:f>
              <c:numCache>
                <c:formatCode>#,##0</c:formatCode>
                <c:ptCount val="21"/>
                <c:pt idx="0">
                  <c:v>6.4862927790718507E-3</c:v>
                </c:pt>
                <c:pt idx="1">
                  <c:v>1.2972585558143701E-2</c:v>
                </c:pt>
                <c:pt idx="2">
                  <c:v>2.5945171116287403E-2</c:v>
                </c:pt>
                <c:pt idx="3">
                  <c:v>5.1890342232574806E-2</c:v>
                </c:pt>
                <c:pt idx="4">
                  <c:v>0.10378068446514961</c:v>
                </c:pt>
                <c:pt idx="5">
                  <c:v>0.20756136893029922</c:v>
                </c:pt>
                <c:pt idx="6">
                  <c:v>0.41512273786059845</c:v>
                </c:pt>
                <c:pt idx="7">
                  <c:v>0.83024547572119689</c:v>
                </c:pt>
                <c:pt idx="8">
                  <c:v>1.6604909514423938</c:v>
                </c:pt>
                <c:pt idx="9">
                  <c:v>3.3209819028847876</c:v>
                </c:pt>
                <c:pt idx="10">
                  <c:v>6.6419638057695751</c:v>
                </c:pt>
                <c:pt idx="11">
                  <c:v>13.28392761153915</c:v>
                </c:pt>
                <c:pt idx="12">
                  <c:v>26.5678552230783</c:v>
                </c:pt>
                <c:pt idx="13">
                  <c:v>53.135710446156601</c:v>
                </c:pt>
                <c:pt idx="14">
                  <c:v>106.2714208923132</c:v>
                </c:pt>
                <c:pt idx="15">
                  <c:v>212.5428417846264</c:v>
                </c:pt>
                <c:pt idx="16">
                  <c:v>425.08568356925281</c:v>
                </c:pt>
                <c:pt idx="17">
                  <c:v>850.17136713850562</c:v>
                </c:pt>
                <c:pt idx="18">
                  <c:v>1700.3427342770112</c:v>
                </c:pt>
                <c:pt idx="19">
                  <c:v>3400.6854685540225</c:v>
                </c:pt>
                <c:pt idx="20">
                  <c:v>6801.3709371080449</c:v>
                </c:pt>
              </c:numCache>
            </c:numRef>
          </c:val>
          <c:smooth val="0"/>
          <c:extLst>
            <c:ext xmlns:c16="http://schemas.microsoft.com/office/drawing/2014/chart" uri="{C3380CC4-5D6E-409C-BE32-E72D297353CC}">
              <c16:uniqueId val="{00000004-FE50-482D-905D-7C3B099138E4}"/>
            </c:ext>
          </c:extLst>
        </c:ser>
        <c:ser>
          <c:idx val="11"/>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Projections!$J$60:$AI$60</c15:sqref>
                  </c15:fullRef>
                </c:ext>
              </c:extLst>
              <c:f>Projections!$J$60:$AD$60</c:f>
              <c:numCache>
                <c:formatCode>#,##0</c:formatCode>
                <c:ptCount val="21"/>
                <c:pt idx="0">
                  <c:v>3.9329869199068264E-3</c:v>
                </c:pt>
                <c:pt idx="1">
                  <c:v>7.8659738398136527E-3</c:v>
                </c:pt>
                <c:pt idx="2">
                  <c:v>1.5731947679627305E-2</c:v>
                </c:pt>
                <c:pt idx="3">
                  <c:v>3.1463895359254611E-2</c:v>
                </c:pt>
                <c:pt idx="4">
                  <c:v>6.2927790718509222E-2</c:v>
                </c:pt>
                <c:pt idx="5">
                  <c:v>0.12585558143701844</c:v>
                </c:pt>
                <c:pt idx="6">
                  <c:v>0.25171116287403689</c:v>
                </c:pt>
                <c:pt idx="7">
                  <c:v>0.50342232574807377</c:v>
                </c:pt>
                <c:pt idx="8">
                  <c:v>1.0068446514961475</c:v>
                </c:pt>
                <c:pt idx="9">
                  <c:v>2.0136893029922951</c:v>
                </c:pt>
                <c:pt idx="10">
                  <c:v>4.0273786059845902</c:v>
                </c:pt>
                <c:pt idx="11">
                  <c:v>8.0547572119691804</c:v>
                </c:pt>
                <c:pt idx="12">
                  <c:v>16.109514423938361</c:v>
                </c:pt>
                <c:pt idx="13">
                  <c:v>32.219028847876721</c:v>
                </c:pt>
                <c:pt idx="14">
                  <c:v>64.438057695753443</c:v>
                </c:pt>
                <c:pt idx="15">
                  <c:v>128.87611539150689</c:v>
                </c:pt>
                <c:pt idx="16">
                  <c:v>257.75223078301377</c:v>
                </c:pt>
                <c:pt idx="17">
                  <c:v>515.50446156602754</c:v>
                </c:pt>
                <c:pt idx="18">
                  <c:v>1031.0089231320551</c:v>
                </c:pt>
                <c:pt idx="19">
                  <c:v>2062.0178462641102</c:v>
                </c:pt>
                <c:pt idx="20">
                  <c:v>4124.0356925282204</c:v>
                </c:pt>
              </c:numCache>
            </c:numRef>
          </c:val>
          <c:smooth val="0"/>
          <c:extLst>
            <c:ext xmlns:c16="http://schemas.microsoft.com/office/drawing/2014/chart" uri="{C3380CC4-5D6E-409C-BE32-E72D297353CC}">
              <c16:uniqueId val="{00000005-FE50-482D-905D-7C3B099138E4}"/>
            </c:ext>
          </c:extLst>
        </c:ser>
        <c:ser>
          <c:idx val="13"/>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Projections!$J$62:$AI$62</c15:sqref>
                  </c15:fullRef>
                </c:ext>
              </c:extLst>
              <c:f>Projections!$J$62:$AD$62</c:f>
              <c:numCache>
                <c:formatCode>#,##0</c:formatCode>
                <c:ptCount val="21"/>
                <c:pt idx="0">
                  <c:v>5.4022576599175769E-3</c:v>
                </c:pt>
                <c:pt idx="1">
                  <c:v>1.0804515319835154E-2</c:v>
                </c:pt>
                <c:pt idx="2">
                  <c:v>2.1609030639670308E-2</c:v>
                </c:pt>
                <c:pt idx="3">
                  <c:v>4.3218061279340615E-2</c:v>
                </c:pt>
                <c:pt idx="4">
                  <c:v>8.643612255868123E-2</c:v>
                </c:pt>
                <c:pt idx="5">
                  <c:v>0.17287224511736246</c:v>
                </c:pt>
                <c:pt idx="6">
                  <c:v>0.34574449023472492</c:v>
                </c:pt>
                <c:pt idx="7">
                  <c:v>0.69148898046944984</c:v>
                </c:pt>
                <c:pt idx="8">
                  <c:v>1.3829779609388997</c:v>
                </c:pt>
                <c:pt idx="9">
                  <c:v>2.7659559218777994</c:v>
                </c:pt>
                <c:pt idx="10">
                  <c:v>5.5319118437555987</c:v>
                </c:pt>
                <c:pt idx="11">
                  <c:v>11.063823687511197</c:v>
                </c:pt>
                <c:pt idx="12">
                  <c:v>22.127647375022395</c:v>
                </c:pt>
                <c:pt idx="13">
                  <c:v>44.25529475004479</c:v>
                </c:pt>
                <c:pt idx="14">
                  <c:v>88.51058950008958</c:v>
                </c:pt>
                <c:pt idx="15">
                  <c:v>177.02117900017916</c:v>
                </c:pt>
                <c:pt idx="16">
                  <c:v>354.04235800035832</c:v>
                </c:pt>
                <c:pt idx="17">
                  <c:v>708.08471600071664</c:v>
                </c:pt>
                <c:pt idx="18">
                  <c:v>1416.1694320014333</c:v>
                </c:pt>
                <c:pt idx="19">
                  <c:v>2832.3388640028666</c:v>
                </c:pt>
                <c:pt idx="20">
                  <c:v>5664.6777280057331</c:v>
                </c:pt>
              </c:numCache>
            </c:numRef>
          </c:val>
          <c:smooth val="0"/>
          <c:extLst>
            <c:ext xmlns:c16="http://schemas.microsoft.com/office/drawing/2014/chart" uri="{C3380CC4-5D6E-409C-BE32-E72D297353CC}">
              <c16:uniqueId val="{00000006-FE50-482D-905D-7C3B099138E4}"/>
            </c:ext>
          </c:extLst>
        </c:ser>
        <c:ser>
          <c:idx val="15"/>
          <c:order val="7"/>
          <c:tx>
            <c:strRef>
              <c:f>Projections!$A$63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Projections!$J$64:$AI$64</c15:sqref>
                  </c15:fullRef>
                </c:ext>
              </c:extLst>
              <c:f>Projections!$J$64:$AD$64</c:f>
              <c:numCache>
                <c:formatCode>#,##0</c:formatCode>
                <c:ptCount val="21"/>
                <c:pt idx="0">
                  <c:v>7.2119691811503323E-4</c:v>
                </c:pt>
                <c:pt idx="1">
                  <c:v>1.4423938362300665E-3</c:v>
                </c:pt>
                <c:pt idx="2">
                  <c:v>2.8847876724601329E-3</c:v>
                </c:pt>
                <c:pt idx="3">
                  <c:v>5.7695753449202658E-3</c:v>
                </c:pt>
                <c:pt idx="4">
                  <c:v>1.1539150689840532E-2</c:v>
                </c:pt>
                <c:pt idx="5">
                  <c:v>2.3078301379681063E-2</c:v>
                </c:pt>
                <c:pt idx="6">
                  <c:v>4.6156602759362127E-2</c:v>
                </c:pt>
                <c:pt idx="7">
                  <c:v>9.2313205518724253E-2</c:v>
                </c:pt>
                <c:pt idx="8">
                  <c:v>0.18462641103744851</c:v>
                </c:pt>
                <c:pt idx="9">
                  <c:v>0.36925282207489701</c:v>
                </c:pt>
                <c:pt idx="10">
                  <c:v>0.73850564414979403</c:v>
                </c:pt>
                <c:pt idx="11">
                  <c:v>1.4770112882995881</c:v>
                </c:pt>
                <c:pt idx="12">
                  <c:v>2.9540225765991761</c:v>
                </c:pt>
                <c:pt idx="13">
                  <c:v>5.9080451531983522</c:v>
                </c:pt>
                <c:pt idx="14">
                  <c:v>11.816090306396704</c:v>
                </c:pt>
                <c:pt idx="15">
                  <c:v>23.632180612793409</c:v>
                </c:pt>
                <c:pt idx="16">
                  <c:v>47.264361225586818</c:v>
                </c:pt>
                <c:pt idx="17">
                  <c:v>94.528722451173635</c:v>
                </c:pt>
                <c:pt idx="18">
                  <c:v>189.05744490234727</c:v>
                </c:pt>
                <c:pt idx="19">
                  <c:v>378.11488980469454</c:v>
                </c:pt>
                <c:pt idx="20">
                  <c:v>756.22977960938908</c:v>
                </c:pt>
              </c:numCache>
            </c:numRef>
          </c:val>
          <c:smooth val="0"/>
          <c:extLst>
            <c:ext xmlns:c16="http://schemas.microsoft.com/office/drawing/2014/chart" uri="{C3380CC4-5D6E-409C-BE32-E72D297353CC}">
              <c16:uniqueId val="{00000007-FE50-482D-905D-7C3B099138E4}"/>
            </c:ext>
          </c:extLst>
        </c:ser>
        <c:ser>
          <c:idx val="17"/>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Projections!$J$66:$AI$66</c15:sqref>
                  </c15:fullRef>
                </c:ext>
              </c:extLst>
              <c:f>Projections!$J$66:$AD$66</c:f>
              <c:numCache>
                <c:formatCode>#,##0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Projections!$J$78:$AI$78</c15:sqref>
                  </c15:fullRef>
                </c:ext>
              </c:extLst>
              <c:f>Projections!$J$78:$AD$78</c:f>
              <c:numCache>
                <c:formatCode>#,##0</c:formatCode>
                <c:ptCount val="21"/>
                <c:pt idx="0">
                  <c:v>5.75</c:v>
                </c:pt>
                <c:pt idx="1">
                  <c:v>11.5</c:v>
                </c:pt>
                <c:pt idx="2">
                  <c:v>23</c:v>
                </c:pt>
                <c:pt idx="3">
                  <c:v>46</c:v>
                </c:pt>
                <c:pt idx="4">
                  <c:v>92</c:v>
                </c:pt>
                <c:pt idx="5">
                  <c:v>184</c:v>
                </c:pt>
                <c:pt idx="6">
                  <c:v>368</c:v>
                </c:pt>
                <c:pt idx="7">
                  <c:v>736</c:v>
                </c:pt>
                <c:pt idx="8">
                  <c:v>1472</c:v>
                </c:pt>
                <c:pt idx="9">
                  <c:v>2944</c:v>
                </c:pt>
                <c:pt idx="10">
                  <c:v>5888</c:v>
                </c:pt>
                <c:pt idx="11">
                  <c:v>11776</c:v>
                </c:pt>
                <c:pt idx="12">
                  <c:v>23552</c:v>
                </c:pt>
                <c:pt idx="13">
                  <c:v>47104</c:v>
                </c:pt>
                <c:pt idx="14">
                  <c:v>94208</c:v>
                </c:pt>
                <c:pt idx="15">
                  <c:v>188416</c:v>
                </c:pt>
                <c:pt idx="16">
                  <c:v>376832</c:v>
                </c:pt>
                <c:pt idx="17">
                  <c:v>753664</c:v>
                </c:pt>
                <c:pt idx="18">
                  <c:v>1507328</c:v>
                </c:pt>
                <c:pt idx="19">
                  <c:v>3014656</c:v>
                </c:pt>
                <c:pt idx="20">
                  <c:v>6029312</c:v>
                </c:pt>
              </c:numCache>
            </c:numRef>
          </c:val>
          <c:smooth val="0"/>
          <c:extLst>
            <c:ext xmlns:c16="http://schemas.microsoft.com/office/drawing/2014/chart" uri="{C3380CC4-5D6E-409C-BE32-E72D297353CC}">
              <c16:uniqueId val="{00000000-C5BA-4495-93D4-AC4CA8674604}"/>
            </c:ext>
          </c:extLst>
        </c:ser>
        <c:ser>
          <c:idx val="4"/>
          <c:order val="1"/>
          <c:tx>
            <c:strRef>
              <c:f>Projections!$A$76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Projections!$J$76:$AI$76</c15:sqref>
                  </c15:fullRef>
                </c:ext>
              </c:extLst>
              <c:f>Projections!$J$76:$AD$76</c:f>
              <c:numCache>
                <c:formatCode>#,##0</c:formatCode>
                <c:ptCount val="21"/>
                <c:pt idx="0">
                  <c:v>1.675</c:v>
                </c:pt>
                <c:pt idx="1">
                  <c:v>3.35</c:v>
                </c:pt>
                <c:pt idx="2">
                  <c:v>6.7</c:v>
                </c:pt>
                <c:pt idx="3">
                  <c:v>13.4</c:v>
                </c:pt>
                <c:pt idx="4">
                  <c:v>26.8</c:v>
                </c:pt>
                <c:pt idx="5">
                  <c:v>53.6</c:v>
                </c:pt>
                <c:pt idx="6">
                  <c:v>107.2</c:v>
                </c:pt>
                <c:pt idx="7">
                  <c:v>214.4</c:v>
                </c:pt>
                <c:pt idx="8">
                  <c:v>428.8</c:v>
                </c:pt>
                <c:pt idx="9">
                  <c:v>857.6</c:v>
                </c:pt>
                <c:pt idx="10">
                  <c:v>1715.2</c:v>
                </c:pt>
                <c:pt idx="11">
                  <c:v>3430.4</c:v>
                </c:pt>
                <c:pt idx="12">
                  <c:v>6860.8</c:v>
                </c:pt>
                <c:pt idx="13">
                  <c:v>13721.6</c:v>
                </c:pt>
                <c:pt idx="14">
                  <c:v>27443.200000000001</c:v>
                </c:pt>
                <c:pt idx="15">
                  <c:v>54886.400000000001</c:v>
                </c:pt>
                <c:pt idx="16">
                  <c:v>109772.8</c:v>
                </c:pt>
                <c:pt idx="17">
                  <c:v>219545.60000000001</c:v>
                </c:pt>
                <c:pt idx="18">
                  <c:v>439091.20000000001</c:v>
                </c:pt>
                <c:pt idx="19">
                  <c:v>878182.40000000002</c:v>
                </c:pt>
                <c:pt idx="20">
                  <c:v>1756364.8</c:v>
                </c:pt>
              </c:numCache>
            </c:numRef>
          </c:val>
          <c:smooth val="0"/>
          <c:extLst>
            <c:ext xmlns:c16="http://schemas.microsoft.com/office/drawing/2014/chart" uri="{C3380CC4-5D6E-409C-BE32-E72D297353CC}">
              <c16:uniqueId val="{00000001-C5BA-4495-93D4-AC4CA8674604}"/>
            </c:ext>
          </c:extLst>
        </c:ser>
        <c:ser>
          <c:idx val="10"/>
          <c:order val="2"/>
          <c:tx>
            <c:strRef>
              <c:f>Projections!$A$82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Projections!$J$82:$AI$82</c15:sqref>
                  </c15:fullRef>
                </c:ext>
              </c:extLst>
              <c:f>Projections!$J$82:$AD$82</c:f>
              <c:numCache>
                <c:formatCode>#,##0</c:formatCode>
                <c:ptCount val="21"/>
                <c:pt idx="0">
                  <c:v>1.9375</c:v>
                </c:pt>
                <c:pt idx="1">
                  <c:v>3.875</c:v>
                </c:pt>
                <c:pt idx="2">
                  <c:v>7.75</c:v>
                </c:pt>
                <c:pt idx="3">
                  <c:v>15.5</c:v>
                </c:pt>
                <c:pt idx="4">
                  <c:v>31</c:v>
                </c:pt>
                <c:pt idx="5">
                  <c:v>62</c:v>
                </c:pt>
                <c:pt idx="6">
                  <c:v>124</c:v>
                </c:pt>
                <c:pt idx="7">
                  <c:v>248</c:v>
                </c:pt>
                <c:pt idx="8">
                  <c:v>496</c:v>
                </c:pt>
                <c:pt idx="9">
                  <c:v>992</c:v>
                </c:pt>
                <c:pt idx="10">
                  <c:v>1984</c:v>
                </c:pt>
                <c:pt idx="11">
                  <c:v>3968</c:v>
                </c:pt>
                <c:pt idx="12">
                  <c:v>7936</c:v>
                </c:pt>
                <c:pt idx="13">
                  <c:v>15872</c:v>
                </c:pt>
                <c:pt idx="14">
                  <c:v>31744</c:v>
                </c:pt>
                <c:pt idx="15">
                  <c:v>63488</c:v>
                </c:pt>
                <c:pt idx="16">
                  <c:v>126976</c:v>
                </c:pt>
                <c:pt idx="17">
                  <c:v>253952</c:v>
                </c:pt>
                <c:pt idx="18">
                  <c:v>507904</c:v>
                </c:pt>
                <c:pt idx="19">
                  <c:v>1015808</c:v>
                </c:pt>
                <c:pt idx="20">
                  <c:v>2031616</c:v>
                </c:pt>
              </c:numCache>
            </c:numRef>
          </c:val>
          <c:smooth val="0"/>
          <c:extLst>
            <c:ext xmlns:c16="http://schemas.microsoft.com/office/drawing/2014/chart" uri="{C3380CC4-5D6E-409C-BE32-E72D297353CC}">
              <c16:uniqueId val="{00000002-C5BA-4495-93D4-AC4CA8674604}"/>
            </c:ext>
          </c:extLst>
        </c:ser>
        <c:ser>
          <c:idx val="0"/>
          <c:order val="3"/>
          <c:tx>
            <c:strRef>
              <c:f>Projections!$A$72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Projections!$J$72:$AI$72</c15:sqref>
                  </c15:fullRef>
                </c:ext>
              </c:extLst>
              <c:f>Projections!$J$72:$AD$72</c:f>
              <c:numCache>
                <c:formatCode>#,##0</c:formatCode>
                <c:ptCount val="21"/>
                <c:pt idx="0">
                  <c:v>4.5999999999999996</c:v>
                </c:pt>
                <c:pt idx="1">
                  <c:v>9.1999999999999993</c:v>
                </c:pt>
                <c:pt idx="2">
                  <c:v>18.399999999999999</c:v>
                </c:pt>
                <c:pt idx="3">
                  <c:v>36.799999999999997</c:v>
                </c:pt>
                <c:pt idx="4">
                  <c:v>73.599999999999994</c:v>
                </c:pt>
                <c:pt idx="5">
                  <c:v>147.19999999999999</c:v>
                </c:pt>
                <c:pt idx="6">
                  <c:v>294.39999999999998</c:v>
                </c:pt>
                <c:pt idx="7">
                  <c:v>588.79999999999995</c:v>
                </c:pt>
                <c:pt idx="8">
                  <c:v>1177.5999999999999</c:v>
                </c:pt>
                <c:pt idx="9">
                  <c:v>2355.1999999999998</c:v>
                </c:pt>
                <c:pt idx="10">
                  <c:v>4710.3999999999996</c:v>
                </c:pt>
                <c:pt idx="11">
                  <c:v>9420.7999999999993</c:v>
                </c:pt>
                <c:pt idx="12">
                  <c:v>18841.599999999999</c:v>
                </c:pt>
                <c:pt idx="13">
                  <c:v>37683.199999999997</c:v>
                </c:pt>
                <c:pt idx="14">
                  <c:v>75366.399999999994</c:v>
                </c:pt>
                <c:pt idx="15">
                  <c:v>150732.79999999999</c:v>
                </c:pt>
                <c:pt idx="16">
                  <c:v>301465.59999999998</c:v>
                </c:pt>
                <c:pt idx="17">
                  <c:v>602931.19999999995</c:v>
                </c:pt>
                <c:pt idx="18">
                  <c:v>1205862.3999999999</c:v>
                </c:pt>
                <c:pt idx="19">
                  <c:v>2411724.7999999998</c:v>
                </c:pt>
                <c:pt idx="20">
                  <c:v>4823449.5999999996</c:v>
                </c:pt>
              </c:numCache>
            </c:numRef>
          </c:val>
          <c:smooth val="0"/>
          <c:extLst>
            <c:ext xmlns:c16="http://schemas.microsoft.com/office/drawing/2014/chart" uri="{C3380CC4-5D6E-409C-BE32-E72D297353CC}">
              <c16:uniqueId val="{00000003-C5BA-4495-93D4-AC4CA8674604}"/>
            </c:ext>
          </c:extLst>
        </c:ser>
        <c:ser>
          <c:idx val="2"/>
          <c:order val="4"/>
          <c:tx>
            <c:strRef>
              <c:f>Projections!$A$74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Projections!$J$74:$AI$74</c15:sqref>
                  </c15:fullRef>
                </c:ext>
              </c:extLst>
              <c:f>Projections!$J$74:$AD$74</c:f>
              <c:numCache>
                <c:formatCode>#,##0</c:formatCode>
                <c:ptCount val="21"/>
                <c:pt idx="0">
                  <c:v>1.2250000000000001</c:v>
                </c:pt>
                <c:pt idx="1">
                  <c:v>2.4500000000000002</c:v>
                </c:pt>
                <c:pt idx="2">
                  <c:v>4.9000000000000004</c:v>
                </c:pt>
                <c:pt idx="3">
                  <c:v>9.8000000000000007</c:v>
                </c:pt>
                <c:pt idx="4">
                  <c:v>19.600000000000001</c:v>
                </c:pt>
                <c:pt idx="5">
                  <c:v>39.200000000000003</c:v>
                </c:pt>
                <c:pt idx="6">
                  <c:v>78.400000000000006</c:v>
                </c:pt>
                <c:pt idx="7">
                  <c:v>156.80000000000001</c:v>
                </c:pt>
                <c:pt idx="8">
                  <c:v>313.60000000000002</c:v>
                </c:pt>
                <c:pt idx="9">
                  <c:v>627.20000000000005</c:v>
                </c:pt>
                <c:pt idx="10">
                  <c:v>1254.4000000000001</c:v>
                </c:pt>
                <c:pt idx="11">
                  <c:v>2508.8000000000002</c:v>
                </c:pt>
                <c:pt idx="12">
                  <c:v>5017.6000000000004</c:v>
                </c:pt>
                <c:pt idx="13">
                  <c:v>10035.200000000001</c:v>
                </c:pt>
                <c:pt idx="14">
                  <c:v>20070.400000000001</c:v>
                </c:pt>
                <c:pt idx="15">
                  <c:v>40140.800000000003</c:v>
                </c:pt>
                <c:pt idx="16">
                  <c:v>80281.600000000006</c:v>
                </c:pt>
                <c:pt idx="17">
                  <c:v>160563.20000000001</c:v>
                </c:pt>
                <c:pt idx="18">
                  <c:v>321126.40000000002</c:v>
                </c:pt>
                <c:pt idx="19">
                  <c:v>642252.80000000005</c:v>
                </c:pt>
                <c:pt idx="20">
                  <c:v>1284505.6000000001</c:v>
                </c:pt>
              </c:numCache>
            </c:numRef>
          </c:val>
          <c:smooth val="0"/>
          <c:extLst>
            <c:ext xmlns:c16="http://schemas.microsoft.com/office/drawing/2014/chart" uri="{C3380CC4-5D6E-409C-BE32-E72D297353CC}">
              <c16:uniqueId val="{00000004-C5BA-4495-93D4-AC4CA8674604}"/>
            </c:ext>
          </c:extLst>
        </c:ser>
        <c:ser>
          <c:idx val="8"/>
          <c:order val="5"/>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Projections!$J$80:$AI$80</c15:sqref>
                  </c15:fullRef>
                </c:ext>
              </c:extLst>
              <c:f>Projections!$J$80:$AD$80</c:f>
              <c:numCache>
                <c:formatCode>#,##0</c:formatCode>
                <c:ptCount val="21"/>
                <c:pt idx="0">
                  <c:v>5.4875E-2</c:v>
                </c:pt>
                <c:pt idx="1">
                  <c:v>0.10975</c:v>
                </c:pt>
                <c:pt idx="2">
                  <c:v>0.2195</c:v>
                </c:pt>
                <c:pt idx="3">
                  <c:v>0.439</c:v>
                </c:pt>
                <c:pt idx="4">
                  <c:v>0.878</c:v>
                </c:pt>
                <c:pt idx="5">
                  <c:v>1.756</c:v>
                </c:pt>
                <c:pt idx="6">
                  <c:v>3.512</c:v>
                </c:pt>
                <c:pt idx="7">
                  <c:v>7.024</c:v>
                </c:pt>
                <c:pt idx="8">
                  <c:v>14.048</c:v>
                </c:pt>
                <c:pt idx="9">
                  <c:v>28.096</c:v>
                </c:pt>
                <c:pt idx="10">
                  <c:v>56.192</c:v>
                </c:pt>
                <c:pt idx="11">
                  <c:v>112.384</c:v>
                </c:pt>
                <c:pt idx="12">
                  <c:v>224.768</c:v>
                </c:pt>
                <c:pt idx="13">
                  <c:v>449.536</c:v>
                </c:pt>
                <c:pt idx="14">
                  <c:v>899.072</c:v>
                </c:pt>
                <c:pt idx="15">
                  <c:v>1798.144</c:v>
                </c:pt>
                <c:pt idx="16">
                  <c:v>3596.288</c:v>
                </c:pt>
                <c:pt idx="17">
                  <c:v>7192.576</c:v>
                </c:pt>
                <c:pt idx="18">
                  <c:v>14385.152</c:v>
                </c:pt>
                <c:pt idx="19">
                  <c:v>28770.304</c:v>
                </c:pt>
                <c:pt idx="20">
                  <c:v>57540.608</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Projections!$J$79:$AI$79</c15:sqref>
                  </c15:fullRef>
                </c:ext>
              </c:extLst>
              <c:f>Projections!$J$79:$AD$79</c:f>
              <c:numCache>
                <c:formatCode>#,##0</c:formatCode>
                <c:ptCount val="21"/>
                <c:pt idx="0">
                  <c:v>0.34499999999999997</c:v>
                </c:pt>
                <c:pt idx="1">
                  <c:v>0.69</c:v>
                </c:pt>
                <c:pt idx="2">
                  <c:v>1.38</c:v>
                </c:pt>
                <c:pt idx="3">
                  <c:v>2.76</c:v>
                </c:pt>
                <c:pt idx="4">
                  <c:v>5.52</c:v>
                </c:pt>
                <c:pt idx="5">
                  <c:v>11.04</c:v>
                </c:pt>
                <c:pt idx="6">
                  <c:v>22.08</c:v>
                </c:pt>
                <c:pt idx="7">
                  <c:v>44.16</c:v>
                </c:pt>
                <c:pt idx="8">
                  <c:v>88.32</c:v>
                </c:pt>
                <c:pt idx="9">
                  <c:v>176.64</c:v>
                </c:pt>
                <c:pt idx="10">
                  <c:v>353.28</c:v>
                </c:pt>
                <c:pt idx="11">
                  <c:v>706.56</c:v>
                </c:pt>
                <c:pt idx="12">
                  <c:v>1413.12</c:v>
                </c:pt>
                <c:pt idx="13">
                  <c:v>2826.24</c:v>
                </c:pt>
                <c:pt idx="14">
                  <c:v>5652.48</c:v>
                </c:pt>
                <c:pt idx="15">
                  <c:v>11304.96</c:v>
                </c:pt>
                <c:pt idx="16">
                  <c:v>22609.919999999998</c:v>
                </c:pt>
                <c:pt idx="17">
                  <c:v>45219.839999999997</c:v>
                </c:pt>
                <c:pt idx="18">
                  <c:v>90439.679999999993</c:v>
                </c:pt>
                <c:pt idx="19">
                  <c:v>180879.35999999999</c:v>
                </c:pt>
                <c:pt idx="20">
                  <c:v>361758.71999999997</c:v>
                </c:pt>
              </c:numCache>
            </c:numRef>
          </c:val>
          <c:smooth val="0"/>
          <c:extLst>
            <c:ext xmlns:c16="http://schemas.microsoft.com/office/drawing/2014/chart" uri="{C3380CC4-5D6E-409C-BE32-E72D297353CC}">
              <c16:uniqueId val="{00000000-5E66-4AF0-A3CA-7CF12153AA8E}"/>
            </c:ext>
          </c:extLst>
        </c:ser>
        <c:ser>
          <c:idx val="5"/>
          <c:order val="1"/>
          <c:tx>
            <c:strRef>
              <c:f>Projections!$A$76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Projections!$J$77:$AI$77</c15:sqref>
                  </c15:fullRef>
                </c:ext>
              </c:extLst>
              <c:f>Projections!$J$77:$AD$77</c:f>
              <c:numCache>
                <c:formatCode>#,##0</c:formatCode>
                <c:ptCount val="21"/>
                <c:pt idx="0">
                  <c:v>0.10552500000000001</c:v>
                </c:pt>
                <c:pt idx="1">
                  <c:v>0.21105000000000002</c:v>
                </c:pt>
                <c:pt idx="2">
                  <c:v>0.42210000000000003</c:v>
                </c:pt>
                <c:pt idx="3">
                  <c:v>0.84420000000000006</c:v>
                </c:pt>
                <c:pt idx="4">
                  <c:v>1.6884000000000001</c:v>
                </c:pt>
                <c:pt idx="5">
                  <c:v>3.3768000000000002</c:v>
                </c:pt>
                <c:pt idx="6">
                  <c:v>6.7536000000000005</c:v>
                </c:pt>
                <c:pt idx="7">
                  <c:v>13.507200000000001</c:v>
                </c:pt>
                <c:pt idx="8">
                  <c:v>27.014400000000002</c:v>
                </c:pt>
                <c:pt idx="9">
                  <c:v>54.028800000000004</c:v>
                </c:pt>
                <c:pt idx="10">
                  <c:v>108.05760000000001</c:v>
                </c:pt>
                <c:pt idx="11">
                  <c:v>216.11520000000002</c:v>
                </c:pt>
                <c:pt idx="12">
                  <c:v>432.23040000000003</c:v>
                </c:pt>
                <c:pt idx="13">
                  <c:v>864.46080000000006</c:v>
                </c:pt>
                <c:pt idx="14">
                  <c:v>1728.9216000000001</c:v>
                </c:pt>
                <c:pt idx="15">
                  <c:v>3457.8432000000003</c:v>
                </c:pt>
                <c:pt idx="16">
                  <c:v>6915.6864000000005</c:v>
                </c:pt>
                <c:pt idx="17">
                  <c:v>13831.372800000001</c:v>
                </c:pt>
                <c:pt idx="18">
                  <c:v>27662.745600000002</c:v>
                </c:pt>
                <c:pt idx="19">
                  <c:v>55325.491200000004</c:v>
                </c:pt>
                <c:pt idx="20">
                  <c:v>110650.98240000001</c:v>
                </c:pt>
              </c:numCache>
            </c:numRef>
          </c:val>
          <c:smooth val="0"/>
          <c:extLst>
            <c:ext xmlns:c16="http://schemas.microsoft.com/office/drawing/2014/chart" uri="{C3380CC4-5D6E-409C-BE32-E72D297353CC}">
              <c16:uniqueId val="{00000001-5E66-4AF0-A3CA-7CF12153AA8E}"/>
            </c:ext>
          </c:extLst>
        </c:ser>
        <c:ser>
          <c:idx val="1"/>
          <c:order val="2"/>
          <c:tx>
            <c:strRef>
              <c:f>Projections!$A$72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Projections!$J$73:$AI$73</c15:sqref>
                  </c15:fullRef>
                </c:ext>
              </c:extLst>
              <c:f>Projections!$J$73:$AD$73</c:f>
              <c:numCache>
                <c:formatCode>#,##0</c:formatCode>
                <c:ptCount val="21"/>
                <c:pt idx="0">
                  <c:v>0.48299999999999993</c:v>
                </c:pt>
                <c:pt idx="1">
                  <c:v>0.96599999999999986</c:v>
                </c:pt>
                <c:pt idx="2">
                  <c:v>1.9319999999999997</c:v>
                </c:pt>
                <c:pt idx="3">
                  <c:v>3.8639999999999994</c:v>
                </c:pt>
                <c:pt idx="4">
                  <c:v>7.7279999999999989</c:v>
                </c:pt>
                <c:pt idx="5">
                  <c:v>15.455999999999998</c:v>
                </c:pt>
                <c:pt idx="6">
                  <c:v>30.911999999999995</c:v>
                </c:pt>
                <c:pt idx="7">
                  <c:v>61.823999999999991</c:v>
                </c:pt>
                <c:pt idx="8">
                  <c:v>123.64799999999998</c:v>
                </c:pt>
                <c:pt idx="9">
                  <c:v>247.29599999999996</c:v>
                </c:pt>
                <c:pt idx="10">
                  <c:v>494.59199999999993</c:v>
                </c:pt>
                <c:pt idx="11">
                  <c:v>989.18399999999986</c:v>
                </c:pt>
                <c:pt idx="12">
                  <c:v>1978.3679999999997</c:v>
                </c:pt>
                <c:pt idx="13">
                  <c:v>3956.7359999999994</c:v>
                </c:pt>
                <c:pt idx="14">
                  <c:v>7913.4719999999988</c:v>
                </c:pt>
                <c:pt idx="15">
                  <c:v>15826.943999999998</c:v>
                </c:pt>
                <c:pt idx="16">
                  <c:v>31653.887999999995</c:v>
                </c:pt>
                <c:pt idx="17">
                  <c:v>63307.775999999991</c:v>
                </c:pt>
                <c:pt idx="18">
                  <c:v>126615.55199999998</c:v>
                </c:pt>
                <c:pt idx="19">
                  <c:v>253231.10399999996</c:v>
                </c:pt>
                <c:pt idx="20">
                  <c:v>506462.20799999993</c:v>
                </c:pt>
              </c:numCache>
            </c:numRef>
          </c:val>
          <c:smooth val="0"/>
          <c:extLst>
            <c:ext xmlns:c16="http://schemas.microsoft.com/office/drawing/2014/chart" uri="{C3380CC4-5D6E-409C-BE32-E72D297353CC}">
              <c16:uniqueId val="{00000002-5E66-4AF0-A3CA-7CF12153AA8E}"/>
            </c:ext>
          </c:extLst>
        </c:ser>
        <c:ser>
          <c:idx val="3"/>
          <c:order val="3"/>
          <c:tx>
            <c:strRef>
              <c:f>Projections!$A$74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Projections!$J$75:$AI$75</c15:sqref>
                  </c15:fullRef>
                </c:ext>
              </c:extLst>
              <c:f>Projections!$J$75:$AD$75</c:f>
              <c:numCache>
                <c:formatCode>#,##0</c:formatCode>
                <c:ptCount val="21"/>
                <c:pt idx="0">
                  <c:v>8.9425000000000004E-2</c:v>
                </c:pt>
                <c:pt idx="1">
                  <c:v>0.17885000000000001</c:v>
                </c:pt>
                <c:pt idx="2">
                  <c:v>0.35770000000000002</c:v>
                </c:pt>
                <c:pt idx="3">
                  <c:v>0.71540000000000004</c:v>
                </c:pt>
                <c:pt idx="4">
                  <c:v>1.4308000000000001</c:v>
                </c:pt>
                <c:pt idx="5">
                  <c:v>2.8616000000000001</c:v>
                </c:pt>
                <c:pt idx="6">
                  <c:v>5.7232000000000003</c:v>
                </c:pt>
                <c:pt idx="7">
                  <c:v>11.446400000000001</c:v>
                </c:pt>
                <c:pt idx="8">
                  <c:v>22.892800000000001</c:v>
                </c:pt>
                <c:pt idx="9">
                  <c:v>45.785600000000002</c:v>
                </c:pt>
                <c:pt idx="10">
                  <c:v>91.571200000000005</c:v>
                </c:pt>
                <c:pt idx="11">
                  <c:v>183.14240000000001</c:v>
                </c:pt>
                <c:pt idx="12">
                  <c:v>366.28480000000002</c:v>
                </c:pt>
                <c:pt idx="13">
                  <c:v>732.56960000000004</c:v>
                </c:pt>
                <c:pt idx="14">
                  <c:v>1465.1392000000001</c:v>
                </c:pt>
                <c:pt idx="15">
                  <c:v>2930.2784000000001</c:v>
                </c:pt>
                <c:pt idx="16">
                  <c:v>5860.5568000000003</c:v>
                </c:pt>
                <c:pt idx="17">
                  <c:v>11721.113600000001</c:v>
                </c:pt>
                <c:pt idx="18">
                  <c:v>23442.227200000001</c:v>
                </c:pt>
                <c:pt idx="19">
                  <c:v>46884.454400000002</c:v>
                </c:pt>
                <c:pt idx="20">
                  <c:v>93768.908800000005</c:v>
                </c:pt>
              </c:numCache>
            </c:numRef>
          </c:val>
          <c:smooth val="0"/>
          <c:extLst>
            <c:ext xmlns:c16="http://schemas.microsoft.com/office/drawing/2014/chart" uri="{C3380CC4-5D6E-409C-BE32-E72D297353CC}">
              <c16:uniqueId val="{00000003-5E66-4AF0-A3CA-7CF12153AA8E}"/>
            </c:ext>
          </c:extLst>
        </c:ser>
        <c:ser>
          <c:idx val="9"/>
          <c:order val="4"/>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Projections!$J$81:$AI$81</c15:sqref>
                  </c15:fullRef>
                </c:ext>
              </c:extLst>
              <c:f>Projections!$J$81:$AD$81</c:f>
              <c:numCache>
                <c:formatCode>#,##0</c:formatCode>
                <c:ptCount val="21"/>
                <c:pt idx="0">
                  <c:v>3.0730000000000002E-3</c:v>
                </c:pt>
                <c:pt idx="1">
                  <c:v>6.1460000000000004E-3</c:v>
                </c:pt>
                <c:pt idx="2">
                  <c:v>1.2292000000000001E-2</c:v>
                </c:pt>
                <c:pt idx="3">
                  <c:v>2.4584000000000002E-2</c:v>
                </c:pt>
                <c:pt idx="4">
                  <c:v>4.9168000000000003E-2</c:v>
                </c:pt>
                <c:pt idx="5">
                  <c:v>9.8336000000000007E-2</c:v>
                </c:pt>
                <c:pt idx="6">
                  <c:v>0.19667200000000001</c:v>
                </c:pt>
                <c:pt idx="7">
                  <c:v>0.39334400000000003</c:v>
                </c:pt>
                <c:pt idx="8">
                  <c:v>0.78668800000000005</c:v>
                </c:pt>
                <c:pt idx="9">
                  <c:v>1.5733760000000001</c:v>
                </c:pt>
                <c:pt idx="10">
                  <c:v>3.1467520000000002</c:v>
                </c:pt>
                <c:pt idx="11">
                  <c:v>6.2935040000000004</c:v>
                </c:pt>
                <c:pt idx="12">
                  <c:v>12.587008000000001</c:v>
                </c:pt>
                <c:pt idx="13">
                  <c:v>25.174016000000002</c:v>
                </c:pt>
                <c:pt idx="14">
                  <c:v>50.348032000000003</c:v>
                </c:pt>
                <c:pt idx="15">
                  <c:v>100.69606400000001</c:v>
                </c:pt>
                <c:pt idx="16">
                  <c:v>201.39212800000001</c:v>
                </c:pt>
                <c:pt idx="17">
                  <c:v>402.78425600000003</c:v>
                </c:pt>
                <c:pt idx="18">
                  <c:v>805.56851200000006</c:v>
                </c:pt>
                <c:pt idx="19">
                  <c:v>1611.1370240000001</c:v>
                </c:pt>
                <c:pt idx="20">
                  <c:v>3222.2740480000002</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Projections!$J$17:$AI$17</c15:sqref>
                  </c15:fullRef>
                </c:ext>
              </c:extLst>
              <c:f>Projections!$J$17:$Z$17</c:f>
              <c:numCache>
                <c:formatCode>m/d/yyyy</c:formatCode>
                <c:ptCount val="17"/>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numCache>
            </c:numRef>
          </c:cat>
          <c:val>
            <c:numRef>
              <c:extLst>
                <c:ext xmlns:c15="http://schemas.microsoft.com/office/drawing/2012/chart" uri="{02D57815-91ED-43cb-92C2-25804820EDAC}">
                  <c15:fullRef>
                    <c15:sqref>Projections!$J$18:$AI$18</c15:sqref>
                  </c15:fullRef>
                </c:ext>
              </c:extLst>
              <c:f>Projections!$J$18:$Z$18</c:f>
              <c:numCache>
                <c:formatCode>#,##0_ ;[Red]\-#,##0\ </c:formatCode>
                <c:ptCount val="17"/>
                <c:pt idx="0">
                  <c:v>12.5</c:v>
                </c:pt>
                <c:pt idx="1">
                  <c:v>25</c:v>
                </c:pt>
                <c:pt idx="2">
                  <c:v>50</c:v>
                </c:pt>
                <c:pt idx="3">
                  <c:v>100</c:v>
                </c:pt>
                <c:pt idx="4">
                  <c:v>200</c:v>
                </c:pt>
                <c:pt idx="5">
                  <c:v>400</c:v>
                </c:pt>
                <c:pt idx="6">
                  <c:v>800</c:v>
                </c:pt>
                <c:pt idx="7">
                  <c:v>1600</c:v>
                </c:pt>
                <c:pt idx="8">
                  <c:v>3200</c:v>
                </c:pt>
                <c:pt idx="9">
                  <c:v>6400</c:v>
                </c:pt>
                <c:pt idx="10">
                  <c:v>12800</c:v>
                </c:pt>
                <c:pt idx="11">
                  <c:v>25600</c:v>
                </c:pt>
                <c:pt idx="12">
                  <c:v>51200</c:v>
                </c:pt>
                <c:pt idx="13">
                  <c:v>102400</c:v>
                </c:pt>
                <c:pt idx="14">
                  <c:v>204800</c:v>
                </c:pt>
                <c:pt idx="15">
                  <c:v>409600</c:v>
                </c:pt>
                <c:pt idx="16">
                  <c:v>819200</c:v>
                </c:pt>
              </c:numCache>
            </c:numRef>
          </c:val>
          <c:smooth val="0"/>
          <c:extLst>
            <c:ext xmlns:c16="http://schemas.microsoft.com/office/drawing/2014/chart" uri="{C3380CC4-5D6E-409C-BE32-E72D297353CC}">
              <c16:uniqueId val="{00000000-9DE3-43B6-B60B-9B4AA4851702}"/>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Projections!$J$17:$AI$17</c15:sqref>
                  </c15:fullRef>
                </c:ext>
              </c:extLst>
              <c:f>Projections!$J$17:$Z$17</c:f>
              <c:numCache>
                <c:formatCode>m/d/yyyy</c:formatCode>
                <c:ptCount val="17"/>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numCache>
            </c:numRef>
          </c:cat>
          <c:val>
            <c:numRef>
              <c:extLst>
                <c:ext xmlns:c15="http://schemas.microsoft.com/office/drawing/2012/chart" uri="{02D57815-91ED-43cb-92C2-25804820EDAC}">
                  <c15:fullRef>
                    <c15:sqref>Projections!$J$42:$AI$42</c15:sqref>
                  </c15:fullRef>
                </c:ext>
              </c:extLst>
              <c:f>Projections!$J$42:$Z$42</c:f>
              <c:numCache>
                <c:formatCode>General</c:formatCode>
                <c:ptCount val="17"/>
                <c:pt idx="0">
                  <c:v>16</c:v>
                </c:pt>
                <c:pt idx="1">
                  <c:v>24</c:v>
                </c:pt>
                <c:pt idx="2" formatCode="#,##0">
                  <c:v>53</c:v>
                </c:pt>
                <c:pt idx="3" formatCode="#,##0">
                  <c:v>98</c:v>
                </c:pt>
                <c:pt idx="4" formatCode="#,##0">
                  <c:v>214</c:v>
                </c:pt>
                <c:pt idx="5" formatCode="#,##0">
                  <c:v>423</c:v>
                </c:pt>
                <c:pt idx="6" formatCode="#,##0">
                  <c:v>937</c:v>
                </c:pt>
                <c:pt idx="7" formatCode="#,##0">
                  <c:v>1896</c:v>
                </c:pt>
                <c:pt idx="8" formatCode="#,##0">
                  <c:v>3487</c:v>
                </c:pt>
                <c:pt idx="9" formatCode="#,##0">
                  <c:v>7038</c:v>
                </c:pt>
                <c:pt idx="10" formatCode="#,##0">
                  <c:v>15219</c:v>
                </c:pt>
                <c:pt idx="11" formatCode="#,##0">
                  <c:v>24583</c:v>
                </c:pt>
                <c:pt idx="12" formatCode="#,##0">
                  <c:v>54453</c:v>
                </c:pt>
                <c:pt idx="13" formatCode="#,##0">
                  <c:v>103321</c:v>
                </c:pt>
                <c:pt idx="14" formatCode="#,##0">
                  <c:v>213144</c:v>
                </c:pt>
                <c:pt idx="15" formatCode="#,##0">
                  <c:v>395011</c:v>
                </c:pt>
                <c:pt idx="16" formatCode="#,##0">
                  <c:v>790022</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Projections!$J$17:$AI$17</c15:sqref>
                  </c15:fullRef>
                </c:ext>
              </c:extLst>
              <c:f>Projections!$J$17:$Z$17</c:f>
              <c:numCache>
                <c:formatCode>m/d/yyyy</c:formatCode>
                <c:ptCount val="17"/>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numCache>
            </c:numRef>
          </c:cat>
          <c:val>
            <c:numRef>
              <c:extLst>
                <c:ext xmlns:c15="http://schemas.microsoft.com/office/drawing/2012/chart" uri="{02D57815-91ED-43cb-92C2-25804820EDAC}">
                  <c15:fullRef>
                    <c15:sqref>Projections!$J$32:$AI$32</c15:sqref>
                  </c15:fullRef>
                </c:ext>
              </c:extLst>
              <c:f>Projections!$J$32:$Z$32</c:f>
              <c:numCache>
                <c:formatCode>#,##0_ ;[Red]\-#,##0\ </c:formatCode>
                <c:ptCount val="17"/>
                <c:pt idx="0">
                  <c:v>0.43750000000000006</c:v>
                </c:pt>
                <c:pt idx="1">
                  <c:v>0.87500000000000011</c:v>
                </c:pt>
                <c:pt idx="2">
                  <c:v>1.7500000000000002</c:v>
                </c:pt>
                <c:pt idx="3">
                  <c:v>3.5000000000000004</c:v>
                </c:pt>
                <c:pt idx="4">
                  <c:v>7.0000000000000009</c:v>
                </c:pt>
                <c:pt idx="5">
                  <c:v>14.000000000000002</c:v>
                </c:pt>
                <c:pt idx="6">
                  <c:v>28.000000000000004</c:v>
                </c:pt>
                <c:pt idx="7">
                  <c:v>56.000000000000007</c:v>
                </c:pt>
                <c:pt idx="8">
                  <c:v>112.00000000000001</c:v>
                </c:pt>
                <c:pt idx="9">
                  <c:v>224.00000000000003</c:v>
                </c:pt>
                <c:pt idx="10">
                  <c:v>448.00000000000006</c:v>
                </c:pt>
                <c:pt idx="11">
                  <c:v>896.00000000000011</c:v>
                </c:pt>
                <c:pt idx="12">
                  <c:v>1792.0000000000002</c:v>
                </c:pt>
                <c:pt idx="13">
                  <c:v>3584.0000000000005</c:v>
                </c:pt>
                <c:pt idx="14">
                  <c:v>7168.0000000000009</c:v>
                </c:pt>
                <c:pt idx="15">
                  <c:v>14336.000000000002</c:v>
                </c:pt>
                <c:pt idx="16">
                  <c:v>28672.000000000004</c:v>
                </c:pt>
              </c:numCache>
            </c:numRef>
          </c:val>
          <c:smooth val="0"/>
          <c:extLst>
            <c:ext xmlns:c16="http://schemas.microsoft.com/office/drawing/2014/chart" uri="{C3380CC4-5D6E-409C-BE32-E72D297353CC}">
              <c16:uniqueId val="{00000000-FE1B-4946-A476-7952C5C71231}"/>
            </c:ext>
          </c:extLst>
        </c:ser>
        <c:ser>
          <c:idx val="1"/>
          <c:order val="1"/>
          <c:tx>
            <c:strRef>
              <c:f>Projections!$A$45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Projections!$J$17:$AI$17</c15:sqref>
                  </c15:fullRef>
                </c:ext>
              </c:extLst>
              <c:f>Projections!$J$17:$Z$17</c:f>
              <c:numCache>
                <c:formatCode>m/d/yyyy</c:formatCode>
                <c:ptCount val="17"/>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numCache>
            </c:numRef>
          </c:cat>
          <c:val>
            <c:numRef>
              <c:extLst>
                <c:ext xmlns:c15="http://schemas.microsoft.com/office/drawing/2012/chart" uri="{02D57815-91ED-43cb-92C2-25804820EDAC}">
                  <c15:fullRef>
                    <c15:sqref>Projections!$J$45:$AI$45</c15:sqref>
                  </c15:fullRef>
                </c:ext>
              </c:extLst>
              <c:f>Projections!$J$45:$Z$45</c:f>
              <c:numCache>
                <c:formatCode>General</c:formatCode>
                <c:ptCount val="17"/>
                <c:pt idx="0">
                  <c:v>0</c:v>
                </c:pt>
                <c:pt idx="1">
                  <c:v>1</c:v>
                </c:pt>
                <c:pt idx="2" formatCode="#,##0">
                  <c:v>1</c:v>
                </c:pt>
                <c:pt idx="3" formatCode="#,##0">
                  <c:v>9</c:v>
                </c:pt>
                <c:pt idx="4" formatCode="#,##0">
                  <c:v>12</c:v>
                </c:pt>
                <c:pt idx="5" formatCode="#,##0">
                  <c:v>7</c:v>
                </c:pt>
                <c:pt idx="6" formatCode="#,##0">
                  <c:v>19</c:v>
                </c:pt>
                <c:pt idx="7" formatCode="#,##0">
                  <c:v>26</c:v>
                </c:pt>
                <c:pt idx="8" formatCode="#,##0">
                  <c:v>57</c:v>
                </c:pt>
                <c:pt idx="9" formatCode="#,##0">
                  <c:v>87</c:v>
                </c:pt>
                <c:pt idx="10" formatCode="#,##0">
                  <c:v>150</c:v>
                </c:pt>
                <c:pt idx="11" formatCode="#,##0">
                  <c:v>255</c:v>
                </c:pt>
                <c:pt idx="12" formatCode="#,##0">
                  <c:v>555</c:v>
                </c:pt>
                <c:pt idx="13" formatCode="#,##0">
                  <c:v>1295</c:v>
                </c:pt>
                <c:pt idx="14" formatCode="#,##0">
                  <c:v>4053</c:v>
                </c:pt>
                <c:pt idx="15" formatCode="#,##0">
                  <c:v>9616</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28.571428571428555</c:v>
                </c:pt>
                <c:pt idx="3">
                  <c:v>57.14285714285711</c:v>
                </c:pt>
                <c:pt idx="4">
                  <c:v>92.571428571428527</c:v>
                </c:pt>
                <c:pt idx="5">
                  <c:v>185.14285714285705</c:v>
                </c:pt>
                <c:pt idx="6">
                  <c:v>370.28571428571411</c:v>
                </c:pt>
                <c:pt idx="7">
                  <c:v>717.4285714285711</c:v>
                </c:pt>
                <c:pt idx="8">
                  <c:v>1434.8571428571422</c:v>
                </c:pt>
                <c:pt idx="9">
                  <c:v>2869.7142857142844</c:v>
                </c:pt>
                <c:pt idx="10">
                  <c:v>5739.4285714285688</c:v>
                </c:pt>
                <c:pt idx="11">
                  <c:v>11478.857142857138</c:v>
                </c:pt>
                <c:pt idx="12">
                  <c:v>22980.85714285713</c:v>
                </c:pt>
                <c:pt idx="13">
                  <c:v>45961.714285714261</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21.714285714285701</c:v>
                </c:pt>
                <c:pt idx="5">
                  <c:v>43.428571428571402</c:v>
                </c:pt>
                <c:pt idx="6">
                  <c:v>63.999999999999972</c:v>
                </c:pt>
                <c:pt idx="7">
                  <c:v>127.99999999999994</c:v>
                </c:pt>
                <c:pt idx="8">
                  <c:v>255.99999999999989</c:v>
                </c:pt>
                <c:pt idx="9">
                  <c:v>511.99999999999977</c:v>
                </c:pt>
                <c:pt idx="10">
                  <c:v>1023.9999999999995</c:v>
                </c:pt>
                <c:pt idx="11">
                  <c:v>2047.9999999999991</c:v>
                </c:pt>
                <c:pt idx="12">
                  <c:v>4095.9999999999982</c:v>
                </c:pt>
                <c:pt idx="13">
                  <c:v>8191.9999999999964</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285.71428571428567</c:v>
                </c:pt>
                <c:pt idx="1">
                  <c:v>571.42857142857133</c:v>
                </c:pt>
                <c:pt idx="2">
                  <c:v>1142.8571428571427</c:v>
                </c:pt>
                <c:pt idx="3">
                  <c:v>2285.7142857142853</c:v>
                </c:pt>
                <c:pt idx="4">
                  <c:v>4571.4285714285706</c:v>
                </c:pt>
                <c:pt idx="5">
                  <c:v>9142.8571428571413</c:v>
                </c:pt>
                <c:pt idx="6">
                  <c:v>18285.714285714283</c:v>
                </c:pt>
                <c:pt idx="7">
                  <c:v>36571.428571428565</c:v>
                </c:pt>
                <c:pt idx="8">
                  <c:v>73142.85714285713</c:v>
                </c:pt>
                <c:pt idx="9">
                  <c:v>146285.71428571426</c:v>
                </c:pt>
                <c:pt idx="10">
                  <c:v>292571.42857142852</c:v>
                </c:pt>
                <c:pt idx="11">
                  <c:v>585142.85714285704</c:v>
                </c:pt>
                <c:pt idx="12">
                  <c:v>1170285.7142857141</c:v>
                </c:pt>
                <c:pt idx="13">
                  <c:v>2340571.4285714282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257.14285714285711</c:v>
                </c:pt>
                <c:pt idx="1">
                  <c:v>514.28571428571422</c:v>
                </c:pt>
                <c:pt idx="2">
                  <c:v>1028.5714285714284</c:v>
                </c:pt>
                <c:pt idx="3">
                  <c:v>2057.1428571428569</c:v>
                </c:pt>
                <c:pt idx="4">
                  <c:v>4114.2857142857138</c:v>
                </c:pt>
                <c:pt idx="5">
                  <c:v>8228.5714285714275</c:v>
                </c:pt>
                <c:pt idx="6">
                  <c:v>16457.142857142855</c:v>
                </c:pt>
                <c:pt idx="7">
                  <c:v>32914.28571428571</c:v>
                </c:pt>
                <c:pt idx="8">
                  <c:v>65828.57142857142</c:v>
                </c:pt>
                <c:pt idx="9">
                  <c:v>131657.14285714284</c:v>
                </c:pt>
                <c:pt idx="10">
                  <c:v>263314.28571428568</c:v>
                </c:pt>
                <c:pt idx="11">
                  <c:v>526628.57142857136</c:v>
                </c:pt>
                <c:pt idx="12">
                  <c:v>1053257.1428571427</c:v>
                </c:pt>
                <c:pt idx="13">
                  <c:v>2106514.2857142854</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28.571428571428555</c:v>
                </c:pt>
                <c:pt idx="3">
                  <c:v>57.14285714285711</c:v>
                </c:pt>
                <c:pt idx="4">
                  <c:v>92.571428571428527</c:v>
                </c:pt>
                <c:pt idx="5">
                  <c:v>185.14285714285705</c:v>
                </c:pt>
                <c:pt idx="6">
                  <c:v>370.28571428571411</c:v>
                </c:pt>
                <c:pt idx="7">
                  <c:v>717.4285714285711</c:v>
                </c:pt>
                <c:pt idx="8">
                  <c:v>1434.8571428571422</c:v>
                </c:pt>
                <c:pt idx="9">
                  <c:v>2869.7142857142844</c:v>
                </c:pt>
                <c:pt idx="10">
                  <c:v>5739.4285714285688</c:v>
                </c:pt>
                <c:pt idx="11">
                  <c:v>11478.857142857138</c:v>
                </c:pt>
                <c:pt idx="12">
                  <c:v>22980.85714285713</c:v>
                </c:pt>
                <c:pt idx="13">
                  <c:v>45961.714285714261</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21.714285714285701</c:v>
                </c:pt>
                <c:pt idx="5">
                  <c:v>43.428571428571402</c:v>
                </c:pt>
                <c:pt idx="6">
                  <c:v>63.999999999999972</c:v>
                </c:pt>
                <c:pt idx="7">
                  <c:v>127.99999999999994</c:v>
                </c:pt>
                <c:pt idx="8">
                  <c:v>255.99999999999989</c:v>
                </c:pt>
                <c:pt idx="9">
                  <c:v>511.99999999999977</c:v>
                </c:pt>
                <c:pt idx="10">
                  <c:v>1023.9999999999995</c:v>
                </c:pt>
                <c:pt idx="11">
                  <c:v>2047.9999999999991</c:v>
                </c:pt>
                <c:pt idx="12">
                  <c:v>4095.9999999999982</c:v>
                </c:pt>
                <c:pt idx="13">
                  <c:v>8191.9999999999964</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43891.574975115742</c:v>
                </c:pt>
                <c:pt idx="1">
                  <c:v>43894.574975115742</c:v>
                </c:pt>
                <c:pt idx="2">
                  <c:v>43897.574975115742</c:v>
                </c:pt>
                <c:pt idx="3">
                  <c:v>43900.574975115742</c:v>
                </c:pt>
                <c:pt idx="4">
                  <c:v>43903.574975115742</c:v>
                </c:pt>
                <c:pt idx="5">
                  <c:v>43906.574975115742</c:v>
                </c:pt>
                <c:pt idx="6">
                  <c:v>43909.574975115742</c:v>
                </c:pt>
                <c:pt idx="7">
                  <c:v>43912.574975115742</c:v>
                </c:pt>
                <c:pt idx="8">
                  <c:v>43915.574975115742</c:v>
                </c:pt>
                <c:pt idx="9">
                  <c:v>43918.574975115742</c:v>
                </c:pt>
                <c:pt idx="10">
                  <c:v>43921.574975115742</c:v>
                </c:pt>
                <c:pt idx="11">
                  <c:v>43924.574975115742</c:v>
                </c:pt>
                <c:pt idx="12">
                  <c:v>43927.574975115742</c:v>
                </c:pt>
                <c:pt idx="13">
                  <c:v>43930.574975115742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Projections!$J$28:$AI$28</c15:sqref>
                  </c15:fullRef>
                </c:ext>
              </c:extLst>
              <c:f>Projections!$J$28:$AD$28</c:f>
              <c:numCache>
                <c:formatCode>#,##0_ ;[Red]\-#,##0\ </c:formatCode>
                <c:ptCount val="21"/>
                <c:pt idx="0">
                  <c:v>1.7731241401556967</c:v>
                </c:pt>
                <c:pt idx="1">
                  <c:v>2.0684008002650538</c:v>
                </c:pt>
                <c:pt idx="2">
                  <c:v>2.4128495989916625</c:v>
                </c:pt>
                <c:pt idx="3">
                  <c:v>2.8146591253533622</c:v>
                </c:pt>
                <c:pt idx="4">
                  <c:v>2.5651418798692269</c:v>
                </c:pt>
                <c:pt idx="5">
                  <c:v>4.3631536043325365</c:v>
                </c:pt>
                <c:pt idx="6">
                  <c:v>10.613496295089616</c:v>
                </c:pt>
                <c:pt idx="7">
                  <c:v>31.765624999999993</c:v>
                </c:pt>
                <c:pt idx="8">
                  <c:v>62.789062500000007</c:v>
                </c:pt>
                <c:pt idx="9">
                  <c:v>139.08593749999994</c:v>
                </c:pt>
                <c:pt idx="10">
                  <c:v>274.08577115571507</c:v>
                </c:pt>
                <c:pt idx="11">
                  <c:v>386.92772897925926</c:v>
                </c:pt>
                <c:pt idx="12">
                  <c:v>1044.7031250000005</c:v>
                </c:pt>
                <c:pt idx="13">
                  <c:v>3131.4966051328934</c:v>
                </c:pt>
                <c:pt idx="14">
                  <c:v>11051.15883246587</c:v>
                </c:pt>
                <c:pt idx="15">
                  <c:v>51435.022972362516</c:v>
                </c:pt>
                <c:pt idx="16">
                  <c:v>207593.60554917139</c:v>
                </c:pt>
                <c:pt idx="17">
                  <c:v>331499.39492985891</c:v>
                </c:pt>
                <c:pt idx="18">
                  <c:v>575986.05433270708</c:v>
                </c:pt>
                <c:pt idx="19">
                  <c:v>1046251.6985502951</c:v>
                </c:pt>
                <c:pt idx="20">
                  <c:v>1951021.0818230812</c:v>
                </c:pt>
              </c:numCache>
            </c:numRef>
          </c:val>
          <c:smooth val="0"/>
          <c:extLst>
            <c:ext xmlns:c16="http://schemas.microsoft.com/office/drawing/2014/chart" uri="{C3380CC4-5D6E-409C-BE32-E72D297353CC}">
              <c16:uniqueId val="{00000003-5231-4BE2-97ED-54F0C3DB105C}"/>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Projections!$J$29:$AI$29</c15:sqref>
                  </c15:fullRef>
                </c:ext>
              </c:extLst>
              <c:f>Projections!$J$29:$AD$29</c:f>
              <c:numCache>
                <c:formatCode>#,##0_ ;[Red]\-#,##0\ </c:formatCode>
                <c:ptCount val="21"/>
                <c:pt idx="0">
                  <c:v>1.7731241401556967</c:v>
                </c:pt>
                <c:pt idx="1">
                  <c:v>2.0684008002650538</c:v>
                </c:pt>
                <c:pt idx="2">
                  <c:v>2.4128495989916625</c:v>
                </c:pt>
                <c:pt idx="3">
                  <c:v>2.8146591253533622</c:v>
                </c:pt>
                <c:pt idx="4">
                  <c:v>2.5651418798692269</c:v>
                </c:pt>
                <c:pt idx="5">
                  <c:v>4.3631536043325365</c:v>
                </c:pt>
                <c:pt idx="6">
                  <c:v>10.613496295089616</c:v>
                </c:pt>
                <c:pt idx="7">
                  <c:v>31.765624999999993</c:v>
                </c:pt>
                <c:pt idx="8">
                  <c:v>62.789062500000007</c:v>
                </c:pt>
                <c:pt idx="9">
                  <c:v>139.08593749999994</c:v>
                </c:pt>
                <c:pt idx="10">
                  <c:v>274.08577115571507</c:v>
                </c:pt>
                <c:pt idx="11">
                  <c:v>386.92772897925926</c:v>
                </c:pt>
                <c:pt idx="12">
                  <c:v>1044.7031250000005</c:v>
                </c:pt>
                <c:pt idx="13">
                  <c:v>3131.4966051328934</c:v>
                </c:pt>
                <c:pt idx="14">
                  <c:v>11051.15883246587</c:v>
                </c:pt>
                <c:pt idx="15">
                  <c:v>51435.022972362516</c:v>
                </c:pt>
                <c:pt idx="16">
                  <c:v>182234.31826318579</c:v>
                </c:pt>
                <c:pt idx="17">
                  <c:v>139812.34097624416</c:v>
                </c:pt>
                <c:pt idx="18">
                  <c:v>325939.27462551038</c:v>
                </c:pt>
                <c:pt idx="19">
                  <c:v>515026.71856656077</c:v>
                </c:pt>
                <c:pt idx="20">
                  <c:v>1110092.8208376579</c:v>
                </c:pt>
              </c:numCache>
            </c:numRef>
          </c:val>
          <c:smooth val="0"/>
          <c:extLst>
            <c:ext xmlns:c16="http://schemas.microsoft.com/office/drawing/2014/chart" uri="{C3380CC4-5D6E-409C-BE32-E72D297353CC}">
              <c16:uniqueId val="{00000002-9381-4A4E-BB43-DCD8EC2F4E00}"/>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Projections!$J$30:$AI$30</c15:sqref>
                  </c15:fullRef>
                </c:ext>
              </c:extLst>
              <c:f>Projections!$J$30:$AD$30</c:f>
              <c:numCache>
                <c:formatCode>#,##0_ ;[Red]\-#,##0\ </c:formatCode>
                <c:ptCount val="21"/>
                <c:pt idx="0">
                  <c:v>0.27215800003487545</c:v>
                </c:pt>
                <c:pt idx="1">
                  <c:v>0.31748021039363988</c:v>
                </c:pt>
                <c:pt idx="2">
                  <c:v>0.37034988491491622</c:v>
                </c:pt>
                <c:pt idx="3">
                  <c:v>0.43202389555692244</c:v>
                </c:pt>
                <c:pt idx="4">
                  <c:v>0.50396841995794928</c:v>
                </c:pt>
                <c:pt idx="5">
                  <c:v>0.58789379691023957</c:v>
                </c:pt>
                <c:pt idx="6">
                  <c:v>0.68579518628245828</c:v>
                </c:pt>
                <c:pt idx="7">
                  <c:v>0.86404779111384478</c:v>
                </c:pt>
                <c:pt idx="8">
                  <c:v>1.1481983169296148</c:v>
                </c:pt>
                <c:pt idx="9">
                  <c:v>2.793025340813057</c:v>
                </c:pt>
                <c:pt idx="10">
                  <c:v>5.1781003088122191</c:v>
                </c:pt>
                <c:pt idx="11">
                  <c:v>11.560071809669832</c:v>
                </c:pt>
                <c:pt idx="12">
                  <c:v>36.601562499999986</c:v>
                </c:pt>
                <c:pt idx="13">
                  <c:v>74.062500000000014</c:v>
                </c:pt>
                <c:pt idx="14">
                  <c:v>378.73190370784857</c:v>
                </c:pt>
                <c:pt idx="15">
                  <c:v>2127.0703124999982</c:v>
                </c:pt>
                <c:pt idx="16">
                  <c:v>25449.232598485585</c:v>
                </c:pt>
                <c:pt idx="17">
                  <c:v>193415.61196496422</c:v>
                </c:pt>
                <c:pt idx="18">
                  <c:v>246603.4038102279</c:v>
                </c:pt>
                <c:pt idx="19">
                  <c:v>372243.84715736721</c:v>
                </c:pt>
                <c:pt idx="20">
                  <c:v>614109.68623013457</c:v>
                </c:pt>
              </c:numCache>
            </c:numRef>
          </c:val>
          <c:smooth val="0"/>
          <c:extLst>
            <c:ext xmlns:c16="http://schemas.microsoft.com/office/drawing/2014/chart" uri="{C3380CC4-5D6E-409C-BE32-E72D297353CC}">
              <c16:uniqueId val="{00000000-9381-4A4E-BB43-DCD8EC2F4E00}"/>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Projections!$J$31:$AI$31</c15:sqref>
                  </c15:fullRef>
                </c:ext>
              </c:extLst>
              <c:f>Projections!$J$31:$AD$31</c:f>
              <c:numCache>
                <c:formatCode>#,##0_ ;[Red]\-#,##0\ </c:formatCode>
                <c:ptCount val="21"/>
                <c:pt idx="0">
                  <c:v>0.27215800003487545</c:v>
                </c:pt>
                <c:pt idx="1">
                  <c:v>0.31748021039363988</c:v>
                </c:pt>
                <c:pt idx="2">
                  <c:v>0.37034988491491622</c:v>
                </c:pt>
                <c:pt idx="3">
                  <c:v>0.43202389555692244</c:v>
                </c:pt>
                <c:pt idx="4">
                  <c:v>0.50396841995794928</c:v>
                </c:pt>
                <c:pt idx="5">
                  <c:v>0.58789379691023957</c:v>
                </c:pt>
                <c:pt idx="6">
                  <c:v>0.68579518628245828</c:v>
                </c:pt>
                <c:pt idx="7">
                  <c:v>0.86404779111384478</c:v>
                </c:pt>
                <c:pt idx="8">
                  <c:v>1.1481983169296148</c:v>
                </c:pt>
                <c:pt idx="9">
                  <c:v>2.793025340813057</c:v>
                </c:pt>
                <c:pt idx="10">
                  <c:v>5.1781003088122191</c:v>
                </c:pt>
                <c:pt idx="11">
                  <c:v>11.560071809669832</c:v>
                </c:pt>
                <c:pt idx="12">
                  <c:v>36.601562499999986</c:v>
                </c:pt>
                <c:pt idx="13">
                  <c:v>74.062500000000014</c:v>
                </c:pt>
                <c:pt idx="14">
                  <c:v>378.73190370784857</c:v>
                </c:pt>
                <c:pt idx="15">
                  <c:v>2124.2772871591851</c:v>
                </c:pt>
                <c:pt idx="16">
                  <c:v>25313.021660985585</c:v>
                </c:pt>
                <c:pt idx="17">
                  <c:v>189379.63540246422</c:v>
                </c:pt>
                <c:pt idx="18">
                  <c:v>226734.15470719669</c:v>
                </c:pt>
                <c:pt idx="19">
                  <c:v>334254.72966696438</c:v>
                </c:pt>
                <c:pt idx="20">
                  <c:v>540239.52499043278</c:v>
                </c:pt>
              </c:numCache>
            </c:numRef>
          </c:val>
          <c:smooth val="0"/>
          <c:extLst>
            <c:ext xmlns:c16="http://schemas.microsoft.com/office/drawing/2014/chart" uri="{C3380CC4-5D6E-409C-BE32-E72D297353CC}">
              <c16:uniqueId val="{00000003-9381-4A4E-BB43-DCD8EC2F4E00}"/>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Projections!$J$32:$AI$32</c15:sqref>
                  </c15:fullRef>
                </c:ext>
              </c:extLst>
              <c:f>Projections!$J$32:$AD$32</c:f>
              <c:numCache>
                <c:formatCode>#,##0_ ;[Red]\-#,##0\ </c:formatCode>
                <c:ptCount val="21"/>
                <c:pt idx="0">
                  <c:v>0.43750000000000006</c:v>
                </c:pt>
                <c:pt idx="1">
                  <c:v>0.87500000000000011</c:v>
                </c:pt>
                <c:pt idx="2">
                  <c:v>1.7500000000000002</c:v>
                </c:pt>
                <c:pt idx="3">
                  <c:v>3.5000000000000004</c:v>
                </c:pt>
                <c:pt idx="4">
                  <c:v>7.0000000000000009</c:v>
                </c:pt>
                <c:pt idx="5">
                  <c:v>14.000000000000002</c:v>
                </c:pt>
                <c:pt idx="6">
                  <c:v>28.000000000000004</c:v>
                </c:pt>
                <c:pt idx="7">
                  <c:v>56.000000000000007</c:v>
                </c:pt>
                <c:pt idx="8">
                  <c:v>112.00000000000001</c:v>
                </c:pt>
                <c:pt idx="9">
                  <c:v>224.00000000000003</c:v>
                </c:pt>
                <c:pt idx="10">
                  <c:v>448.00000000000006</c:v>
                </c:pt>
                <c:pt idx="11">
                  <c:v>896.00000000000011</c:v>
                </c:pt>
                <c:pt idx="12">
                  <c:v>1792.0000000000002</c:v>
                </c:pt>
                <c:pt idx="13">
                  <c:v>3584.0000000000005</c:v>
                </c:pt>
                <c:pt idx="14">
                  <c:v>7168.0000000000009</c:v>
                </c:pt>
                <c:pt idx="15">
                  <c:v>14336.000000000002</c:v>
                </c:pt>
                <c:pt idx="16">
                  <c:v>28672.000000000004</c:v>
                </c:pt>
                <c:pt idx="17">
                  <c:v>57344.000000000007</c:v>
                </c:pt>
                <c:pt idx="18">
                  <c:v>114688.00000000001</c:v>
                </c:pt>
                <c:pt idx="19">
                  <c:v>229376.00000000003</c:v>
                </c:pt>
                <c:pt idx="20">
                  <c:v>458752.00000000006</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Projections!$J$49:$AI$49</c15:sqref>
                  </c15:fullRef>
                </c:ext>
              </c:extLst>
              <c:f>Projections!$J$49:$AD$49</c:f>
              <c:numCache>
                <c:formatCode>#,##0</c:formatCode>
                <c:ptCount val="21"/>
                <c:pt idx="0">
                  <c:v>0.36059845905751658</c:v>
                </c:pt>
                <c:pt idx="1">
                  <c:v>0.72119691811503317</c:v>
                </c:pt>
                <c:pt idx="2">
                  <c:v>1.4423938362300663</c:v>
                </c:pt>
                <c:pt idx="3">
                  <c:v>2.8847876724601327</c:v>
                </c:pt>
                <c:pt idx="4">
                  <c:v>5.7695753449202654</c:v>
                </c:pt>
                <c:pt idx="5">
                  <c:v>11.539150689840531</c:v>
                </c:pt>
                <c:pt idx="6">
                  <c:v>23.078301379681061</c:v>
                </c:pt>
                <c:pt idx="7">
                  <c:v>46.156602759362123</c:v>
                </c:pt>
                <c:pt idx="8">
                  <c:v>92.313205518724246</c:v>
                </c:pt>
                <c:pt idx="9">
                  <c:v>184.62641103744849</c:v>
                </c:pt>
                <c:pt idx="10">
                  <c:v>369.25282207489698</c:v>
                </c:pt>
                <c:pt idx="11">
                  <c:v>738.50564414979397</c:v>
                </c:pt>
                <c:pt idx="12">
                  <c:v>1477.0112882995879</c:v>
                </c:pt>
                <c:pt idx="13">
                  <c:v>2954.0225765991759</c:v>
                </c:pt>
                <c:pt idx="14">
                  <c:v>5908.0451531983517</c:v>
                </c:pt>
                <c:pt idx="15">
                  <c:v>11816.090306396703</c:v>
                </c:pt>
                <c:pt idx="16">
                  <c:v>23632.180612793407</c:v>
                </c:pt>
                <c:pt idx="17">
                  <c:v>47264.361225586814</c:v>
                </c:pt>
                <c:pt idx="18">
                  <c:v>94528.722451173628</c:v>
                </c:pt>
                <c:pt idx="19">
                  <c:v>189057.44490234726</c:v>
                </c:pt>
                <c:pt idx="20">
                  <c:v>378114.88980469451</c:v>
                </c:pt>
              </c:numCache>
            </c:numRef>
          </c:val>
          <c:smooth val="0"/>
          <c:extLst>
            <c:ext xmlns:c16="http://schemas.microsoft.com/office/drawing/2014/chart" uri="{C3380CC4-5D6E-409C-BE32-E72D297353CC}">
              <c16:uniqueId val="{00000000-04B6-450D-AD81-6BF382C059D1}"/>
            </c:ext>
          </c:extLst>
        </c:ser>
        <c:ser>
          <c:idx val="2"/>
          <c:order val="1"/>
          <c:tx>
            <c:strRef>
              <c:f>Projections!$A$51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Projections!$J$51:$AI$51</c15:sqref>
                  </c15:fullRef>
                </c:ext>
              </c:extLst>
              <c:f>Projections!$J$51:$AD$51</c:f>
              <c:numCache>
                <c:formatCode>#,##0</c:formatCode>
                <c:ptCount val="21"/>
                <c:pt idx="0">
                  <c:v>1.3326464791256047</c:v>
                </c:pt>
                <c:pt idx="1">
                  <c:v>2.6652929582512095</c:v>
                </c:pt>
                <c:pt idx="2">
                  <c:v>5.330585916502419</c:v>
                </c:pt>
                <c:pt idx="3">
                  <c:v>10.661171833004838</c:v>
                </c:pt>
                <c:pt idx="4">
                  <c:v>21.322343666009676</c:v>
                </c:pt>
                <c:pt idx="5">
                  <c:v>42.644687332019352</c:v>
                </c:pt>
                <c:pt idx="6">
                  <c:v>85.289374664038704</c:v>
                </c:pt>
                <c:pt idx="7">
                  <c:v>170.57874932807741</c:v>
                </c:pt>
                <c:pt idx="8">
                  <c:v>341.15749865615481</c:v>
                </c:pt>
                <c:pt idx="9">
                  <c:v>682.31499731230963</c:v>
                </c:pt>
                <c:pt idx="10">
                  <c:v>1364.6299946246193</c:v>
                </c:pt>
                <c:pt idx="11">
                  <c:v>2729.2599892492385</c:v>
                </c:pt>
                <c:pt idx="12">
                  <c:v>5458.519978498477</c:v>
                </c:pt>
                <c:pt idx="13">
                  <c:v>10917.039956996954</c:v>
                </c:pt>
                <c:pt idx="14">
                  <c:v>21834.079913993908</c:v>
                </c:pt>
                <c:pt idx="15">
                  <c:v>43668.159827987816</c:v>
                </c:pt>
                <c:pt idx="16">
                  <c:v>87336.319655975632</c:v>
                </c:pt>
                <c:pt idx="17">
                  <c:v>174672.63931195126</c:v>
                </c:pt>
                <c:pt idx="18">
                  <c:v>349345.27862390253</c:v>
                </c:pt>
                <c:pt idx="19">
                  <c:v>698690.55724780506</c:v>
                </c:pt>
                <c:pt idx="20">
                  <c:v>1397381.1144956101</c:v>
                </c:pt>
              </c:numCache>
            </c:numRef>
          </c:val>
          <c:smooth val="0"/>
          <c:extLst>
            <c:ext xmlns:c16="http://schemas.microsoft.com/office/drawing/2014/chart" uri="{C3380CC4-5D6E-409C-BE32-E72D297353CC}">
              <c16:uniqueId val="{00000002-04B6-450D-AD81-6BF382C059D1}"/>
            </c:ext>
          </c:extLst>
        </c:ser>
        <c:ser>
          <c:idx val="4"/>
          <c:order val="2"/>
          <c:tx>
            <c:strRef>
              <c:f>Projections!$A$53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Projections!$J$53:$AI$53</c15:sqref>
                  </c15:fullRef>
                </c:ext>
              </c:extLst>
              <c:f>Projections!$J$53:$AD$53</c:f>
              <c:numCache>
                <c:formatCode>#,##0</c:formatCode>
                <c:ptCount val="21"/>
                <c:pt idx="0">
                  <c:v>2.0919190109299408</c:v>
                </c:pt>
                <c:pt idx="1">
                  <c:v>4.1838380218598816</c:v>
                </c:pt>
                <c:pt idx="2">
                  <c:v>8.3676760437197633</c:v>
                </c:pt>
                <c:pt idx="3">
                  <c:v>16.735352087439527</c:v>
                </c:pt>
                <c:pt idx="4">
                  <c:v>33.470704174879053</c:v>
                </c:pt>
                <c:pt idx="5">
                  <c:v>66.941408349758106</c:v>
                </c:pt>
                <c:pt idx="6">
                  <c:v>133.88281669951621</c:v>
                </c:pt>
                <c:pt idx="7">
                  <c:v>267.76563339903242</c:v>
                </c:pt>
                <c:pt idx="8">
                  <c:v>535.53126679806485</c:v>
                </c:pt>
                <c:pt idx="9">
                  <c:v>1071.0625335961297</c:v>
                </c:pt>
                <c:pt idx="10">
                  <c:v>2142.1250671922594</c:v>
                </c:pt>
                <c:pt idx="11">
                  <c:v>4284.2501343845188</c:v>
                </c:pt>
                <c:pt idx="12">
                  <c:v>8568.5002687690376</c:v>
                </c:pt>
                <c:pt idx="13">
                  <c:v>17137.000537538075</c:v>
                </c:pt>
                <c:pt idx="14">
                  <c:v>34274.00107507615</c:v>
                </c:pt>
                <c:pt idx="15">
                  <c:v>68548.002150152301</c:v>
                </c:pt>
                <c:pt idx="16">
                  <c:v>137096.0043003046</c:v>
                </c:pt>
                <c:pt idx="17">
                  <c:v>274192.0086006092</c:v>
                </c:pt>
                <c:pt idx="18">
                  <c:v>548384.0172012184</c:v>
                </c:pt>
                <c:pt idx="19">
                  <c:v>1096768.0344024368</c:v>
                </c:pt>
                <c:pt idx="20">
                  <c:v>2193536.0688048736</c:v>
                </c:pt>
              </c:numCache>
            </c:numRef>
          </c:val>
          <c:smooth val="0"/>
          <c:extLst>
            <c:ext xmlns:c16="http://schemas.microsoft.com/office/drawing/2014/chart" uri="{C3380CC4-5D6E-409C-BE32-E72D297353CC}">
              <c16:uniqueId val="{00000004-04B6-450D-AD81-6BF382C059D1}"/>
            </c:ext>
          </c:extLst>
        </c:ser>
        <c:ser>
          <c:idx val="6"/>
          <c:order val="3"/>
          <c:tx>
            <c:strRef>
              <c:f>Projections!$A$55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Projections!$J$55:$AI$55</c15:sqref>
                  </c15:fullRef>
                </c:ext>
              </c:extLst>
              <c:f>Projections!$J$55:$AD$55</c:f>
              <c:numCache>
                <c:formatCode>#,##0</c:formatCode>
                <c:ptCount val="21"/>
                <c:pt idx="0">
                  <c:v>1.9418562981544527</c:v>
                </c:pt>
                <c:pt idx="1">
                  <c:v>3.8837125963089054</c:v>
                </c:pt>
                <c:pt idx="2">
                  <c:v>7.7674251926178108</c:v>
                </c:pt>
                <c:pt idx="3">
                  <c:v>15.534850385235622</c:v>
                </c:pt>
                <c:pt idx="4">
                  <c:v>31.069700770471243</c:v>
                </c:pt>
                <c:pt idx="5">
                  <c:v>62.139401540942487</c:v>
                </c:pt>
                <c:pt idx="6">
                  <c:v>124.27880308188497</c:v>
                </c:pt>
                <c:pt idx="7">
                  <c:v>248.55760616376995</c:v>
                </c:pt>
                <c:pt idx="8">
                  <c:v>497.11521232753989</c:v>
                </c:pt>
                <c:pt idx="9">
                  <c:v>994.23042465507979</c:v>
                </c:pt>
                <c:pt idx="10">
                  <c:v>1988.4608493101596</c:v>
                </c:pt>
                <c:pt idx="11">
                  <c:v>3976.9216986203191</c:v>
                </c:pt>
                <c:pt idx="12">
                  <c:v>7953.8433972406383</c:v>
                </c:pt>
                <c:pt idx="13">
                  <c:v>15907.686794481277</c:v>
                </c:pt>
                <c:pt idx="14">
                  <c:v>31815.373588962553</c:v>
                </c:pt>
                <c:pt idx="15">
                  <c:v>63630.747177925106</c:v>
                </c:pt>
                <c:pt idx="16">
                  <c:v>127261.49435585021</c:v>
                </c:pt>
                <c:pt idx="17">
                  <c:v>254522.98871170043</c:v>
                </c:pt>
                <c:pt idx="18">
                  <c:v>509045.97742340085</c:v>
                </c:pt>
                <c:pt idx="19">
                  <c:v>1018091.9548468017</c:v>
                </c:pt>
                <c:pt idx="20">
                  <c:v>2036183.9096936034</c:v>
                </c:pt>
              </c:numCache>
            </c:numRef>
          </c:val>
          <c:smooth val="0"/>
          <c:extLst>
            <c:ext xmlns:c16="http://schemas.microsoft.com/office/drawing/2014/chart" uri="{C3380CC4-5D6E-409C-BE32-E72D297353CC}">
              <c16:uniqueId val="{00000006-04B6-450D-AD81-6BF382C059D1}"/>
            </c:ext>
          </c:extLst>
        </c:ser>
        <c:ser>
          <c:idx val="8"/>
          <c:order val="4"/>
          <c:tx>
            <c:strRef>
              <c:f>Projections!$A$57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Projections!$J$57:$AI$57</c15:sqref>
                  </c15:fullRef>
                </c:ext>
              </c:extLst>
              <c:f>Projections!$J$57:$AD$57</c:f>
              <c:numCache>
                <c:formatCode>#,##0</c:formatCode>
                <c:ptCount val="21"/>
                <c:pt idx="0">
                  <c:v>1.6215731947679626</c:v>
                </c:pt>
                <c:pt idx="1">
                  <c:v>3.2431463895359252</c:v>
                </c:pt>
                <c:pt idx="2">
                  <c:v>6.4862927790718503</c:v>
                </c:pt>
                <c:pt idx="3">
                  <c:v>12.972585558143701</c:v>
                </c:pt>
                <c:pt idx="4">
                  <c:v>25.945171116287401</c:v>
                </c:pt>
                <c:pt idx="5">
                  <c:v>51.890342232574802</c:v>
                </c:pt>
                <c:pt idx="6">
                  <c:v>103.7806844651496</c:v>
                </c:pt>
                <c:pt idx="7">
                  <c:v>207.56136893029921</c:v>
                </c:pt>
                <c:pt idx="8">
                  <c:v>415.12273786059842</c:v>
                </c:pt>
                <c:pt idx="9">
                  <c:v>830.24547572119684</c:v>
                </c:pt>
                <c:pt idx="10">
                  <c:v>1660.4909514423937</c:v>
                </c:pt>
                <c:pt idx="11">
                  <c:v>3320.9819028847874</c:v>
                </c:pt>
                <c:pt idx="12">
                  <c:v>6641.9638057695747</c:v>
                </c:pt>
                <c:pt idx="13">
                  <c:v>13283.927611539149</c:v>
                </c:pt>
                <c:pt idx="14">
                  <c:v>26567.855223078299</c:v>
                </c:pt>
                <c:pt idx="15">
                  <c:v>53135.710446156598</c:v>
                </c:pt>
                <c:pt idx="16">
                  <c:v>106271.4208923132</c:v>
                </c:pt>
                <c:pt idx="17">
                  <c:v>212542.84178462639</c:v>
                </c:pt>
                <c:pt idx="18">
                  <c:v>425085.68356925278</c:v>
                </c:pt>
                <c:pt idx="19">
                  <c:v>850171.36713850556</c:v>
                </c:pt>
                <c:pt idx="20">
                  <c:v>1700342.7342770111</c:v>
                </c:pt>
              </c:numCache>
            </c:numRef>
          </c:val>
          <c:smooth val="0"/>
          <c:extLst>
            <c:ext xmlns:c16="http://schemas.microsoft.com/office/drawing/2014/chart" uri="{C3380CC4-5D6E-409C-BE32-E72D297353CC}">
              <c16:uniqueId val="{00000008-04B6-450D-AD81-6BF382C059D1}"/>
            </c:ext>
          </c:extLst>
        </c:ser>
        <c:ser>
          <c:idx val="10"/>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Projections!$J$59:$AI$59</c15:sqref>
                  </c15:fullRef>
                </c:ext>
              </c:extLst>
              <c:f>Projections!$J$59:$AD$59</c:f>
              <c:numCache>
                <c:formatCode>#,##0</c:formatCode>
                <c:ptCount val="21"/>
                <c:pt idx="0">
                  <c:v>1.9664934599534132</c:v>
                </c:pt>
                <c:pt idx="1">
                  <c:v>3.9329869199068264</c:v>
                </c:pt>
                <c:pt idx="2">
                  <c:v>7.8659738398136527</c:v>
                </c:pt>
                <c:pt idx="3">
                  <c:v>15.731947679627305</c:v>
                </c:pt>
                <c:pt idx="4">
                  <c:v>31.463895359254611</c:v>
                </c:pt>
                <c:pt idx="5">
                  <c:v>62.927790718509222</c:v>
                </c:pt>
                <c:pt idx="6">
                  <c:v>125.85558143701844</c:v>
                </c:pt>
                <c:pt idx="7">
                  <c:v>251.71116287403689</c:v>
                </c:pt>
                <c:pt idx="8">
                  <c:v>503.42232574807377</c:v>
                </c:pt>
                <c:pt idx="9">
                  <c:v>1006.8446514961475</c:v>
                </c:pt>
                <c:pt idx="10">
                  <c:v>2013.6893029922951</c:v>
                </c:pt>
                <c:pt idx="11">
                  <c:v>4027.3786059845902</c:v>
                </c:pt>
                <c:pt idx="12">
                  <c:v>8054.7572119691804</c:v>
                </c:pt>
                <c:pt idx="13">
                  <c:v>16109.514423938361</c:v>
                </c:pt>
                <c:pt idx="14">
                  <c:v>32219.028847876722</c:v>
                </c:pt>
                <c:pt idx="15">
                  <c:v>64438.057695753443</c:v>
                </c:pt>
                <c:pt idx="16">
                  <c:v>128876.11539150689</c:v>
                </c:pt>
                <c:pt idx="17">
                  <c:v>257752.23078301377</c:v>
                </c:pt>
                <c:pt idx="18">
                  <c:v>515504.46156602754</c:v>
                </c:pt>
                <c:pt idx="19">
                  <c:v>1031008.9231320551</c:v>
                </c:pt>
                <c:pt idx="20">
                  <c:v>2062017.8462641102</c:v>
                </c:pt>
              </c:numCache>
            </c:numRef>
          </c:val>
          <c:smooth val="0"/>
          <c:extLst>
            <c:ext xmlns:c16="http://schemas.microsoft.com/office/drawing/2014/chart" uri="{C3380CC4-5D6E-409C-BE32-E72D297353CC}">
              <c16:uniqueId val="{0000000A-04B6-450D-AD81-6BF382C059D1}"/>
            </c:ext>
          </c:extLst>
        </c:ser>
        <c:ser>
          <c:idx val="12"/>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Projections!$J$61:$AI$61</c15:sqref>
                  </c15:fullRef>
                </c:ext>
              </c:extLst>
              <c:f>Projections!$J$61:$AD$61</c:f>
              <c:numCache>
                <c:formatCode>#,##0</c:formatCode>
                <c:ptCount val="21"/>
                <c:pt idx="0">
                  <c:v>2.7011288299587886</c:v>
                </c:pt>
                <c:pt idx="1">
                  <c:v>5.4022576599175771</c:v>
                </c:pt>
                <c:pt idx="2">
                  <c:v>10.804515319835154</c:v>
                </c:pt>
                <c:pt idx="3">
                  <c:v>21.609030639670308</c:v>
                </c:pt>
                <c:pt idx="4">
                  <c:v>43.218061279340617</c:v>
                </c:pt>
                <c:pt idx="5">
                  <c:v>86.436122558681234</c:v>
                </c:pt>
                <c:pt idx="6">
                  <c:v>172.87224511736247</c:v>
                </c:pt>
                <c:pt idx="7">
                  <c:v>345.74449023472494</c:v>
                </c:pt>
                <c:pt idx="8">
                  <c:v>691.48898046944987</c:v>
                </c:pt>
                <c:pt idx="9">
                  <c:v>1382.9779609388997</c:v>
                </c:pt>
                <c:pt idx="10">
                  <c:v>2765.9559218777995</c:v>
                </c:pt>
                <c:pt idx="11">
                  <c:v>5531.911843755599</c:v>
                </c:pt>
                <c:pt idx="12">
                  <c:v>11063.823687511198</c:v>
                </c:pt>
                <c:pt idx="13">
                  <c:v>22127.647375022396</c:v>
                </c:pt>
                <c:pt idx="14">
                  <c:v>44255.294750044792</c:v>
                </c:pt>
                <c:pt idx="15">
                  <c:v>88510.589500089583</c:v>
                </c:pt>
                <c:pt idx="16">
                  <c:v>177021.17900017917</c:v>
                </c:pt>
                <c:pt idx="17">
                  <c:v>354042.35800035833</c:v>
                </c:pt>
                <c:pt idx="18">
                  <c:v>708084.71600071667</c:v>
                </c:pt>
                <c:pt idx="19">
                  <c:v>1416169.4320014333</c:v>
                </c:pt>
                <c:pt idx="20">
                  <c:v>2832338.8640028667</c:v>
                </c:pt>
              </c:numCache>
            </c:numRef>
          </c:val>
          <c:smooth val="0"/>
          <c:extLst>
            <c:ext xmlns:c16="http://schemas.microsoft.com/office/drawing/2014/chart" uri="{C3380CC4-5D6E-409C-BE32-E72D297353CC}">
              <c16:uniqueId val="{0000000C-04B6-450D-AD81-6BF382C059D1}"/>
            </c:ext>
          </c:extLst>
        </c:ser>
        <c:ser>
          <c:idx val="14"/>
          <c:order val="7"/>
          <c:tx>
            <c:strRef>
              <c:f>Projections!$A$63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Projections!$J$63:$AI$63</c15:sqref>
                  </c15:fullRef>
                </c:ext>
              </c:extLst>
              <c:f>Projections!$J$63:$AD$63</c:f>
              <c:numCache>
                <c:formatCode>#,##0</c:formatCode>
                <c:ptCount val="21"/>
                <c:pt idx="0">
                  <c:v>0.36059845905751658</c:v>
                </c:pt>
                <c:pt idx="1">
                  <c:v>0.72119691811503317</c:v>
                </c:pt>
                <c:pt idx="2">
                  <c:v>1.4423938362300663</c:v>
                </c:pt>
                <c:pt idx="3">
                  <c:v>2.8847876724601327</c:v>
                </c:pt>
                <c:pt idx="4">
                  <c:v>5.7695753449202654</c:v>
                </c:pt>
                <c:pt idx="5">
                  <c:v>11.539150689840531</c:v>
                </c:pt>
                <c:pt idx="6">
                  <c:v>23.078301379681061</c:v>
                </c:pt>
                <c:pt idx="7">
                  <c:v>46.156602759362123</c:v>
                </c:pt>
                <c:pt idx="8">
                  <c:v>92.313205518724246</c:v>
                </c:pt>
                <c:pt idx="9">
                  <c:v>184.62641103744849</c:v>
                </c:pt>
                <c:pt idx="10">
                  <c:v>369.25282207489698</c:v>
                </c:pt>
                <c:pt idx="11">
                  <c:v>738.50564414979397</c:v>
                </c:pt>
                <c:pt idx="12">
                  <c:v>1477.0112882995879</c:v>
                </c:pt>
                <c:pt idx="13">
                  <c:v>2954.0225765991759</c:v>
                </c:pt>
                <c:pt idx="14">
                  <c:v>5908.0451531983517</c:v>
                </c:pt>
                <c:pt idx="15">
                  <c:v>11816.090306396703</c:v>
                </c:pt>
                <c:pt idx="16">
                  <c:v>23632.180612793407</c:v>
                </c:pt>
                <c:pt idx="17">
                  <c:v>47264.361225586814</c:v>
                </c:pt>
                <c:pt idx="18">
                  <c:v>94528.722451173628</c:v>
                </c:pt>
                <c:pt idx="19">
                  <c:v>189057.44490234726</c:v>
                </c:pt>
                <c:pt idx="20">
                  <c:v>378114.88980469451</c:v>
                </c:pt>
              </c:numCache>
            </c:numRef>
          </c:val>
          <c:smooth val="0"/>
          <c:extLst>
            <c:ext xmlns:c16="http://schemas.microsoft.com/office/drawing/2014/chart" uri="{C3380CC4-5D6E-409C-BE32-E72D297353CC}">
              <c16:uniqueId val="{0000000E-04B6-450D-AD81-6BF382C059D1}"/>
            </c:ext>
          </c:extLst>
        </c:ser>
        <c:ser>
          <c:idx val="16"/>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Projections!$J$65:$AI$65</c15:sqref>
                  </c15:fullRef>
                </c:ext>
              </c:extLst>
              <c:f>Projections!$J$65:$AD$65</c:f>
              <c:numCache>
                <c:formatCode>#,##0</c:formatCode>
                <c:ptCount val="21"/>
                <c:pt idx="0">
                  <c:v>0.12318580899480379</c:v>
                </c:pt>
                <c:pt idx="1">
                  <c:v>0.24637161798960758</c:v>
                </c:pt>
                <c:pt idx="2">
                  <c:v>0.49274323597921516</c:v>
                </c:pt>
                <c:pt idx="3">
                  <c:v>0.98548647195843031</c:v>
                </c:pt>
                <c:pt idx="4">
                  <c:v>1.9709729439168606</c:v>
                </c:pt>
                <c:pt idx="5">
                  <c:v>3.9419458878337212</c:v>
                </c:pt>
                <c:pt idx="6">
                  <c:v>7.8838917756674425</c:v>
                </c:pt>
                <c:pt idx="7">
                  <c:v>15.767783551334885</c:v>
                </c:pt>
                <c:pt idx="8">
                  <c:v>31.53556710266977</c:v>
                </c:pt>
                <c:pt idx="9">
                  <c:v>63.07113420533954</c:v>
                </c:pt>
                <c:pt idx="10">
                  <c:v>126.14226841067908</c:v>
                </c:pt>
                <c:pt idx="11">
                  <c:v>252.28453682135816</c:v>
                </c:pt>
                <c:pt idx="12">
                  <c:v>504.56907364271632</c:v>
                </c:pt>
                <c:pt idx="13">
                  <c:v>1009.1381472854326</c:v>
                </c:pt>
                <c:pt idx="14">
                  <c:v>2018.2762945708653</c:v>
                </c:pt>
                <c:pt idx="15">
                  <c:v>4036.5525891417306</c:v>
                </c:pt>
                <c:pt idx="16">
                  <c:v>8073.1051782834611</c:v>
                </c:pt>
                <c:pt idx="17">
                  <c:v>16146.210356566922</c:v>
                </c:pt>
                <c:pt idx="18">
                  <c:v>32292.420713133844</c:v>
                </c:pt>
                <c:pt idx="19">
                  <c:v>64584.841426267689</c:v>
                </c:pt>
                <c:pt idx="20">
                  <c:v>129169.68285253538</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Projections!$J$50:$AI$50</c15:sqref>
                  </c15:fullRef>
                </c:ext>
              </c:extLst>
              <c:f>Projections!$J$50:$AD$50</c:f>
              <c:numCache>
                <c:formatCode>#,##0</c:formatCode>
                <c:ptCount val="21"/>
                <c:pt idx="0">
                  <c:v>5.3368571940512449E-2</c:v>
                </c:pt>
                <c:pt idx="1">
                  <c:v>0.1067371438810249</c:v>
                </c:pt>
                <c:pt idx="2">
                  <c:v>0.2134742877620498</c:v>
                </c:pt>
                <c:pt idx="3">
                  <c:v>0.42694857552409959</c:v>
                </c:pt>
                <c:pt idx="4">
                  <c:v>0.85389715104819919</c:v>
                </c:pt>
                <c:pt idx="5">
                  <c:v>1.7077943020963984</c:v>
                </c:pt>
                <c:pt idx="6">
                  <c:v>3.4155886041927968</c:v>
                </c:pt>
                <c:pt idx="7">
                  <c:v>6.8311772083855935</c:v>
                </c:pt>
                <c:pt idx="8">
                  <c:v>13.662354416771187</c:v>
                </c:pt>
                <c:pt idx="9">
                  <c:v>27.324708833542374</c:v>
                </c:pt>
                <c:pt idx="10">
                  <c:v>54.649417667084748</c:v>
                </c:pt>
                <c:pt idx="11">
                  <c:v>109.2988353341695</c:v>
                </c:pt>
                <c:pt idx="12">
                  <c:v>218.59767066833899</c:v>
                </c:pt>
                <c:pt idx="13">
                  <c:v>437.19534133667798</c:v>
                </c:pt>
                <c:pt idx="14">
                  <c:v>874.39068267335597</c:v>
                </c:pt>
                <c:pt idx="15">
                  <c:v>1748.7813653467119</c:v>
                </c:pt>
                <c:pt idx="16">
                  <c:v>3497.5627306934239</c:v>
                </c:pt>
                <c:pt idx="17">
                  <c:v>6995.1254613868477</c:v>
                </c:pt>
                <c:pt idx="18">
                  <c:v>13990.250922773695</c:v>
                </c:pt>
                <c:pt idx="19">
                  <c:v>27980.501845547391</c:v>
                </c:pt>
                <c:pt idx="20">
                  <c:v>55961.003691094782</c:v>
                </c:pt>
              </c:numCache>
            </c:numRef>
          </c:val>
          <c:smooth val="0"/>
          <c:extLst>
            <c:ext xmlns:c16="http://schemas.microsoft.com/office/drawing/2014/chart" uri="{C3380CC4-5D6E-409C-BE32-E72D297353CC}">
              <c16:uniqueId val="{00000001-EBAD-48A5-9277-83F388186C0C}"/>
            </c:ext>
          </c:extLst>
        </c:ser>
        <c:ser>
          <c:idx val="3"/>
          <c:order val="1"/>
          <c:tx>
            <c:strRef>
              <c:f>Projections!$A$51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Projections!$J$52:$AI$52</c15:sqref>
                  </c15:fullRef>
                </c:ext>
              </c:extLst>
              <c:f>Projections!$J$52:$AD$52</c:f>
              <c:numCache>
                <c:formatCode>#,##0</c:formatCode>
                <c:ptCount val="21"/>
                <c:pt idx="0">
                  <c:v>0.10661171833004839</c:v>
                </c:pt>
                <c:pt idx="1">
                  <c:v>0.21322343666009677</c:v>
                </c:pt>
                <c:pt idx="2">
                  <c:v>0.42644687332019354</c:v>
                </c:pt>
                <c:pt idx="3">
                  <c:v>0.85289374664038708</c:v>
                </c:pt>
                <c:pt idx="4">
                  <c:v>1.7057874932807742</c:v>
                </c:pt>
                <c:pt idx="5">
                  <c:v>3.4115749865615483</c:v>
                </c:pt>
                <c:pt idx="6">
                  <c:v>6.8231499731230967</c:v>
                </c:pt>
                <c:pt idx="7">
                  <c:v>13.646299946246193</c:v>
                </c:pt>
                <c:pt idx="8">
                  <c:v>27.292599892492387</c:v>
                </c:pt>
                <c:pt idx="9">
                  <c:v>54.585199784984773</c:v>
                </c:pt>
                <c:pt idx="10">
                  <c:v>109.17039956996955</c:v>
                </c:pt>
                <c:pt idx="11">
                  <c:v>218.34079913993909</c:v>
                </c:pt>
                <c:pt idx="12">
                  <c:v>436.68159827987819</c:v>
                </c:pt>
                <c:pt idx="13">
                  <c:v>873.36319655975637</c:v>
                </c:pt>
                <c:pt idx="14">
                  <c:v>1746.7263931195127</c:v>
                </c:pt>
                <c:pt idx="15">
                  <c:v>3493.4527862390255</c:v>
                </c:pt>
                <c:pt idx="16">
                  <c:v>6986.905572478051</c:v>
                </c:pt>
                <c:pt idx="17">
                  <c:v>13973.811144956102</c:v>
                </c:pt>
                <c:pt idx="18">
                  <c:v>27947.622289912204</c:v>
                </c:pt>
                <c:pt idx="19">
                  <c:v>55895.244579824408</c:v>
                </c:pt>
                <c:pt idx="20">
                  <c:v>111790.48915964882</c:v>
                </c:pt>
              </c:numCache>
            </c:numRef>
          </c:val>
          <c:smooth val="0"/>
          <c:extLst>
            <c:ext xmlns:c16="http://schemas.microsoft.com/office/drawing/2014/chart" uri="{C3380CC4-5D6E-409C-BE32-E72D297353CC}">
              <c16:uniqueId val="{00000003-EBAD-48A5-9277-83F388186C0C}"/>
            </c:ext>
          </c:extLst>
        </c:ser>
        <c:ser>
          <c:idx val="5"/>
          <c:order val="2"/>
          <c:tx>
            <c:strRef>
              <c:f>Projections!$A$53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Projections!$J$54:$AI$54</c15:sqref>
                  </c15:fullRef>
                </c:ext>
              </c:extLst>
              <c:f>Projections!$J$54:$AD$54</c:f>
              <c:numCache>
                <c:formatCode>#,##0</c:formatCode>
                <c:ptCount val="21"/>
                <c:pt idx="0">
                  <c:v>7.530908439347786E-2</c:v>
                </c:pt>
                <c:pt idx="1">
                  <c:v>0.15061816878695572</c:v>
                </c:pt>
                <c:pt idx="2">
                  <c:v>0.30123633757391144</c:v>
                </c:pt>
                <c:pt idx="3">
                  <c:v>0.60247267514782288</c:v>
                </c:pt>
                <c:pt idx="4">
                  <c:v>1.2049453502956458</c:v>
                </c:pt>
                <c:pt idx="5">
                  <c:v>2.4098907005912915</c:v>
                </c:pt>
                <c:pt idx="6">
                  <c:v>4.819781401182583</c:v>
                </c:pt>
                <c:pt idx="7">
                  <c:v>9.639562802365166</c:v>
                </c:pt>
                <c:pt idx="8">
                  <c:v>19.279125604730332</c:v>
                </c:pt>
                <c:pt idx="9">
                  <c:v>38.558251209460664</c:v>
                </c:pt>
                <c:pt idx="10">
                  <c:v>77.116502418921328</c:v>
                </c:pt>
                <c:pt idx="11">
                  <c:v>154.23300483784266</c:v>
                </c:pt>
                <c:pt idx="12">
                  <c:v>308.46600967568531</c:v>
                </c:pt>
                <c:pt idx="13">
                  <c:v>616.93201935137063</c:v>
                </c:pt>
                <c:pt idx="14">
                  <c:v>1233.8640387027413</c:v>
                </c:pt>
                <c:pt idx="15">
                  <c:v>2467.7280774054825</c:v>
                </c:pt>
                <c:pt idx="16">
                  <c:v>4935.456154810965</c:v>
                </c:pt>
                <c:pt idx="17">
                  <c:v>9870.91230962193</c:v>
                </c:pt>
                <c:pt idx="18">
                  <c:v>19741.82461924386</c:v>
                </c:pt>
                <c:pt idx="19">
                  <c:v>39483.64923848772</c:v>
                </c:pt>
                <c:pt idx="20">
                  <c:v>78967.29847697544</c:v>
                </c:pt>
              </c:numCache>
            </c:numRef>
          </c:val>
          <c:smooth val="0"/>
          <c:extLst>
            <c:ext xmlns:c16="http://schemas.microsoft.com/office/drawing/2014/chart" uri="{C3380CC4-5D6E-409C-BE32-E72D297353CC}">
              <c16:uniqueId val="{00000005-EBAD-48A5-9277-83F388186C0C}"/>
            </c:ext>
          </c:extLst>
        </c:ser>
        <c:ser>
          <c:idx val="7"/>
          <c:order val="3"/>
          <c:tx>
            <c:strRef>
              <c:f>Projections!$A$55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Projections!$J$56:$AI$56</c15:sqref>
                  </c15:fullRef>
                </c:ext>
              </c:extLst>
              <c:f>Projections!$J$56:$AD$56</c:f>
              <c:numCache>
                <c:formatCode>#,##0</c:formatCode>
                <c:ptCount val="21"/>
                <c:pt idx="0">
                  <c:v>2.5244131876007884E-2</c:v>
                </c:pt>
                <c:pt idx="1">
                  <c:v>5.0488263752015768E-2</c:v>
                </c:pt>
                <c:pt idx="2">
                  <c:v>0.10097652750403154</c:v>
                </c:pt>
                <c:pt idx="3">
                  <c:v>0.20195305500806307</c:v>
                </c:pt>
                <c:pt idx="4">
                  <c:v>0.40390611001612614</c:v>
                </c:pt>
                <c:pt idx="5">
                  <c:v>0.80781222003225228</c:v>
                </c:pt>
                <c:pt idx="6">
                  <c:v>1.6156244400645046</c:v>
                </c:pt>
                <c:pt idx="7">
                  <c:v>3.2312488801290091</c:v>
                </c:pt>
                <c:pt idx="8">
                  <c:v>6.4624977602580183</c:v>
                </c:pt>
                <c:pt idx="9">
                  <c:v>12.924995520516037</c:v>
                </c:pt>
                <c:pt idx="10">
                  <c:v>25.849991041032073</c:v>
                </c:pt>
                <c:pt idx="11">
                  <c:v>51.699982082064146</c:v>
                </c:pt>
                <c:pt idx="12">
                  <c:v>103.39996416412829</c:v>
                </c:pt>
                <c:pt idx="13">
                  <c:v>206.79992832825658</c:v>
                </c:pt>
                <c:pt idx="14">
                  <c:v>413.59985665651317</c:v>
                </c:pt>
                <c:pt idx="15">
                  <c:v>827.19971331302634</c:v>
                </c:pt>
                <c:pt idx="16">
                  <c:v>1654.3994266260527</c:v>
                </c:pt>
                <c:pt idx="17">
                  <c:v>3308.7988532521053</c:v>
                </c:pt>
                <c:pt idx="18">
                  <c:v>6617.5977065042107</c:v>
                </c:pt>
                <c:pt idx="19">
                  <c:v>13235.195413008421</c:v>
                </c:pt>
                <c:pt idx="20">
                  <c:v>26470.390826016843</c:v>
                </c:pt>
              </c:numCache>
            </c:numRef>
          </c:val>
          <c:smooth val="0"/>
          <c:extLst>
            <c:ext xmlns:c16="http://schemas.microsoft.com/office/drawing/2014/chart" uri="{C3380CC4-5D6E-409C-BE32-E72D297353CC}">
              <c16:uniqueId val="{00000007-EBAD-48A5-9277-83F388186C0C}"/>
            </c:ext>
          </c:extLst>
        </c:ser>
        <c:ser>
          <c:idx val="9"/>
          <c:order val="4"/>
          <c:tx>
            <c:strRef>
              <c:f>Projections!$A$57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Projections!$J$58:$AI$58</c15:sqref>
                  </c15:fullRef>
                </c:ext>
              </c:extLst>
              <c:f>Projections!$J$58:$AD$58</c:f>
              <c:numCache>
                <c:formatCode>#,##0</c:formatCode>
                <c:ptCount val="21"/>
                <c:pt idx="0">
                  <c:v>6.4862927790718507E-3</c:v>
                </c:pt>
                <c:pt idx="1">
                  <c:v>1.2972585558143701E-2</c:v>
                </c:pt>
                <c:pt idx="2">
                  <c:v>2.5945171116287403E-2</c:v>
                </c:pt>
                <c:pt idx="3">
                  <c:v>5.1890342232574806E-2</c:v>
                </c:pt>
                <c:pt idx="4">
                  <c:v>0.10378068446514961</c:v>
                </c:pt>
                <c:pt idx="5">
                  <c:v>0.20756136893029922</c:v>
                </c:pt>
                <c:pt idx="6">
                  <c:v>0.41512273786059845</c:v>
                </c:pt>
                <c:pt idx="7">
                  <c:v>0.83024547572119689</c:v>
                </c:pt>
                <c:pt idx="8">
                  <c:v>1.6604909514423938</c:v>
                </c:pt>
                <c:pt idx="9">
                  <c:v>3.3209819028847876</c:v>
                </c:pt>
                <c:pt idx="10">
                  <c:v>6.6419638057695751</c:v>
                </c:pt>
                <c:pt idx="11">
                  <c:v>13.28392761153915</c:v>
                </c:pt>
                <c:pt idx="12">
                  <c:v>26.5678552230783</c:v>
                </c:pt>
                <c:pt idx="13">
                  <c:v>53.135710446156601</c:v>
                </c:pt>
                <c:pt idx="14">
                  <c:v>106.2714208923132</c:v>
                </c:pt>
                <c:pt idx="15">
                  <c:v>212.5428417846264</c:v>
                </c:pt>
                <c:pt idx="16">
                  <c:v>425.08568356925281</c:v>
                </c:pt>
                <c:pt idx="17">
                  <c:v>850.17136713850562</c:v>
                </c:pt>
                <c:pt idx="18">
                  <c:v>1700.3427342770112</c:v>
                </c:pt>
                <c:pt idx="19">
                  <c:v>3400.6854685540225</c:v>
                </c:pt>
                <c:pt idx="20">
                  <c:v>6801.3709371080449</c:v>
                </c:pt>
              </c:numCache>
            </c:numRef>
          </c:val>
          <c:smooth val="0"/>
          <c:extLst>
            <c:ext xmlns:c16="http://schemas.microsoft.com/office/drawing/2014/chart" uri="{C3380CC4-5D6E-409C-BE32-E72D297353CC}">
              <c16:uniqueId val="{00000009-EBAD-48A5-9277-83F388186C0C}"/>
            </c:ext>
          </c:extLst>
        </c:ser>
        <c:ser>
          <c:idx val="11"/>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Projections!$J$60:$AI$60</c15:sqref>
                  </c15:fullRef>
                </c:ext>
              </c:extLst>
              <c:f>Projections!$J$60:$AD$60</c:f>
              <c:numCache>
                <c:formatCode>#,##0</c:formatCode>
                <c:ptCount val="21"/>
                <c:pt idx="0">
                  <c:v>3.9329869199068264E-3</c:v>
                </c:pt>
                <c:pt idx="1">
                  <c:v>7.8659738398136527E-3</c:v>
                </c:pt>
                <c:pt idx="2">
                  <c:v>1.5731947679627305E-2</c:v>
                </c:pt>
                <c:pt idx="3">
                  <c:v>3.1463895359254611E-2</c:v>
                </c:pt>
                <c:pt idx="4">
                  <c:v>6.2927790718509222E-2</c:v>
                </c:pt>
                <c:pt idx="5">
                  <c:v>0.12585558143701844</c:v>
                </c:pt>
                <c:pt idx="6">
                  <c:v>0.25171116287403689</c:v>
                </c:pt>
                <c:pt idx="7">
                  <c:v>0.50342232574807377</c:v>
                </c:pt>
                <c:pt idx="8">
                  <c:v>1.0068446514961475</c:v>
                </c:pt>
                <c:pt idx="9">
                  <c:v>2.0136893029922951</c:v>
                </c:pt>
                <c:pt idx="10">
                  <c:v>4.0273786059845902</c:v>
                </c:pt>
                <c:pt idx="11">
                  <c:v>8.0547572119691804</c:v>
                </c:pt>
                <c:pt idx="12">
                  <c:v>16.109514423938361</c:v>
                </c:pt>
                <c:pt idx="13">
                  <c:v>32.219028847876721</c:v>
                </c:pt>
                <c:pt idx="14">
                  <c:v>64.438057695753443</c:v>
                </c:pt>
                <c:pt idx="15">
                  <c:v>128.87611539150689</c:v>
                </c:pt>
                <c:pt idx="16">
                  <c:v>257.75223078301377</c:v>
                </c:pt>
                <c:pt idx="17">
                  <c:v>515.50446156602754</c:v>
                </c:pt>
                <c:pt idx="18">
                  <c:v>1031.0089231320551</c:v>
                </c:pt>
                <c:pt idx="19">
                  <c:v>2062.0178462641102</c:v>
                </c:pt>
                <c:pt idx="20">
                  <c:v>4124.0356925282204</c:v>
                </c:pt>
              </c:numCache>
            </c:numRef>
          </c:val>
          <c:smooth val="0"/>
          <c:extLst>
            <c:ext xmlns:c16="http://schemas.microsoft.com/office/drawing/2014/chart" uri="{C3380CC4-5D6E-409C-BE32-E72D297353CC}">
              <c16:uniqueId val="{0000000B-EBAD-48A5-9277-83F388186C0C}"/>
            </c:ext>
          </c:extLst>
        </c:ser>
        <c:ser>
          <c:idx val="13"/>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Projections!$J$62:$AI$62</c15:sqref>
                  </c15:fullRef>
                </c:ext>
              </c:extLst>
              <c:f>Projections!$J$62:$AD$62</c:f>
              <c:numCache>
                <c:formatCode>#,##0</c:formatCode>
                <c:ptCount val="21"/>
                <c:pt idx="0">
                  <c:v>5.4022576599175769E-3</c:v>
                </c:pt>
                <c:pt idx="1">
                  <c:v>1.0804515319835154E-2</c:v>
                </c:pt>
                <c:pt idx="2">
                  <c:v>2.1609030639670308E-2</c:v>
                </c:pt>
                <c:pt idx="3">
                  <c:v>4.3218061279340615E-2</c:v>
                </c:pt>
                <c:pt idx="4">
                  <c:v>8.643612255868123E-2</c:v>
                </c:pt>
                <c:pt idx="5">
                  <c:v>0.17287224511736246</c:v>
                </c:pt>
                <c:pt idx="6">
                  <c:v>0.34574449023472492</c:v>
                </c:pt>
                <c:pt idx="7">
                  <c:v>0.69148898046944984</c:v>
                </c:pt>
                <c:pt idx="8">
                  <c:v>1.3829779609388997</c:v>
                </c:pt>
                <c:pt idx="9">
                  <c:v>2.7659559218777994</c:v>
                </c:pt>
                <c:pt idx="10">
                  <c:v>5.5319118437555987</c:v>
                </c:pt>
                <c:pt idx="11">
                  <c:v>11.063823687511197</c:v>
                </c:pt>
                <c:pt idx="12">
                  <c:v>22.127647375022395</c:v>
                </c:pt>
                <c:pt idx="13">
                  <c:v>44.25529475004479</c:v>
                </c:pt>
                <c:pt idx="14">
                  <c:v>88.51058950008958</c:v>
                </c:pt>
                <c:pt idx="15">
                  <c:v>177.02117900017916</c:v>
                </c:pt>
                <c:pt idx="16">
                  <c:v>354.04235800035832</c:v>
                </c:pt>
                <c:pt idx="17">
                  <c:v>708.08471600071664</c:v>
                </c:pt>
                <c:pt idx="18">
                  <c:v>1416.1694320014333</c:v>
                </c:pt>
                <c:pt idx="19">
                  <c:v>2832.3388640028666</c:v>
                </c:pt>
                <c:pt idx="20">
                  <c:v>5664.6777280057331</c:v>
                </c:pt>
              </c:numCache>
            </c:numRef>
          </c:val>
          <c:smooth val="0"/>
          <c:extLst>
            <c:ext xmlns:c16="http://schemas.microsoft.com/office/drawing/2014/chart" uri="{C3380CC4-5D6E-409C-BE32-E72D297353CC}">
              <c16:uniqueId val="{0000000D-EBAD-48A5-9277-83F388186C0C}"/>
            </c:ext>
          </c:extLst>
        </c:ser>
        <c:ser>
          <c:idx val="15"/>
          <c:order val="7"/>
          <c:tx>
            <c:strRef>
              <c:f>Projections!$A$63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Projections!$J$64:$AI$64</c15:sqref>
                  </c15:fullRef>
                </c:ext>
              </c:extLst>
              <c:f>Projections!$J$64:$AD$64</c:f>
              <c:numCache>
                <c:formatCode>#,##0</c:formatCode>
                <c:ptCount val="21"/>
                <c:pt idx="0">
                  <c:v>7.2119691811503323E-4</c:v>
                </c:pt>
                <c:pt idx="1">
                  <c:v>1.4423938362300665E-3</c:v>
                </c:pt>
                <c:pt idx="2">
                  <c:v>2.8847876724601329E-3</c:v>
                </c:pt>
                <c:pt idx="3">
                  <c:v>5.7695753449202658E-3</c:v>
                </c:pt>
                <c:pt idx="4">
                  <c:v>1.1539150689840532E-2</c:v>
                </c:pt>
                <c:pt idx="5">
                  <c:v>2.3078301379681063E-2</c:v>
                </c:pt>
                <c:pt idx="6">
                  <c:v>4.6156602759362127E-2</c:v>
                </c:pt>
                <c:pt idx="7">
                  <c:v>9.2313205518724253E-2</c:v>
                </c:pt>
                <c:pt idx="8">
                  <c:v>0.18462641103744851</c:v>
                </c:pt>
                <c:pt idx="9">
                  <c:v>0.36925282207489701</c:v>
                </c:pt>
                <c:pt idx="10">
                  <c:v>0.73850564414979403</c:v>
                </c:pt>
                <c:pt idx="11">
                  <c:v>1.4770112882995881</c:v>
                </c:pt>
                <c:pt idx="12">
                  <c:v>2.9540225765991761</c:v>
                </c:pt>
                <c:pt idx="13">
                  <c:v>5.9080451531983522</c:v>
                </c:pt>
                <c:pt idx="14">
                  <c:v>11.816090306396704</c:v>
                </c:pt>
                <c:pt idx="15">
                  <c:v>23.632180612793409</c:v>
                </c:pt>
                <c:pt idx="16">
                  <c:v>47.264361225586818</c:v>
                </c:pt>
                <c:pt idx="17">
                  <c:v>94.528722451173635</c:v>
                </c:pt>
                <c:pt idx="18">
                  <c:v>189.05744490234727</c:v>
                </c:pt>
                <c:pt idx="19">
                  <c:v>378.11488980469454</c:v>
                </c:pt>
                <c:pt idx="20">
                  <c:v>756.22977960938908</c:v>
                </c:pt>
              </c:numCache>
            </c:numRef>
          </c:val>
          <c:smooth val="0"/>
          <c:extLst>
            <c:ext xmlns:c16="http://schemas.microsoft.com/office/drawing/2014/chart" uri="{C3380CC4-5D6E-409C-BE32-E72D297353CC}">
              <c16:uniqueId val="{0000000F-EBAD-48A5-9277-83F388186C0C}"/>
            </c:ext>
          </c:extLst>
        </c:ser>
        <c:ser>
          <c:idx val="17"/>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Projections!$J$66:$AI$66</c15:sqref>
                  </c15:fullRef>
                </c:ext>
              </c:extLst>
              <c:f>Projections!$J$66:$AD$66</c:f>
              <c:numCache>
                <c:formatCode>#,##0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Projections!$J$78:$AI$78</c15:sqref>
                  </c15:fullRef>
                </c:ext>
              </c:extLst>
              <c:f>Projections!$J$78:$AD$78</c:f>
              <c:numCache>
                <c:formatCode>#,##0</c:formatCode>
                <c:ptCount val="21"/>
                <c:pt idx="0">
                  <c:v>5.75</c:v>
                </c:pt>
                <c:pt idx="1">
                  <c:v>11.5</c:v>
                </c:pt>
                <c:pt idx="2">
                  <c:v>23</c:v>
                </c:pt>
                <c:pt idx="3">
                  <c:v>46</c:v>
                </c:pt>
                <c:pt idx="4">
                  <c:v>92</c:v>
                </c:pt>
                <c:pt idx="5">
                  <c:v>184</c:v>
                </c:pt>
                <c:pt idx="6">
                  <c:v>368</c:v>
                </c:pt>
                <c:pt idx="7">
                  <c:v>736</c:v>
                </c:pt>
                <c:pt idx="8">
                  <c:v>1472</c:v>
                </c:pt>
                <c:pt idx="9">
                  <c:v>2944</c:v>
                </c:pt>
                <c:pt idx="10">
                  <c:v>5888</c:v>
                </c:pt>
                <c:pt idx="11">
                  <c:v>11776</c:v>
                </c:pt>
                <c:pt idx="12">
                  <c:v>23552</c:v>
                </c:pt>
                <c:pt idx="13">
                  <c:v>47104</c:v>
                </c:pt>
                <c:pt idx="14">
                  <c:v>94208</c:v>
                </c:pt>
                <c:pt idx="15">
                  <c:v>188416</c:v>
                </c:pt>
                <c:pt idx="16">
                  <c:v>376832</c:v>
                </c:pt>
                <c:pt idx="17">
                  <c:v>753664</c:v>
                </c:pt>
                <c:pt idx="18">
                  <c:v>1507328</c:v>
                </c:pt>
                <c:pt idx="19">
                  <c:v>3014656</c:v>
                </c:pt>
                <c:pt idx="20">
                  <c:v>6029312</c:v>
                </c:pt>
              </c:numCache>
            </c:numRef>
          </c:val>
          <c:smooth val="0"/>
          <c:extLst>
            <c:ext xmlns:c16="http://schemas.microsoft.com/office/drawing/2014/chart" uri="{C3380CC4-5D6E-409C-BE32-E72D297353CC}">
              <c16:uniqueId val="{0000001E-05DD-4DD4-A5B5-12D162507280}"/>
            </c:ext>
          </c:extLst>
        </c:ser>
        <c:ser>
          <c:idx val="4"/>
          <c:order val="1"/>
          <c:tx>
            <c:strRef>
              <c:f>Projections!$A$76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Projections!$J$76:$AI$76</c15:sqref>
                  </c15:fullRef>
                </c:ext>
              </c:extLst>
              <c:f>Projections!$J$76:$AD$76</c:f>
              <c:numCache>
                <c:formatCode>#,##0</c:formatCode>
                <c:ptCount val="21"/>
                <c:pt idx="0">
                  <c:v>1.675</c:v>
                </c:pt>
                <c:pt idx="1">
                  <c:v>3.35</c:v>
                </c:pt>
                <c:pt idx="2">
                  <c:v>6.7</c:v>
                </c:pt>
                <c:pt idx="3">
                  <c:v>13.4</c:v>
                </c:pt>
                <c:pt idx="4">
                  <c:v>26.8</c:v>
                </c:pt>
                <c:pt idx="5">
                  <c:v>53.6</c:v>
                </c:pt>
                <c:pt idx="6">
                  <c:v>107.2</c:v>
                </c:pt>
                <c:pt idx="7">
                  <c:v>214.4</c:v>
                </c:pt>
                <c:pt idx="8">
                  <c:v>428.8</c:v>
                </c:pt>
                <c:pt idx="9">
                  <c:v>857.6</c:v>
                </c:pt>
                <c:pt idx="10">
                  <c:v>1715.2</c:v>
                </c:pt>
                <c:pt idx="11">
                  <c:v>3430.4</c:v>
                </c:pt>
                <c:pt idx="12">
                  <c:v>6860.8</c:v>
                </c:pt>
                <c:pt idx="13">
                  <c:v>13721.6</c:v>
                </c:pt>
                <c:pt idx="14">
                  <c:v>27443.200000000001</c:v>
                </c:pt>
                <c:pt idx="15">
                  <c:v>54886.400000000001</c:v>
                </c:pt>
                <c:pt idx="16">
                  <c:v>109772.8</c:v>
                </c:pt>
                <c:pt idx="17">
                  <c:v>219545.60000000001</c:v>
                </c:pt>
                <c:pt idx="18">
                  <c:v>439091.20000000001</c:v>
                </c:pt>
                <c:pt idx="19">
                  <c:v>878182.40000000002</c:v>
                </c:pt>
                <c:pt idx="20">
                  <c:v>1756364.8</c:v>
                </c:pt>
              </c:numCache>
            </c:numRef>
          </c:val>
          <c:smooth val="0"/>
          <c:extLst>
            <c:ext xmlns:c16="http://schemas.microsoft.com/office/drawing/2014/chart" uri="{C3380CC4-5D6E-409C-BE32-E72D297353CC}">
              <c16:uniqueId val="{0000001C-05DD-4DD4-A5B5-12D162507280}"/>
            </c:ext>
          </c:extLst>
        </c:ser>
        <c:ser>
          <c:idx val="10"/>
          <c:order val="2"/>
          <c:tx>
            <c:strRef>
              <c:f>Projections!$A$82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Projections!$J$82:$AI$82</c15:sqref>
                  </c15:fullRef>
                </c:ext>
              </c:extLst>
              <c:f>Projections!$J$82:$AD$82</c:f>
              <c:numCache>
                <c:formatCode>#,##0</c:formatCode>
                <c:ptCount val="21"/>
                <c:pt idx="0">
                  <c:v>1.9375</c:v>
                </c:pt>
                <c:pt idx="1">
                  <c:v>3.875</c:v>
                </c:pt>
                <c:pt idx="2">
                  <c:v>7.75</c:v>
                </c:pt>
                <c:pt idx="3">
                  <c:v>15.5</c:v>
                </c:pt>
                <c:pt idx="4">
                  <c:v>31</c:v>
                </c:pt>
                <c:pt idx="5">
                  <c:v>62</c:v>
                </c:pt>
                <c:pt idx="6">
                  <c:v>124</c:v>
                </c:pt>
                <c:pt idx="7">
                  <c:v>248</c:v>
                </c:pt>
                <c:pt idx="8">
                  <c:v>496</c:v>
                </c:pt>
                <c:pt idx="9">
                  <c:v>992</c:v>
                </c:pt>
                <c:pt idx="10">
                  <c:v>1984</c:v>
                </c:pt>
                <c:pt idx="11">
                  <c:v>3968</c:v>
                </c:pt>
                <c:pt idx="12">
                  <c:v>7936</c:v>
                </c:pt>
                <c:pt idx="13">
                  <c:v>15872</c:v>
                </c:pt>
                <c:pt idx="14">
                  <c:v>31744</c:v>
                </c:pt>
                <c:pt idx="15">
                  <c:v>63488</c:v>
                </c:pt>
                <c:pt idx="16">
                  <c:v>126976</c:v>
                </c:pt>
                <c:pt idx="17">
                  <c:v>253952</c:v>
                </c:pt>
                <c:pt idx="18">
                  <c:v>507904</c:v>
                </c:pt>
                <c:pt idx="19">
                  <c:v>1015808</c:v>
                </c:pt>
                <c:pt idx="20">
                  <c:v>2031616</c:v>
                </c:pt>
              </c:numCache>
            </c:numRef>
          </c:val>
          <c:smooth val="0"/>
          <c:extLst>
            <c:ext xmlns:c16="http://schemas.microsoft.com/office/drawing/2014/chart" uri="{C3380CC4-5D6E-409C-BE32-E72D297353CC}">
              <c16:uniqueId val="{00000022-05DD-4DD4-A5B5-12D162507280}"/>
            </c:ext>
          </c:extLst>
        </c:ser>
        <c:ser>
          <c:idx val="0"/>
          <c:order val="3"/>
          <c:tx>
            <c:strRef>
              <c:f>Projections!$A$72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Projections!$J$72:$AI$72</c15:sqref>
                  </c15:fullRef>
                </c:ext>
              </c:extLst>
              <c:f>Projections!$J$72:$AD$72</c:f>
              <c:numCache>
                <c:formatCode>#,##0</c:formatCode>
                <c:ptCount val="21"/>
                <c:pt idx="0">
                  <c:v>4.5999999999999996</c:v>
                </c:pt>
                <c:pt idx="1">
                  <c:v>9.1999999999999993</c:v>
                </c:pt>
                <c:pt idx="2">
                  <c:v>18.399999999999999</c:v>
                </c:pt>
                <c:pt idx="3">
                  <c:v>36.799999999999997</c:v>
                </c:pt>
                <c:pt idx="4">
                  <c:v>73.599999999999994</c:v>
                </c:pt>
                <c:pt idx="5">
                  <c:v>147.19999999999999</c:v>
                </c:pt>
                <c:pt idx="6">
                  <c:v>294.39999999999998</c:v>
                </c:pt>
                <c:pt idx="7">
                  <c:v>588.79999999999995</c:v>
                </c:pt>
                <c:pt idx="8">
                  <c:v>1177.5999999999999</c:v>
                </c:pt>
                <c:pt idx="9">
                  <c:v>2355.1999999999998</c:v>
                </c:pt>
                <c:pt idx="10">
                  <c:v>4710.3999999999996</c:v>
                </c:pt>
                <c:pt idx="11">
                  <c:v>9420.7999999999993</c:v>
                </c:pt>
                <c:pt idx="12">
                  <c:v>18841.599999999999</c:v>
                </c:pt>
                <c:pt idx="13">
                  <c:v>37683.199999999997</c:v>
                </c:pt>
                <c:pt idx="14">
                  <c:v>75366.399999999994</c:v>
                </c:pt>
                <c:pt idx="15">
                  <c:v>150732.79999999999</c:v>
                </c:pt>
                <c:pt idx="16">
                  <c:v>301465.59999999998</c:v>
                </c:pt>
                <c:pt idx="17">
                  <c:v>602931.19999999995</c:v>
                </c:pt>
                <c:pt idx="18">
                  <c:v>1205862.3999999999</c:v>
                </c:pt>
                <c:pt idx="19">
                  <c:v>2411724.7999999998</c:v>
                </c:pt>
                <c:pt idx="20">
                  <c:v>4823449.5999999996</c:v>
                </c:pt>
              </c:numCache>
            </c:numRef>
          </c:val>
          <c:smooth val="0"/>
          <c:extLst>
            <c:ext xmlns:c16="http://schemas.microsoft.com/office/drawing/2014/chart" uri="{C3380CC4-5D6E-409C-BE32-E72D297353CC}">
              <c16:uniqueId val="{00000018-05DD-4DD4-A5B5-12D162507280}"/>
            </c:ext>
          </c:extLst>
        </c:ser>
        <c:ser>
          <c:idx val="2"/>
          <c:order val="4"/>
          <c:tx>
            <c:strRef>
              <c:f>Projections!$A$74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Projections!$J$74:$AI$74</c15:sqref>
                  </c15:fullRef>
                </c:ext>
              </c:extLst>
              <c:f>Projections!$J$74:$AD$74</c:f>
              <c:numCache>
                <c:formatCode>#,##0</c:formatCode>
                <c:ptCount val="21"/>
                <c:pt idx="0">
                  <c:v>1.2250000000000001</c:v>
                </c:pt>
                <c:pt idx="1">
                  <c:v>2.4500000000000002</c:v>
                </c:pt>
                <c:pt idx="2">
                  <c:v>4.9000000000000004</c:v>
                </c:pt>
                <c:pt idx="3">
                  <c:v>9.8000000000000007</c:v>
                </c:pt>
                <c:pt idx="4">
                  <c:v>19.600000000000001</c:v>
                </c:pt>
                <c:pt idx="5">
                  <c:v>39.200000000000003</c:v>
                </c:pt>
                <c:pt idx="6">
                  <c:v>78.400000000000006</c:v>
                </c:pt>
                <c:pt idx="7">
                  <c:v>156.80000000000001</c:v>
                </c:pt>
                <c:pt idx="8">
                  <c:v>313.60000000000002</c:v>
                </c:pt>
                <c:pt idx="9">
                  <c:v>627.20000000000005</c:v>
                </c:pt>
                <c:pt idx="10">
                  <c:v>1254.4000000000001</c:v>
                </c:pt>
                <c:pt idx="11">
                  <c:v>2508.8000000000002</c:v>
                </c:pt>
                <c:pt idx="12">
                  <c:v>5017.6000000000004</c:v>
                </c:pt>
                <c:pt idx="13">
                  <c:v>10035.200000000001</c:v>
                </c:pt>
                <c:pt idx="14">
                  <c:v>20070.400000000001</c:v>
                </c:pt>
                <c:pt idx="15">
                  <c:v>40140.800000000003</c:v>
                </c:pt>
                <c:pt idx="16">
                  <c:v>80281.600000000006</c:v>
                </c:pt>
                <c:pt idx="17">
                  <c:v>160563.20000000001</c:v>
                </c:pt>
                <c:pt idx="18">
                  <c:v>321126.40000000002</c:v>
                </c:pt>
                <c:pt idx="19">
                  <c:v>642252.80000000005</c:v>
                </c:pt>
                <c:pt idx="20">
                  <c:v>1284505.6000000001</c:v>
                </c:pt>
              </c:numCache>
            </c:numRef>
          </c:val>
          <c:smooth val="0"/>
          <c:extLst>
            <c:ext xmlns:c16="http://schemas.microsoft.com/office/drawing/2014/chart" uri="{C3380CC4-5D6E-409C-BE32-E72D297353CC}">
              <c16:uniqueId val="{0000001A-05DD-4DD4-A5B5-12D162507280}"/>
            </c:ext>
          </c:extLst>
        </c:ser>
        <c:ser>
          <c:idx val="8"/>
          <c:order val="5"/>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Projections!$J$80:$AI$80</c15:sqref>
                  </c15:fullRef>
                </c:ext>
              </c:extLst>
              <c:f>Projections!$J$80:$AD$80</c:f>
              <c:numCache>
                <c:formatCode>#,##0</c:formatCode>
                <c:ptCount val="21"/>
                <c:pt idx="0">
                  <c:v>5.4875E-2</c:v>
                </c:pt>
                <c:pt idx="1">
                  <c:v>0.10975</c:v>
                </c:pt>
                <c:pt idx="2">
                  <c:v>0.2195</c:v>
                </c:pt>
                <c:pt idx="3">
                  <c:v>0.439</c:v>
                </c:pt>
                <c:pt idx="4">
                  <c:v>0.878</c:v>
                </c:pt>
                <c:pt idx="5">
                  <c:v>1.756</c:v>
                </c:pt>
                <c:pt idx="6">
                  <c:v>3.512</c:v>
                </c:pt>
                <c:pt idx="7">
                  <c:v>7.024</c:v>
                </c:pt>
                <c:pt idx="8">
                  <c:v>14.048</c:v>
                </c:pt>
                <c:pt idx="9">
                  <c:v>28.096</c:v>
                </c:pt>
                <c:pt idx="10">
                  <c:v>56.192</c:v>
                </c:pt>
                <c:pt idx="11">
                  <c:v>112.384</c:v>
                </c:pt>
                <c:pt idx="12">
                  <c:v>224.768</c:v>
                </c:pt>
                <c:pt idx="13">
                  <c:v>449.536</c:v>
                </c:pt>
                <c:pt idx="14">
                  <c:v>899.072</c:v>
                </c:pt>
                <c:pt idx="15">
                  <c:v>1798.144</c:v>
                </c:pt>
                <c:pt idx="16">
                  <c:v>3596.288</c:v>
                </c:pt>
                <c:pt idx="17">
                  <c:v>7192.576</c:v>
                </c:pt>
                <c:pt idx="18">
                  <c:v>14385.152</c:v>
                </c:pt>
                <c:pt idx="19">
                  <c:v>28770.304</c:v>
                </c:pt>
                <c:pt idx="20">
                  <c:v>57540.608</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Projections!$J$79:$AI$79</c15:sqref>
                  </c15:fullRef>
                </c:ext>
              </c:extLst>
              <c:f>Projections!$J$79:$AD$79</c:f>
              <c:numCache>
                <c:formatCode>#,##0</c:formatCode>
                <c:ptCount val="21"/>
                <c:pt idx="0">
                  <c:v>0.34499999999999997</c:v>
                </c:pt>
                <c:pt idx="1">
                  <c:v>0.69</c:v>
                </c:pt>
                <c:pt idx="2">
                  <c:v>1.38</c:v>
                </c:pt>
                <c:pt idx="3">
                  <c:v>2.76</c:v>
                </c:pt>
                <c:pt idx="4">
                  <c:v>5.52</c:v>
                </c:pt>
                <c:pt idx="5">
                  <c:v>11.04</c:v>
                </c:pt>
                <c:pt idx="6">
                  <c:v>22.08</c:v>
                </c:pt>
                <c:pt idx="7">
                  <c:v>44.16</c:v>
                </c:pt>
                <c:pt idx="8">
                  <c:v>88.32</c:v>
                </c:pt>
                <c:pt idx="9">
                  <c:v>176.64</c:v>
                </c:pt>
                <c:pt idx="10">
                  <c:v>353.28</c:v>
                </c:pt>
                <c:pt idx="11">
                  <c:v>706.56</c:v>
                </c:pt>
                <c:pt idx="12">
                  <c:v>1413.12</c:v>
                </c:pt>
                <c:pt idx="13">
                  <c:v>2826.24</c:v>
                </c:pt>
                <c:pt idx="14">
                  <c:v>5652.48</c:v>
                </c:pt>
                <c:pt idx="15">
                  <c:v>11304.96</c:v>
                </c:pt>
                <c:pt idx="16">
                  <c:v>22609.919999999998</c:v>
                </c:pt>
                <c:pt idx="17">
                  <c:v>45219.839999999997</c:v>
                </c:pt>
                <c:pt idx="18">
                  <c:v>90439.679999999993</c:v>
                </c:pt>
                <c:pt idx="19">
                  <c:v>180879.35999999999</c:v>
                </c:pt>
                <c:pt idx="20">
                  <c:v>361758.71999999997</c:v>
                </c:pt>
              </c:numCache>
            </c:numRef>
          </c:val>
          <c:smooth val="0"/>
          <c:extLst>
            <c:ext xmlns:c16="http://schemas.microsoft.com/office/drawing/2014/chart" uri="{C3380CC4-5D6E-409C-BE32-E72D297353CC}">
              <c16:uniqueId val="{00000007-65B4-47F9-9B97-64FB989C8893}"/>
            </c:ext>
          </c:extLst>
        </c:ser>
        <c:ser>
          <c:idx val="5"/>
          <c:order val="1"/>
          <c:tx>
            <c:strRef>
              <c:f>Projections!$A$76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Projections!$J$77:$AI$77</c15:sqref>
                  </c15:fullRef>
                </c:ext>
              </c:extLst>
              <c:f>Projections!$J$77:$AD$77</c:f>
              <c:numCache>
                <c:formatCode>#,##0</c:formatCode>
                <c:ptCount val="21"/>
                <c:pt idx="0">
                  <c:v>0.10552500000000001</c:v>
                </c:pt>
                <c:pt idx="1">
                  <c:v>0.21105000000000002</c:v>
                </c:pt>
                <c:pt idx="2">
                  <c:v>0.42210000000000003</c:v>
                </c:pt>
                <c:pt idx="3">
                  <c:v>0.84420000000000006</c:v>
                </c:pt>
                <c:pt idx="4">
                  <c:v>1.6884000000000001</c:v>
                </c:pt>
                <c:pt idx="5">
                  <c:v>3.3768000000000002</c:v>
                </c:pt>
                <c:pt idx="6">
                  <c:v>6.7536000000000005</c:v>
                </c:pt>
                <c:pt idx="7">
                  <c:v>13.507200000000001</c:v>
                </c:pt>
                <c:pt idx="8">
                  <c:v>27.014400000000002</c:v>
                </c:pt>
                <c:pt idx="9">
                  <c:v>54.028800000000004</c:v>
                </c:pt>
                <c:pt idx="10">
                  <c:v>108.05760000000001</c:v>
                </c:pt>
                <c:pt idx="11">
                  <c:v>216.11520000000002</c:v>
                </c:pt>
                <c:pt idx="12">
                  <c:v>432.23040000000003</c:v>
                </c:pt>
                <c:pt idx="13">
                  <c:v>864.46080000000006</c:v>
                </c:pt>
                <c:pt idx="14">
                  <c:v>1728.9216000000001</c:v>
                </c:pt>
                <c:pt idx="15">
                  <c:v>3457.8432000000003</c:v>
                </c:pt>
                <c:pt idx="16">
                  <c:v>6915.6864000000005</c:v>
                </c:pt>
                <c:pt idx="17">
                  <c:v>13831.372800000001</c:v>
                </c:pt>
                <c:pt idx="18">
                  <c:v>27662.745600000002</c:v>
                </c:pt>
                <c:pt idx="19">
                  <c:v>55325.491200000004</c:v>
                </c:pt>
                <c:pt idx="20">
                  <c:v>110650.98240000001</c:v>
                </c:pt>
              </c:numCache>
            </c:numRef>
          </c:val>
          <c:smooth val="0"/>
          <c:extLst>
            <c:ext xmlns:c16="http://schemas.microsoft.com/office/drawing/2014/chart" uri="{C3380CC4-5D6E-409C-BE32-E72D297353CC}">
              <c16:uniqueId val="{00000005-65B4-47F9-9B97-64FB989C8893}"/>
            </c:ext>
          </c:extLst>
        </c:ser>
        <c:ser>
          <c:idx val="1"/>
          <c:order val="2"/>
          <c:tx>
            <c:strRef>
              <c:f>Projections!$A$72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Projections!$J$73:$AI$73</c15:sqref>
                  </c15:fullRef>
                </c:ext>
              </c:extLst>
              <c:f>Projections!$J$73:$AD$73</c:f>
              <c:numCache>
                <c:formatCode>#,##0</c:formatCode>
                <c:ptCount val="21"/>
                <c:pt idx="0">
                  <c:v>0.48299999999999993</c:v>
                </c:pt>
                <c:pt idx="1">
                  <c:v>0.96599999999999986</c:v>
                </c:pt>
                <c:pt idx="2">
                  <c:v>1.9319999999999997</c:v>
                </c:pt>
                <c:pt idx="3">
                  <c:v>3.8639999999999994</c:v>
                </c:pt>
                <c:pt idx="4">
                  <c:v>7.7279999999999989</c:v>
                </c:pt>
                <c:pt idx="5">
                  <c:v>15.455999999999998</c:v>
                </c:pt>
                <c:pt idx="6">
                  <c:v>30.911999999999995</c:v>
                </c:pt>
                <c:pt idx="7">
                  <c:v>61.823999999999991</c:v>
                </c:pt>
                <c:pt idx="8">
                  <c:v>123.64799999999998</c:v>
                </c:pt>
                <c:pt idx="9">
                  <c:v>247.29599999999996</c:v>
                </c:pt>
                <c:pt idx="10">
                  <c:v>494.59199999999993</c:v>
                </c:pt>
                <c:pt idx="11">
                  <c:v>989.18399999999986</c:v>
                </c:pt>
                <c:pt idx="12">
                  <c:v>1978.3679999999997</c:v>
                </c:pt>
                <c:pt idx="13">
                  <c:v>3956.7359999999994</c:v>
                </c:pt>
                <c:pt idx="14">
                  <c:v>7913.4719999999988</c:v>
                </c:pt>
                <c:pt idx="15">
                  <c:v>15826.943999999998</c:v>
                </c:pt>
                <c:pt idx="16">
                  <c:v>31653.887999999995</c:v>
                </c:pt>
                <c:pt idx="17">
                  <c:v>63307.775999999991</c:v>
                </c:pt>
                <c:pt idx="18">
                  <c:v>126615.55199999998</c:v>
                </c:pt>
                <c:pt idx="19">
                  <c:v>253231.10399999996</c:v>
                </c:pt>
                <c:pt idx="20">
                  <c:v>506462.20799999993</c:v>
                </c:pt>
              </c:numCache>
            </c:numRef>
          </c:val>
          <c:smooth val="0"/>
          <c:extLst>
            <c:ext xmlns:c16="http://schemas.microsoft.com/office/drawing/2014/chart" uri="{C3380CC4-5D6E-409C-BE32-E72D297353CC}">
              <c16:uniqueId val="{00000001-65B4-47F9-9B97-64FB989C8893}"/>
            </c:ext>
          </c:extLst>
        </c:ser>
        <c:ser>
          <c:idx val="3"/>
          <c:order val="3"/>
          <c:tx>
            <c:strRef>
              <c:f>Projections!$A$74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Projections!$J$75:$AI$75</c15:sqref>
                  </c15:fullRef>
                </c:ext>
              </c:extLst>
              <c:f>Projections!$J$75:$AD$75</c:f>
              <c:numCache>
                <c:formatCode>#,##0</c:formatCode>
                <c:ptCount val="21"/>
                <c:pt idx="0">
                  <c:v>8.9425000000000004E-2</c:v>
                </c:pt>
                <c:pt idx="1">
                  <c:v>0.17885000000000001</c:v>
                </c:pt>
                <c:pt idx="2">
                  <c:v>0.35770000000000002</c:v>
                </c:pt>
                <c:pt idx="3">
                  <c:v>0.71540000000000004</c:v>
                </c:pt>
                <c:pt idx="4">
                  <c:v>1.4308000000000001</c:v>
                </c:pt>
                <c:pt idx="5">
                  <c:v>2.8616000000000001</c:v>
                </c:pt>
                <c:pt idx="6">
                  <c:v>5.7232000000000003</c:v>
                </c:pt>
                <c:pt idx="7">
                  <c:v>11.446400000000001</c:v>
                </c:pt>
                <c:pt idx="8">
                  <c:v>22.892800000000001</c:v>
                </c:pt>
                <c:pt idx="9">
                  <c:v>45.785600000000002</c:v>
                </c:pt>
                <c:pt idx="10">
                  <c:v>91.571200000000005</c:v>
                </c:pt>
                <c:pt idx="11">
                  <c:v>183.14240000000001</c:v>
                </c:pt>
                <c:pt idx="12">
                  <c:v>366.28480000000002</c:v>
                </c:pt>
                <c:pt idx="13">
                  <c:v>732.56960000000004</c:v>
                </c:pt>
                <c:pt idx="14">
                  <c:v>1465.1392000000001</c:v>
                </c:pt>
                <c:pt idx="15">
                  <c:v>2930.2784000000001</c:v>
                </c:pt>
                <c:pt idx="16">
                  <c:v>5860.5568000000003</c:v>
                </c:pt>
                <c:pt idx="17">
                  <c:v>11721.113600000001</c:v>
                </c:pt>
                <c:pt idx="18">
                  <c:v>23442.227200000001</c:v>
                </c:pt>
                <c:pt idx="19">
                  <c:v>46884.454400000002</c:v>
                </c:pt>
                <c:pt idx="20">
                  <c:v>93768.908800000005</c:v>
                </c:pt>
              </c:numCache>
            </c:numRef>
          </c:val>
          <c:smooth val="0"/>
          <c:extLst>
            <c:ext xmlns:c16="http://schemas.microsoft.com/office/drawing/2014/chart" uri="{C3380CC4-5D6E-409C-BE32-E72D297353CC}">
              <c16:uniqueId val="{00000003-65B4-47F9-9B97-64FB989C8893}"/>
            </c:ext>
          </c:extLst>
        </c:ser>
        <c:ser>
          <c:idx val="9"/>
          <c:order val="4"/>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Projections!$J$17:$AI$17</c15:sqref>
                  </c15:fullRef>
                </c:ext>
              </c:extLst>
              <c:f>Projections!$J$17:$AD$17</c:f>
              <c:numCache>
                <c:formatCode>m/d/yyyy</c:formatCode>
                <c:ptCount val="21"/>
                <c:pt idx="0">
                  <c:v>43887</c:v>
                </c:pt>
                <c:pt idx="1">
                  <c:v>43889</c:v>
                </c:pt>
                <c:pt idx="2">
                  <c:v>43891</c:v>
                </c:pt>
                <c:pt idx="3">
                  <c:v>43893</c:v>
                </c:pt>
                <c:pt idx="4">
                  <c:v>43895</c:v>
                </c:pt>
                <c:pt idx="5">
                  <c:v>43897</c:v>
                </c:pt>
                <c:pt idx="6">
                  <c:v>43899</c:v>
                </c:pt>
                <c:pt idx="7">
                  <c:v>43902</c:v>
                </c:pt>
                <c:pt idx="8">
                  <c:v>43904</c:v>
                </c:pt>
                <c:pt idx="9">
                  <c:v>43906</c:v>
                </c:pt>
                <c:pt idx="10">
                  <c:v>43908</c:v>
                </c:pt>
                <c:pt idx="11">
                  <c:v>43910</c:v>
                </c:pt>
                <c:pt idx="12">
                  <c:v>43913</c:v>
                </c:pt>
                <c:pt idx="13">
                  <c:v>43916</c:v>
                </c:pt>
                <c:pt idx="14">
                  <c:v>43921</c:v>
                </c:pt>
                <c:pt idx="15">
                  <c:v>43927</c:v>
                </c:pt>
                <c:pt idx="16">
                  <c:v>43939</c:v>
                </c:pt>
                <c:pt idx="17">
                  <c:v>43951</c:v>
                </c:pt>
                <c:pt idx="18">
                  <c:v>43963</c:v>
                </c:pt>
                <c:pt idx="19">
                  <c:v>43975</c:v>
                </c:pt>
                <c:pt idx="20">
                  <c:v>43987</c:v>
                </c:pt>
              </c:numCache>
            </c:numRef>
          </c:cat>
          <c:val>
            <c:numRef>
              <c:extLst>
                <c:ext xmlns:c15="http://schemas.microsoft.com/office/drawing/2012/chart" uri="{02D57815-91ED-43cb-92C2-25804820EDAC}">
                  <c15:fullRef>
                    <c15:sqref>Projections!$J$81:$AI$81</c15:sqref>
                  </c15:fullRef>
                </c:ext>
              </c:extLst>
              <c:f>Projections!$J$81:$AD$81</c:f>
              <c:numCache>
                <c:formatCode>#,##0</c:formatCode>
                <c:ptCount val="21"/>
                <c:pt idx="0">
                  <c:v>3.0730000000000002E-3</c:v>
                </c:pt>
                <c:pt idx="1">
                  <c:v>6.1460000000000004E-3</c:v>
                </c:pt>
                <c:pt idx="2">
                  <c:v>1.2292000000000001E-2</c:v>
                </c:pt>
                <c:pt idx="3">
                  <c:v>2.4584000000000002E-2</c:v>
                </c:pt>
                <c:pt idx="4">
                  <c:v>4.9168000000000003E-2</c:v>
                </c:pt>
                <c:pt idx="5">
                  <c:v>9.8336000000000007E-2</c:v>
                </c:pt>
                <c:pt idx="6">
                  <c:v>0.19667200000000001</c:v>
                </c:pt>
                <c:pt idx="7">
                  <c:v>0.39334400000000003</c:v>
                </c:pt>
                <c:pt idx="8">
                  <c:v>0.78668800000000005</c:v>
                </c:pt>
                <c:pt idx="9">
                  <c:v>1.5733760000000001</c:v>
                </c:pt>
                <c:pt idx="10">
                  <c:v>3.1467520000000002</c:v>
                </c:pt>
                <c:pt idx="11">
                  <c:v>6.2935040000000004</c:v>
                </c:pt>
                <c:pt idx="12">
                  <c:v>12.587008000000001</c:v>
                </c:pt>
                <c:pt idx="13">
                  <c:v>25.174016000000002</c:v>
                </c:pt>
                <c:pt idx="14">
                  <c:v>50.348032000000003</c:v>
                </c:pt>
                <c:pt idx="15">
                  <c:v>100.69606400000001</c:v>
                </c:pt>
                <c:pt idx="16">
                  <c:v>201.39212800000001</c:v>
                </c:pt>
                <c:pt idx="17">
                  <c:v>402.78425600000003</c:v>
                </c:pt>
                <c:pt idx="18">
                  <c:v>805.56851200000006</c:v>
                </c:pt>
                <c:pt idx="19">
                  <c:v>1611.1370240000001</c:v>
                </c:pt>
                <c:pt idx="20">
                  <c:v>3222.2740480000002</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52</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53</xdr:row>
      <xdr:rowOff>4762</xdr:rowOff>
    </xdr:from>
    <xdr:to>
      <xdr:col>18</xdr:col>
      <xdr:colOff>9525</xdr:colOff>
      <xdr:row>71</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52</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53</xdr:row>
      <xdr:rowOff>14287</xdr:rowOff>
    </xdr:from>
    <xdr:to>
      <xdr:col>27</xdr:col>
      <xdr:colOff>19050</xdr:colOff>
      <xdr:row>71</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37</xdr:col>
      <xdr:colOff>9526</xdr:colOff>
      <xdr:row>4</xdr:row>
      <xdr:rowOff>180975</xdr:rowOff>
    </xdr:from>
    <xdr:to>
      <xdr:col>48</xdr:col>
      <xdr:colOff>600075</xdr:colOff>
      <xdr:row>31</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736455</xdr:colOff>
      <xdr:row>75</xdr:row>
      <xdr:rowOff>5814</xdr:rowOff>
    </xdr:from>
    <xdr:to>
      <xdr:col>49</xdr:col>
      <xdr:colOff>19050</xdr:colOff>
      <xdr:row>98</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3031</xdr:colOff>
      <xdr:row>99</xdr:row>
      <xdr:rowOff>10576</xdr:rowOff>
    </xdr:from>
    <xdr:to>
      <xdr:col>49</xdr:col>
      <xdr:colOff>28575</xdr:colOff>
      <xdr:row>115</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741217</xdr:colOff>
      <xdr:row>116</xdr:row>
      <xdr:rowOff>182025</xdr:rowOff>
    </xdr:from>
    <xdr:to>
      <xdr:col>49</xdr:col>
      <xdr:colOff>38099</xdr:colOff>
      <xdr:row>132</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741219</xdr:colOff>
      <xdr:row>134</xdr:row>
      <xdr:rowOff>10575</xdr:rowOff>
    </xdr:from>
    <xdr:to>
      <xdr:col>49</xdr:col>
      <xdr:colOff>19050</xdr:colOff>
      <xdr:row>153</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738187</xdr:colOff>
      <xdr:row>38</xdr:row>
      <xdr:rowOff>4762</xdr:rowOff>
    </xdr:from>
    <xdr:to>
      <xdr:col>49</xdr:col>
      <xdr:colOff>19050</xdr:colOff>
      <xdr:row>57</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740228</xdr:colOff>
      <xdr:row>58</xdr:row>
      <xdr:rowOff>2721</xdr:rowOff>
    </xdr:from>
    <xdr:to>
      <xdr:col>48</xdr:col>
      <xdr:colOff>590550</xdr:colOff>
      <xdr:row>73</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50</xdr:col>
      <xdr:colOff>1</xdr:colOff>
      <xdr:row>4</xdr:row>
      <xdr:rowOff>180975</xdr:rowOff>
    </xdr:from>
    <xdr:to>
      <xdr:col>62</xdr:col>
      <xdr:colOff>161925</xdr:colOff>
      <xdr:row>31</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49</xdr:col>
      <xdr:colOff>607867</xdr:colOff>
      <xdr:row>74</xdr:row>
      <xdr:rowOff>177264</xdr:rowOff>
    </xdr:from>
    <xdr:to>
      <xdr:col>62</xdr:col>
      <xdr:colOff>209550</xdr:colOff>
      <xdr:row>97</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49</xdr:col>
      <xdr:colOff>598343</xdr:colOff>
      <xdr:row>99</xdr:row>
      <xdr:rowOff>1051</xdr:rowOff>
    </xdr:from>
    <xdr:to>
      <xdr:col>62</xdr:col>
      <xdr:colOff>200025</xdr:colOff>
      <xdr:row>115</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50</xdr:col>
      <xdr:colOff>3029</xdr:colOff>
      <xdr:row>116</xdr:row>
      <xdr:rowOff>182025</xdr:rowOff>
    </xdr:from>
    <xdr:to>
      <xdr:col>62</xdr:col>
      <xdr:colOff>219074</xdr:colOff>
      <xdr:row>132</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50</xdr:col>
      <xdr:colOff>22081</xdr:colOff>
      <xdr:row>134</xdr:row>
      <xdr:rowOff>10575</xdr:rowOff>
    </xdr:from>
    <xdr:to>
      <xdr:col>62</xdr:col>
      <xdr:colOff>228600</xdr:colOff>
      <xdr:row>153</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49</xdr:col>
      <xdr:colOff>600074</xdr:colOff>
      <xdr:row>38</xdr:row>
      <xdr:rowOff>14287</xdr:rowOff>
    </xdr:from>
    <xdr:to>
      <xdr:col>62</xdr:col>
      <xdr:colOff>200025</xdr:colOff>
      <xdr:row>57</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49</xdr:col>
      <xdr:colOff>606878</xdr:colOff>
      <xdr:row>58</xdr:row>
      <xdr:rowOff>2721</xdr:rowOff>
    </xdr:from>
    <xdr:to>
      <xdr:col>62</xdr:col>
      <xdr:colOff>161925</xdr:colOff>
      <xdr:row>73</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cdc.gov/coronavirus/2019-ncov/cases-updates/cases-in-u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5"/>
  <sheetViews>
    <sheetView workbookViewId="0">
      <selection activeCell="H46" sqref="H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64</v>
      </c>
    </row>
    <row r="3" spans="2:2" x14ac:dyDescent="0.25">
      <c r="B3" t="s">
        <v>52</v>
      </c>
    </row>
    <row r="4" spans="2:2" x14ac:dyDescent="0.25">
      <c r="B4" t="s">
        <v>62</v>
      </c>
    </row>
    <row r="5" spans="2:2" x14ac:dyDescent="0.25">
      <c r="B5" t="s">
        <v>65</v>
      </c>
    </row>
    <row r="6" spans="2:2" x14ac:dyDescent="0.25">
      <c r="B6" t="s">
        <v>66</v>
      </c>
    </row>
    <row r="7" spans="2:2" x14ac:dyDescent="0.25">
      <c r="B7" t="s">
        <v>53</v>
      </c>
    </row>
    <row r="11" spans="2:2" x14ac:dyDescent="0.25">
      <c r="B11" t="s">
        <v>73</v>
      </c>
    </row>
    <row r="12" spans="2:2" x14ac:dyDescent="0.25">
      <c r="B12" t="s">
        <v>86</v>
      </c>
    </row>
    <row r="13" spans="2:2" x14ac:dyDescent="0.25">
      <c r="B13" t="s">
        <v>88</v>
      </c>
    </row>
    <row r="14" spans="2:2" x14ac:dyDescent="0.25">
      <c r="B14" t="s">
        <v>87</v>
      </c>
    </row>
    <row r="15" spans="2:2" x14ac:dyDescent="0.25">
      <c r="B15" t="s">
        <v>94</v>
      </c>
    </row>
    <row r="17" spans="1:43" x14ac:dyDescent="0.25">
      <c r="A17" t="s">
        <v>92</v>
      </c>
      <c r="B17" s="102">
        <f>(AP25/E31) /Projections!B6</f>
        <v>285.71428571428567</v>
      </c>
      <c r="C17" s="103"/>
      <c r="D17" s="104"/>
      <c r="E17" s="98">
        <f>B17*2</f>
        <v>571.42857142857133</v>
      </c>
      <c r="F17" s="103"/>
      <c r="G17" s="98"/>
      <c r="H17" s="98">
        <f>E17*2</f>
        <v>1142.8571428571427</v>
      </c>
      <c r="I17" s="103"/>
      <c r="J17" s="104"/>
      <c r="K17" s="95">
        <f>H17*2</f>
        <v>2285.7142857142853</v>
      </c>
      <c r="L17" s="93"/>
      <c r="M17" s="94"/>
      <c r="N17" s="95">
        <f>K17*2</f>
        <v>4571.4285714285706</v>
      </c>
      <c r="O17" s="93"/>
      <c r="P17" s="94"/>
      <c r="Q17" s="95">
        <f>N17*2</f>
        <v>9142.8571428571413</v>
      </c>
      <c r="R17" s="93"/>
      <c r="S17" s="94"/>
      <c r="T17" s="95">
        <f>Q17*2</f>
        <v>18285.714285714283</v>
      </c>
      <c r="U17" s="93"/>
      <c r="V17" s="94"/>
      <c r="W17" s="95">
        <f>T17*2</f>
        <v>36571.428571428565</v>
      </c>
      <c r="X17" s="93"/>
      <c r="Y17" s="94"/>
      <c r="Z17" s="95">
        <f>W17*2</f>
        <v>73142.85714285713</v>
      </c>
      <c r="AA17" s="93"/>
      <c r="AB17" s="94"/>
      <c r="AC17" s="95">
        <f>Z17*2</f>
        <v>146285.71428571426</v>
      </c>
      <c r="AD17" s="93"/>
      <c r="AE17" s="94"/>
      <c r="AF17" s="95">
        <f>AC17*2</f>
        <v>292571.42857142852</v>
      </c>
      <c r="AG17" s="93"/>
      <c r="AH17" s="94"/>
      <c r="AI17" s="95">
        <f>AF17*2</f>
        <v>585142.85714285704</v>
      </c>
      <c r="AJ17" s="93"/>
      <c r="AK17" s="94"/>
      <c r="AL17" s="95">
        <f>AI17*2</f>
        <v>1170285.7142857141</v>
      </c>
      <c r="AM17" s="93"/>
      <c r="AN17" s="94"/>
      <c r="AO17" s="95">
        <f>AL17*2</f>
        <v>2340571.4285714282</v>
      </c>
      <c r="AP17" s="98"/>
      <c r="AQ17" t="s">
        <v>92</v>
      </c>
    </row>
    <row r="18" spans="1:43" s="69" customFormat="1" x14ac:dyDescent="0.25">
      <c r="A18" s="69" t="s">
        <v>167</v>
      </c>
      <c r="B18" s="88">
        <f>B17*$E$34</f>
        <v>257.14285714285711</v>
      </c>
      <c r="C18" s="105"/>
      <c r="D18" s="105"/>
      <c r="E18" s="105">
        <f>E17*$E$34</f>
        <v>514.28571428571422</v>
      </c>
      <c r="F18" s="105"/>
      <c r="G18" s="33"/>
      <c r="H18" s="105">
        <f>H17*$E$34</f>
        <v>1028.5714285714284</v>
      </c>
      <c r="I18" s="105"/>
      <c r="J18" s="105"/>
      <c r="K18" s="105">
        <f>K17*$E$34</f>
        <v>2057.1428571428569</v>
      </c>
      <c r="L18" s="105"/>
      <c r="M18" s="105"/>
      <c r="N18" s="105">
        <f>N17*$E$34</f>
        <v>4114.2857142857138</v>
      </c>
      <c r="O18" s="105"/>
      <c r="P18" s="105"/>
      <c r="Q18" s="105">
        <f>Q17*$E$34</f>
        <v>8228.5714285714275</v>
      </c>
      <c r="R18" s="105"/>
      <c r="S18" s="105"/>
      <c r="T18" s="105">
        <f>T17*$E$34</f>
        <v>16457.142857142855</v>
      </c>
      <c r="U18" s="105"/>
      <c r="V18" s="105"/>
      <c r="W18" s="105">
        <f>W17*$E$34</f>
        <v>32914.28571428571</v>
      </c>
      <c r="X18" s="105"/>
      <c r="Y18" s="105"/>
      <c r="Z18" s="105">
        <f>Z17*$E$34</f>
        <v>65828.57142857142</v>
      </c>
      <c r="AA18" s="105"/>
      <c r="AB18" s="105"/>
      <c r="AC18" s="105">
        <f>AC17*$E$34</f>
        <v>131657.14285714284</v>
      </c>
      <c r="AD18" s="105"/>
      <c r="AE18" s="105"/>
      <c r="AF18" s="105">
        <f>AF17*$E$34</f>
        <v>263314.28571428568</v>
      </c>
      <c r="AG18" s="105"/>
      <c r="AH18" s="105"/>
      <c r="AI18" s="105">
        <f>AI17*$E$34</f>
        <v>526628.57142857136</v>
      </c>
      <c r="AJ18" s="105"/>
      <c r="AK18" s="105"/>
      <c r="AL18" s="105">
        <f>AL17*$E$34</f>
        <v>1053257.1428571427</v>
      </c>
      <c r="AM18" s="105"/>
      <c r="AN18" s="105"/>
      <c r="AO18" s="105">
        <f>AO17*$E$34</f>
        <v>2106514.2857142854</v>
      </c>
      <c r="AP18" s="33"/>
      <c r="AQ18" s="69" t="s">
        <v>167</v>
      </c>
    </row>
    <row r="19" spans="1:43" s="69" customFormat="1" x14ac:dyDescent="0.25">
      <c r="A19" s="47" t="s">
        <v>194</v>
      </c>
      <c r="B19" s="86">
        <f>B18</f>
        <v>257.14285714285711</v>
      </c>
      <c r="C19" s="87"/>
      <c r="D19" s="87"/>
      <c r="E19" s="87">
        <f>E18</f>
        <v>514.28571428571422</v>
      </c>
      <c r="F19" s="87"/>
      <c r="G19" s="34"/>
      <c r="H19" s="87">
        <f>H18</f>
        <v>1028.5714285714284</v>
      </c>
      <c r="I19" s="87"/>
      <c r="J19" s="87"/>
      <c r="K19" s="87">
        <f>K18</f>
        <v>2057.1428571428569</v>
      </c>
      <c r="L19" s="87"/>
      <c r="M19" s="87"/>
      <c r="N19" s="87">
        <f>N18</f>
        <v>4114.2857142857138</v>
      </c>
      <c r="O19" s="87"/>
      <c r="P19" s="87"/>
      <c r="Q19" s="87">
        <f>Q18</f>
        <v>8228.5714285714275</v>
      </c>
      <c r="R19" s="87"/>
      <c r="S19" s="87"/>
      <c r="T19" s="87">
        <f>T18</f>
        <v>16457.142857142855</v>
      </c>
      <c r="U19" s="87"/>
      <c r="V19" s="87"/>
      <c r="W19" s="121">
        <f>W18-B18</f>
        <v>32657.142857142851</v>
      </c>
      <c r="X19" s="121"/>
      <c r="Y19" s="121"/>
      <c r="Z19" s="121">
        <f>Z18-E18</f>
        <v>65314.285714285703</v>
      </c>
      <c r="AA19" s="121"/>
      <c r="AB19" s="121"/>
      <c r="AC19" s="121">
        <f>AC18-H18</f>
        <v>130628.57142857141</v>
      </c>
      <c r="AD19" s="121"/>
      <c r="AE19" s="121"/>
      <c r="AF19" s="121">
        <f>AF18-K18</f>
        <v>261257.14285714281</v>
      </c>
      <c r="AG19" s="121"/>
      <c r="AH19" s="121"/>
      <c r="AI19" s="121">
        <f>AI18-N18</f>
        <v>522514.28571428562</v>
      </c>
      <c r="AJ19" s="121"/>
      <c r="AK19" s="121"/>
      <c r="AL19" s="121">
        <f>AL18-Q18</f>
        <v>1045028.5714285712</v>
      </c>
      <c r="AM19" s="121"/>
      <c r="AN19" s="121"/>
      <c r="AO19" s="121">
        <f>AO18-T18</f>
        <v>2090057.1428571425</v>
      </c>
      <c r="AP19" s="122"/>
      <c r="AQ19" s="47" t="s">
        <v>194</v>
      </c>
    </row>
    <row r="20" spans="1:43" s="69" customFormat="1" x14ac:dyDescent="0.25">
      <c r="A20" t="s">
        <v>93</v>
      </c>
      <c r="B20" s="88"/>
      <c r="C20" s="105"/>
      <c r="D20" s="105"/>
      <c r="E20" s="105"/>
      <c r="F20" s="105"/>
      <c r="G20" s="33"/>
      <c r="H20" s="106"/>
      <c r="I20" s="107"/>
      <c r="J20" s="108"/>
      <c r="K20" s="131">
        <f>B17*(1-$E$34)</f>
        <v>28.571428571428559</v>
      </c>
      <c r="L20" s="128"/>
      <c r="M20" s="129"/>
      <c r="N20" s="130">
        <f>E17*(1-$E$34)</f>
        <v>57.142857142857117</v>
      </c>
      <c r="O20" s="128"/>
      <c r="P20" s="129"/>
      <c r="Q20" s="130">
        <f>H17*(1-$E$34)</f>
        <v>114.28571428571423</v>
      </c>
      <c r="R20" s="128"/>
      <c r="S20" s="129"/>
      <c r="T20" s="130">
        <f>K17*(1-$E$34)</f>
        <v>228.57142857142847</v>
      </c>
      <c r="U20" s="128"/>
      <c r="V20" s="129"/>
      <c r="W20" s="130">
        <f>N17*(1-$E$34)</f>
        <v>457.14285714285694</v>
      </c>
      <c r="X20" s="128"/>
      <c r="Y20" s="129"/>
      <c r="Z20" s="130">
        <f>Q17*(1-$E$34)</f>
        <v>914.28571428571388</v>
      </c>
      <c r="AA20" s="128"/>
      <c r="AB20" s="129"/>
      <c r="AC20" s="130">
        <f>T17*(1-$E$34)</f>
        <v>1828.5714285714278</v>
      </c>
      <c r="AD20" s="128"/>
      <c r="AE20" s="129"/>
      <c r="AF20" s="130">
        <f>W17*(1-$E$34)</f>
        <v>3657.1428571428555</v>
      </c>
      <c r="AG20" s="128"/>
      <c r="AH20" s="129"/>
      <c r="AI20" s="130">
        <f>Z17*(1-$E$34)</f>
        <v>7314.285714285711</v>
      </c>
      <c r="AJ20" s="128"/>
      <c r="AK20" s="129"/>
      <c r="AL20" s="130">
        <f>AC17*(1-$E$34)</f>
        <v>14628.571428571422</v>
      </c>
      <c r="AM20" s="128"/>
      <c r="AN20" s="129"/>
      <c r="AO20" s="130">
        <f>AF17*(1-$E$34)</f>
        <v>29257.142857142844</v>
      </c>
      <c r="AP20" s="79"/>
      <c r="AQ20" t="s">
        <v>93</v>
      </c>
    </row>
    <row r="21" spans="1:43" s="69" customFormat="1" x14ac:dyDescent="0.25">
      <c r="A21" s="69" t="s">
        <v>74</v>
      </c>
      <c r="B21" s="80"/>
      <c r="C21" s="81"/>
      <c r="D21" s="81"/>
      <c r="E21" s="81"/>
      <c r="F21" s="81"/>
      <c r="G21" s="82"/>
      <c r="H21" s="123">
        <f>B17-B18</f>
        <v>28.571428571428555</v>
      </c>
      <c r="I21" s="123"/>
      <c r="J21" s="123"/>
      <c r="K21" s="123">
        <f>E17-E18</f>
        <v>57.14285714285711</v>
      </c>
      <c r="L21" s="123"/>
      <c r="M21" s="123"/>
      <c r="N21" s="123">
        <f>(H17-H18)*$E$35</f>
        <v>92.571428571428527</v>
      </c>
      <c r="O21" s="123"/>
      <c r="P21" s="123"/>
      <c r="Q21" s="123">
        <f>(K17-K18)*$E$35</f>
        <v>185.14285714285705</v>
      </c>
      <c r="R21" s="123"/>
      <c r="S21" s="123"/>
      <c r="T21" s="123">
        <f>(N17-N18)*$E$35</f>
        <v>370.28571428571411</v>
      </c>
      <c r="U21" s="123"/>
      <c r="V21" s="123"/>
      <c r="W21" s="123">
        <f>((Q17-Q18)*$E$35)-(H21*$E$35)</f>
        <v>717.4285714285711</v>
      </c>
      <c r="X21" s="123"/>
      <c r="Y21" s="123"/>
      <c r="Z21" s="123">
        <f>((T17-T18)*$E$35)-(K21*$E$35)</f>
        <v>1434.8571428571422</v>
      </c>
      <c r="AA21" s="123"/>
      <c r="AB21" s="123"/>
      <c r="AC21" s="123">
        <f>((W17-W18)*$E$35)-N21</f>
        <v>2869.7142857142844</v>
      </c>
      <c r="AD21" s="123"/>
      <c r="AE21" s="123"/>
      <c r="AF21" s="123">
        <f>((Z17-Z18)*$E$35)-Q21</f>
        <v>5739.4285714285688</v>
      </c>
      <c r="AG21" s="123"/>
      <c r="AH21" s="123"/>
      <c r="AI21" s="123">
        <f>((AC17-AC18)*$E$35)-T21</f>
        <v>11478.857142857138</v>
      </c>
      <c r="AJ21" s="123"/>
      <c r="AK21" s="123"/>
      <c r="AL21" s="123">
        <f>((AF17-AF18)*$E$35)-W21</f>
        <v>22980.85714285713</v>
      </c>
      <c r="AM21" s="123"/>
      <c r="AN21" s="123"/>
      <c r="AO21" s="123">
        <f>((AI17-AI18)*$E$35)-Z21</f>
        <v>45961.714285714261</v>
      </c>
      <c r="AP21" s="124"/>
      <c r="AQ21" s="69" t="s">
        <v>74</v>
      </c>
    </row>
    <row r="22" spans="1:43" s="69" customFormat="1" x14ac:dyDescent="0.25">
      <c r="A22" s="69" t="s">
        <v>75</v>
      </c>
      <c r="B22" s="80"/>
      <c r="C22" s="81"/>
      <c r="D22" s="81"/>
      <c r="E22" s="81"/>
      <c r="F22" s="81"/>
      <c r="G22" s="82"/>
      <c r="H22" s="107"/>
      <c r="I22" s="107"/>
      <c r="J22" s="107"/>
      <c r="K22" s="107"/>
      <c r="L22" s="107"/>
      <c r="M22" s="108"/>
      <c r="N22" s="125">
        <f>(H17-H18)*($E$36+$E$37)</f>
        <v>21.714285714285701</v>
      </c>
      <c r="O22" s="125"/>
      <c r="P22" s="125"/>
      <c r="Q22" s="125">
        <f>(K17-K18)*($E$36+$E$37)</f>
        <v>43.428571428571402</v>
      </c>
      <c r="R22" s="125"/>
      <c r="S22" s="125"/>
      <c r="T22" s="125">
        <f>(N17-N18)*$E$36</f>
        <v>63.999999999999972</v>
      </c>
      <c r="U22" s="125"/>
      <c r="V22" s="125"/>
      <c r="W22" s="125">
        <f>(Q17-Q18)*$E$36</f>
        <v>127.99999999999994</v>
      </c>
      <c r="X22" s="125"/>
      <c r="Y22" s="125"/>
      <c r="Z22" s="125">
        <f>(T17-T18)*$E$36</f>
        <v>255.99999999999989</v>
      </c>
      <c r="AA22" s="125"/>
      <c r="AB22" s="125"/>
      <c r="AC22" s="125">
        <f>(W17-W18)*$E$36</f>
        <v>511.99999999999977</v>
      </c>
      <c r="AD22" s="125"/>
      <c r="AE22" s="125"/>
      <c r="AF22" s="125">
        <f>(Z17-Z18)*$E$36</f>
        <v>1023.9999999999995</v>
      </c>
      <c r="AG22" s="125"/>
      <c r="AH22" s="125"/>
      <c r="AI22" s="125">
        <f>(AC17-AC18)*$E$36</f>
        <v>2047.9999999999991</v>
      </c>
      <c r="AJ22" s="125"/>
      <c r="AK22" s="125"/>
      <c r="AL22" s="125">
        <f>(AF17-AF18)*$E$36</f>
        <v>4095.9999999999982</v>
      </c>
      <c r="AM22" s="125"/>
      <c r="AN22" s="125"/>
      <c r="AO22" s="125">
        <f>(AI17-AI18)*$E$36</f>
        <v>8191.9999999999964</v>
      </c>
      <c r="AP22" s="126"/>
      <c r="AQ22" s="69" t="s">
        <v>75</v>
      </c>
    </row>
    <row r="23" spans="1:43" s="69" customFormat="1" x14ac:dyDescent="0.25">
      <c r="A23" s="47" t="s">
        <v>76</v>
      </c>
      <c r="B23" s="80"/>
      <c r="C23" s="81"/>
      <c r="D23" s="81"/>
      <c r="E23" s="81"/>
      <c r="F23" s="81"/>
      <c r="G23" s="82"/>
      <c r="H23" s="87"/>
      <c r="I23" s="87"/>
      <c r="J23" s="87"/>
      <c r="K23" s="87"/>
      <c r="L23" s="87"/>
      <c r="M23" s="87"/>
      <c r="N23" s="107"/>
      <c r="O23" s="107"/>
      <c r="P23" s="107"/>
      <c r="Q23" s="107"/>
      <c r="R23" s="107"/>
      <c r="S23" s="108"/>
      <c r="T23" s="40">
        <f>(N17-N18)*$E$37</f>
        <v>22.857142857142847</v>
      </c>
      <c r="U23" s="40"/>
      <c r="V23" s="40"/>
      <c r="W23" s="40">
        <f>(Q17-Q18)*$E$37</f>
        <v>45.714285714285694</v>
      </c>
      <c r="X23" s="40"/>
      <c r="Y23" s="40"/>
      <c r="Z23" s="40">
        <f>(T17-T18)*$E$37</f>
        <v>91.428571428571388</v>
      </c>
      <c r="AA23" s="40"/>
      <c r="AB23" s="40"/>
      <c r="AC23" s="40">
        <f>(W17-W18)*$E$37</f>
        <v>182.85714285714278</v>
      </c>
      <c r="AD23" s="40"/>
      <c r="AE23" s="40"/>
      <c r="AF23" s="40">
        <f>(Z17-Z18)*$E$37</f>
        <v>365.71428571428555</v>
      </c>
      <c r="AG23" s="40"/>
      <c r="AH23" s="40"/>
      <c r="AI23" s="40">
        <f>(AC17-AC18)*$E$37</f>
        <v>731.4285714285711</v>
      </c>
      <c r="AJ23" s="40"/>
      <c r="AK23" s="40"/>
      <c r="AL23" s="40">
        <f>(AF17-AF18)*$E$37</f>
        <v>1462.8571428571422</v>
      </c>
      <c r="AM23" s="40"/>
      <c r="AN23" s="40"/>
      <c r="AO23" s="40">
        <f>(AI17-AI18)*$E$37</f>
        <v>2925.7142857142844</v>
      </c>
      <c r="AP23" s="127"/>
      <c r="AQ23" s="47" t="s">
        <v>76</v>
      </c>
    </row>
    <row r="24" spans="1:43" s="69" customFormat="1" x14ac:dyDescent="0.25">
      <c r="A24" s="47" t="s">
        <v>81</v>
      </c>
      <c r="B24" s="86"/>
      <c r="C24" s="87"/>
      <c r="D24" s="87"/>
      <c r="E24" s="87"/>
      <c r="F24" s="87"/>
      <c r="G24" s="34"/>
      <c r="H24" s="87"/>
      <c r="I24" s="87"/>
      <c r="J24" s="87"/>
      <c r="K24" s="87"/>
      <c r="L24" s="87"/>
      <c r="M24" s="87"/>
      <c r="N24" s="87"/>
      <c r="O24" s="87"/>
      <c r="P24" s="87"/>
      <c r="Q24" s="87"/>
      <c r="R24" s="87"/>
      <c r="S24" s="87"/>
      <c r="T24" s="107"/>
      <c r="U24" s="108"/>
      <c r="V24" s="109">
        <f>H21*$E$35</f>
        <v>23.142857142857132</v>
      </c>
      <c r="W24" s="109"/>
      <c r="X24" s="109"/>
      <c r="Y24" s="109">
        <f>K21*$E$35</f>
        <v>46.285714285714263</v>
      </c>
      <c r="Z24" s="109"/>
      <c r="AA24" s="109"/>
      <c r="AB24" s="109">
        <f>N21</f>
        <v>92.571428571428527</v>
      </c>
      <c r="AC24" s="109"/>
      <c r="AD24" s="109"/>
      <c r="AE24" s="109">
        <f>Q21</f>
        <v>185.14285714285705</v>
      </c>
      <c r="AF24" s="109"/>
      <c r="AG24" s="109"/>
      <c r="AH24" s="109">
        <f>T21</f>
        <v>370.28571428571411</v>
      </c>
      <c r="AI24" s="109"/>
      <c r="AJ24" s="109"/>
      <c r="AK24" s="109">
        <f>W21</f>
        <v>717.4285714285711</v>
      </c>
      <c r="AL24" s="109"/>
      <c r="AM24" s="109"/>
      <c r="AN24" s="109">
        <f>Z21</f>
        <v>1434.8571428571422</v>
      </c>
      <c r="AO24" s="109"/>
      <c r="AP24" s="110"/>
      <c r="AQ24" s="47" t="s">
        <v>81</v>
      </c>
    </row>
    <row r="25" spans="1:43" x14ac:dyDescent="0.25">
      <c r="A25" s="47" t="s">
        <v>70</v>
      </c>
      <c r="B25" s="99"/>
      <c r="C25" s="100"/>
      <c r="D25" s="100"/>
      <c r="E25" s="100"/>
      <c r="F25" s="100"/>
      <c r="G25" s="101"/>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132">
        <f>E32</f>
        <v>1</v>
      </c>
      <c r="AQ25" s="47" t="s">
        <v>70</v>
      </c>
    </row>
    <row r="26" spans="1:43" x14ac:dyDescent="0.25">
      <c r="A26" s="133" t="s">
        <v>97</v>
      </c>
      <c r="B26" s="89">
        <f t="shared" ref="B26:G26" ca="1" si="0">C26-1</f>
        <v>43891.574975115742</v>
      </c>
      <c r="C26" s="90">
        <f t="shared" ca="1" si="0"/>
        <v>43892.574975115742</v>
      </c>
      <c r="D26" s="90">
        <f t="shared" ca="1" si="0"/>
        <v>43893.574975115742</v>
      </c>
      <c r="E26" s="90">
        <f t="shared" ca="1" si="0"/>
        <v>43894.574975115742</v>
      </c>
      <c r="F26" s="90">
        <f t="shared" ca="1" si="0"/>
        <v>43895.574975115742</v>
      </c>
      <c r="G26" s="91">
        <f t="shared" ca="1" si="0"/>
        <v>43896.574975115742</v>
      </c>
      <c r="H26" s="90">
        <f t="shared" ref="H26:U26" ca="1" si="1">I26-1</f>
        <v>43897.574975115742</v>
      </c>
      <c r="I26" s="90">
        <f t="shared" ca="1" si="1"/>
        <v>43898.574975115742</v>
      </c>
      <c r="J26" s="90">
        <f t="shared" ca="1" si="1"/>
        <v>43899.574975115742</v>
      </c>
      <c r="K26" s="90">
        <f t="shared" ca="1" si="1"/>
        <v>43900.574975115742</v>
      </c>
      <c r="L26" s="90">
        <f t="shared" ca="1" si="1"/>
        <v>43901.574975115742</v>
      </c>
      <c r="M26" s="90">
        <f t="shared" ca="1" si="1"/>
        <v>43902.574975115742</v>
      </c>
      <c r="N26" s="91">
        <f t="shared" ca="1" si="1"/>
        <v>43903.574975115742</v>
      </c>
      <c r="O26" s="89">
        <f t="shared" ca="1" si="1"/>
        <v>43904.574975115742</v>
      </c>
      <c r="P26" s="90">
        <f t="shared" ca="1" si="1"/>
        <v>43905.574975115742</v>
      </c>
      <c r="Q26" s="90">
        <f t="shared" ca="1" si="1"/>
        <v>43906.574975115742</v>
      </c>
      <c r="R26" s="90">
        <f t="shared" ca="1" si="1"/>
        <v>43907.574975115742</v>
      </c>
      <c r="S26" s="90">
        <f t="shared" ca="1" si="1"/>
        <v>43908.574975115742</v>
      </c>
      <c r="T26" s="90">
        <f t="shared" ca="1" si="1"/>
        <v>43909.574975115742</v>
      </c>
      <c r="U26" s="91">
        <f t="shared" ca="1" si="1"/>
        <v>43910.574975115742</v>
      </c>
      <c r="V26" s="89">
        <f t="shared" ref="V26:AN26" ca="1" si="2">W26-1</f>
        <v>43911.574975115742</v>
      </c>
      <c r="W26" s="90">
        <f t="shared" ca="1" si="2"/>
        <v>43912.574975115742</v>
      </c>
      <c r="X26" s="90">
        <f t="shared" ca="1" si="2"/>
        <v>43913.574975115742</v>
      </c>
      <c r="Y26" s="90">
        <f t="shared" ca="1" si="2"/>
        <v>43914.574975115742</v>
      </c>
      <c r="Z26" s="90">
        <f t="shared" ca="1" si="2"/>
        <v>43915.574975115742</v>
      </c>
      <c r="AA26" s="90">
        <f t="shared" ca="1" si="2"/>
        <v>43916.574975115742</v>
      </c>
      <c r="AB26" s="91">
        <f t="shared" ca="1" si="2"/>
        <v>43917.574975115742</v>
      </c>
      <c r="AC26" s="89">
        <f t="shared" ca="1" si="2"/>
        <v>43918.574975115742</v>
      </c>
      <c r="AD26" s="90">
        <f t="shared" ca="1" si="2"/>
        <v>43919.574975115742</v>
      </c>
      <c r="AE26" s="90">
        <f t="shared" ca="1" si="2"/>
        <v>43920.574975115742</v>
      </c>
      <c r="AF26" s="90">
        <f t="shared" ca="1" si="2"/>
        <v>43921.574975115742</v>
      </c>
      <c r="AG26" s="90">
        <f t="shared" ca="1" si="2"/>
        <v>43922.574975115742</v>
      </c>
      <c r="AH26" s="90">
        <f t="shared" ca="1" si="2"/>
        <v>43923.574975115742</v>
      </c>
      <c r="AI26" s="91">
        <f t="shared" ca="1" si="2"/>
        <v>43924.574975115742</v>
      </c>
      <c r="AJ26" s="89">
        <f t="shared" ca="1" si="2"/>
        <v>43925.574975115742</v>
      </c>
      <c r="AK26" s="90">
        <f t="shared" ca="1" si="2"/>
        <v>43926.574975115742</v>
      </c>
      <c r="AL26" s="90">
        <f t="shared" ca="1" si="2"/>
        <v>43927.574975115742</v>
      </c>
      <c r="AM26" s="90">
        <f t="shared" ca="1" si="2"/>
        <v>43928.574975115742</v>
      </c>
      <c r="AN26" s="90">
        <f t="shared" ca="1" si="2"/>
        <v>43929.574975115742</v>
      </c>
      <c r="AO26" s="90">
        <f ca="1">AP26-1</f>
        <v>43930.574975115742</v>
      </c>
      <c r="AP26" s="111">
        <f ca="1">NOW()</f>
        <v>43931.574975115742</v>
      </c>
    </row>
    <row r="27" spans="1:43" x14ac:dyDescent="0.25">
      <c r="A27" s="134" t="s">
        <v>98</v>
      </c>
      <c r="B27" s="117">
        <v>1</v>
      </c>
      <c r="C27" s="118">
        <v>2</v>
      </c>
      <c r="D27" s="117">
        <v>3</v>
      </c>
      <c r="E27" s="118">
        <v>4</v>
      </c>
      <c r="F27" s="117">
        <v>5</v>
      </c>
      <c r="G27" s="119">
        <v>6</v>
      </c>
      <c r="H27" s="118">
        <v>7</v>
      </c>
      <c r="I27" s="118">
        <v>8</v>
      </c>
      <c r="J27" s="118">
        <v>9</v>
      </c>
      <c r="K27" s="118">
        <v>10</v>
      </c>
      <c r="L27" s="118">
        <v>11</v>
      </c>
      <c r="M27" s="118">
        <v>12</v>
      </c>
      <c r="N27" s="119">
        <v>13</v>
      </c>
      <c r="O27" s="117">
        <v>14</v>
      </c>
      <c r="P27" s="118">
        <v>15</v>
      </c>
      <c r="Q27" s="118">
        <v>16</v>
      </c>
      <c r="R27" s="118">
        <v>17</v>
      </c>
      <c r="S27" s="118">
        <v>18</v>
      </c>
      <c r="T27" s="118">
        <v>19</v>
      </c>
      <c r="U27" s="119">
        <v>20</v>
      </c>
      <c r="V27" s="117">
        <v>21</v>
      </c>
      <c r="W27" s="118">
        <v>22</v>
      </c>
      <c r="X27" s="118">
        <v>23</v>
      </c>
      <c r="Y27" s="118">
        <v>24</v>
      </c>
      <c r="Z27" s="118">
        <v>25</v>
      </c>
      <c r="AA27" s="118">
        <v>26</v>
      </c>
      <c r="AB27" s="119">
        <v>27</v>
      </c>
      <c r="AC27" s="117">
        <v>28</v>
      </c>
      <c r="AD27" s="118">
        <v>29</v>
      </c>
      <c r="AE27" s="118">
        <v>30</v>
      </c>
      <c r="AF27" s="118">
        <v>31</v>
      </c>
      <c r="AG27" s="118">
        <v>32</v>
      </c>
      <c r="AH27" s="118">
        <v>33</v>
      </c>
      <c r="AI27" s="119">
        <v>34</v>
      </c>
      <c r="AJ27" s="117">
        <v>35</v>
      </c>
      <c r="AK27" s="118">
        <v>36</v>
      </c>
      <c r="AL27" s="118">
        <v>37</v>
      </c>
      <c r="AM27" s="118">
        <v>38</v>
      </c>
      <c r="AN27" s="118">
        <v>39</v>
      </c>
      <c r="AO27" s="118">
        <v>40</v>
      </c>
      <c r="AP27" s="119">
        <v>41</v>
      </c>
    </row>
    <row r="28" spans="1:43" x14ac:dyDescent="0.25">
      <c r="A28" s="135" t="s">
        <v>99</v>
      </c>
      <c r="B28" s="255" t="s">
        <v>68</v>
      </c>
      <c r="C28" s="256"/>
      <c r="D28" s="256"/>
      <c r="E28" s="256"/>
      <c r="F28" s="256"/>
      <c r="G28" s="257"/>
      <c r="H28" s="261" t="s">
        <v>57</v>
      </c>
      <c r="I28" s="261"/>
      <c r="J28" s="261"/>
      <c r="K28" s="261"/>
      <c r="L28" s="261"/>
      <c r="M28" s="261"/>
      <c r="N28" s="262"/>
      <c r="O28" s="260" t="s">
        <v>58</v>
      </c>
      <c r="P28" s="261"/>
      <c r="Q28" s="261"/>
      <c r="R28" s="261"/>
      <c r="S28" s="261"/>
      <c r="T28" s="261"/>
      <c r="U28" s="262"/>
      <c r="V28" s="260" t="s">
        <v>59</v>
      </c>
      <c r="W28" s="261"/>
      <c r="X28" s="261"/>
      <c r="Y28" s="261"/>
      <c r="Z28" s="261"/>
      <c r="AA28" s="261"/>
      <c r="AB28" s="262"/>
      <c r="AC28" s="260" t="s">
        <v>60</v>
      </c>
      <c r="AD28" s="261"/>
      <c r="AE28" s="261"/>
      <c r="AF28" s="261"/>
      <c r="AG28" s="261"/>
      <c r="AH28" s="261"/>
      <c r="AI28" s="262"/>
      <c r="AJ28" s="260" t="s">
        <v>61</v>
      </c>
      <c r="AK28" s="261"/>
      <c r="AL28" s="261"/>
      <c r="AM28" s="261"/>
      <c r="AN28" s="261"/>
      <c r="AO28" s="261"/>
      <c r="AP28" s="262"/>
    </row>
    <row r="29" spans="1:43" x14ac:dyDescent="0.25">
      <c r="B29" s="51" t="s">
        <v>80</v>
      </c>
      <c r="C29" s="96"/>
      <c r="D29" s="96"/>
      <c r="E29" s="96"/>
      <c r="F29" s="96"/>
      <c r="G29" s="97"/>
      <c r="H29" s="258" t="s">
        <v>67</v>
      </c>
      <c r="I29" s="258"/>
      <c r="J29" s="258"/>
      <c r="K29" s="258"/>
      <c r="L29" s="258"/>
      <c r="M29" s="258"/>
      <c r="N29" s="258"/>
      <c r="O29" s="258"/>
      <c r="P29" s="258"/>
      <c r="Q29" s="258"/>
      <c r="R29" s="258"/>
      <c r="S29" s="258"/>
      <c r="T29" s="258"/>
      <c r="U29" s="258"/>
      <c r="V29" s="258"/>
      <c r="W29" s="258"/>
      <c r="X29" s="258"/>
      <c r="Y29" s="258"/>
      <c r="Z29" s="258"/>
      <c r="AA29" s="258"/>
      <c r="AB29" s="258"/>
      <c r="AC29" s="258"/>
      <c r="AD29" s="258"/>
      <c r="AE29" s="258"/>
      <c r="AF29" s="258"/>
      <c r="AG29" s="258"/>
      <c r="AH29" s="258"/>
      <c r="AI29" s="258"/>
      <c r="AJ29" s="258"/>
      <c r="AK29" s="258"/>
      <c r="AL29" s="258"/>
      <c r="AM29" s="258"/>
      <c r="AN29" s="258"/>
      <c r="AO29" s="258"/>
      <c r="AP29" s="259"/>
    </row>
    <row r="31" spans="1:43" x14ac:dyDescent="0.25">
      <c r="B31" s="57" t="s">
        <v>69</v>
      </c>
      <c r="C31" s="138" t="s">
        <v>90</v>
      </c>
      <c r="D31" s="9"/>
      <c r="E31" s="85">
        <f>VLOOKUP(C31,B43:C53,2,FALSE)</f>
        <v>3.5000000000000003E-2</v>
      </c>
      <c r="F31" s="9"/>
      <c r="G31" s="9"/>
      <c r="H31" s="9"/>
      <c r="I31" s="5"/>
    </row>
    <row r="32" spans="1:43" x14ac:dyDescent="0.25">
      <c r="B32" s="41" t="s">
        <v>96</v>
      </c>
      <c r="C32" s="16"/>
      <c r="D32" s="16"/>
      <c r="E32" s="139">
        <v>1</v>
      </c>
      <c r="F32" s="16"/>
      <c r="G32" s="16"/>
      <c r="H32" s="16"/>
      <c r="I32" s="17"/>
    </row>
    <row r="33" spans="2:22" x14ac:dyDescent="0.25">
      <c r="B33" s="41" t="s">
        <v>71</v>
      </c>
      <c r="C33" s="16"/>
      <c r="D33" s="16"/>
      <c r="E33" s="16">
        <v>3</v>
      </c>
      <c r="F33" s="16" t="s">
        <v>72</v>
      </c>
      <c r="G33" s="16"/>
      <c r="H33" s="16"/>
      <c r="I33" s="17"/>
    </row>
    <row r="34" spans="2:22" x14ac:dyDescent="0.25">
      <c r="B34" s="41" t="s">
        <v>193</v>
      </c>
      <c r="C34" s="16"/>
      <c r="D34" s="16"/>
      <c r="E34" s="140">
        <v>0.9</v>
      </c>
      <c r="F34" s="16" t="s">
        <v>195</v>
      </c>
      <c r="G34" s="16"/>
      <c r="H34" s="16"/>
      <c r="I34" s="17"/>
    </row>
    <row r="35" spans="2:22" x14ac:dyDescent="0.25">
      <c r="B35" s="41" t="s">
        <v>77</v>
      </c>
      <c r="C35" s="16"/>
      <c r="D35" s="16"/>
      <c r="E35" s="140">
        <v>0.81</v>
      </c>
      <c r="F35" s="16" t="s">
        <v>95</v>
      </c>
      <c r="G35" s="16"/>
      <c r="H35" s="16"/>
      <c r="I35" s="17"/>
    </row>
    <row r="36" spans="2:22" x14ac:dyDescent="0.25">
      <c r="B36" s="41" t="s">
        <v>78</v>
      </c>
      <c r="C36" s="16"/>
      <c r="D36" s="16"/>
      <c r="E36" s="140">
        <v>0.14000000000000001</v>
      </c>
      <c r="F36" s="16" t="s">
        <v>95</v>
      </c>
      <c r="G36" s="16"/>
      <c r="H36" s="16"/>
      <c r="I36" s="17"/>
    </row>
    <row r="37" spans="2:22" x14ac:dyDescent="0.25">
      <c r="B37" s="41" t="s">
        <v>79</v>
      </c>
      <c r="C37" s="16"/>
      <c r="D37" s="16"/>
      <c r="E37" s="140">
        <v>0.05</v>
      </c>
      <c r="F37" s="16" t="s">
        <v>95</v>
      </c>
      <c r="G37" s="16"/>
      <c r="H37" s="16"/>
      <c r="I37" s="17"/>
    </row>
    <row r="38" spans="2:22" x14ac:dyDescent="0.25">
      <c r="B38" s="41" t="s">
        <v>82</v>
      </c>
      <c r="C38" s="16"/>
      <c r="D38" s="16"/>
      <c r="E38" s="136">
        <v>2</v>
      </c>
      <c r="F38" s="16" t="s">
        <v>83</v>
      </c>
      <c r="G38" s="16"/>
      <c r="H38" s="16"/>
      <c r="I38" s="17"/>
    </row>
    <row r="39" spans="2:22" x14ac:dyDescent="0.25">
      <c r="B39" s="37" t="s">
        <v>84</v>
      </c>
      <c r="C39" s="137"/>
      <c r="D39" s="39"/>
      <c r="E39" s="116">
        <v>4</v>
      </c>
      <c r="F39" s="39" t="s">
        <v>83</v>
      </c>
      <c r="G39" s="39" t="s">
        <v>85</v>
      </c>
      <c r="H39" s="39"/>
      <c r="I39" s="63"/>
    </row>
    <row r="42" spans="2:22" x14ac:dyDescent="0.25">
      <c r="B42" t="s">
        <v>91</v>
      </c>
    </row>
    <row r="43" spans="2:22" x14ac:dyDescent="0.25">
      <c r="B43" s="4" t="s">
        <v>90</v>
      </c>
      <c r="C43" s="115">
        <v>3.5000000000000003E-2</v>
      </c>
    </row>
    <row r="44" spans="2:22" x14ac:dyDescent="0.25">
      <c r="B44" s="41" t="s">
        <v>89</v>
      </c>
      <c r="C44" s="27">
        <v>2.3E-2</v>
      </c>
    </row>
    <row r="45" spans="2:22" x14ac:dyDescent="0.25">
      <c r="B45" s="41" t="s">
        <v>12</v>
      </c>
      <c r="C45" s="27">
        <v>0.14799999999999999</v>
      </c>
    </row>
    <row r="46" spans="2:22" x14ac:dyDescent="0.25">
      <c r="B46" s="41" t="s">
        <v>13</v>
      </c>
      <c r="C46" s="27">
        <v>0.08</v>
      </c>
    </row>
    <row r="47" spans="2:22" x14ac:dyDescent="0.25">
      <c r="B47" s="41" t="s">
        <v>14</v>
      </c>
      <c r="C47" s="27">
        <v>3.5999999999999997E-2</v>
      </c>
    </row>
    <row r="48" spans="2:22" x14ac:dyDescent="0.25">
      <c r="B48" s="41" t="s">
        <v>15</v>
      </c>
      <c r="C48" s="27">
        <v>1.2999999999999999E-2</v>
      </c>
      <c r="V48" s="120"/>
    </row>
    <row r="49" spans="2:3" x14ac:dyDescent="0.25">
      <c r="B49" s="41" t="s">
        <v>16</v>
      </c>
      <c r="C49" s="27">
        <v>4.0000000000000001E-3</v>
      </c>
    </row>
    <row r="50" spans="2:3" x14ac:dyDescent="0.25">
      <c r="B50" s="41" t="s">
        <v>17</v>
      </c>
      <c r="C50" s="27">
        <v>2E-3</v>
      </c>
    </row>
    <row r="51" spans="2:3" x14ac:dyDescent="0.25">
      <c r="B51" s="41" t="s">
        <v>18</v>
      </c>
      <c r="C51" s="27">
        <v>2E-3</v>
      </c>
    </row>
    <row r="52" spans="2:3" x14ac:dyDescent="0.25">
      <c r="B52" s="42" t="s">
        <v>19</v>
      </c>
      <c r="C52" s="27">
        <v>2E-3</v>
      </c>
    </row>
    <row r="53" spans="2:3" x14ac:dyDescent="0.25">
      <c r="B53" s="43" t="s">
        <v>20</v>
      </c>
      <c r="C53" s="28">
        <v>0</v>
      </c>
    </row>
    <row r="55" spans="2:3" x14ac:dyDescent="0.25">
      <c r="B55" t="s">
        <v>100</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$B$43:$B$53</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M85"/>
  <sheetViews>
    <sheetView tabSelected="1" zoomScaleNormal="100" workbookViewId="0">
      <selection activeCell="U13" sqref="U13"/>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0.7109375" bestFit="1" customWidth="1"/>
    <col min="29" max="32" width="11.5703125" bestFit="1" customWidth="1"/>
    <col min="33" max="34" width="13.28515625" bestFit="1" customWidth="1"/>
    <col min="35" max="35" width="13.7109375" customWidth="1"/>
    <col min="36" max="36" width="11.5703125" style="69" bestFit="1" customWidth="1"/>
    <col min="37" max="37" width="11.140625" bestFit="1" customWidth="1"/>
    <col min="38" max="38" width="12.140625" bestFit="1" customWidth="1"/>
  </cols>
  <sheetData>
    <row r="1" spans="1:36" x14ac:dyDescent="0.25">
      <c r="E1" t="s">
        <v>118</v>
      </c>
    </row>
    <row r="2" spans="1:36" x14ac:dyDescent="0.25">
      <c r="D2" s="165"/>
      <c r="E2" s="158">
        <v>43863</v>
      </c>
      <c r="F2" s="159" t="s">
        <v>181</v>
      </c>
      <c r="G2" s="159"/>
      <c r="H2" s="158"/>
      <c r="I2" s="158">
        <v>43877</v>
      </c>
      <c r="K2" s="69"/>
      <c r="L2" s="165"/>
      <c r="M2" s="69"/>
      <c r="N2" s="69"/>
      <c r="O2" s="69"/>
      <c r="P2" s="69"/>
      <c r="Q2" s="69"/>
      <c r="R2" s="69"/>
      <c r="S2" s="69"/>
    </row>
    <row r="3" spans="1:36" x14ac:dyDescent="0.25">
      <c r="D3" s="69"/>
      <c r="E3" s="69"/>
      <c r="F3" s="165"/>
      <c r="G3" s="165"/>
      <c r="H3" s="165"/>
      <c r="I3" s="165"/>
      <c r="J3" s="69"/>
      <c r="K3" s="69"/>
      <c r="L3" s="158">
        <v>43892</v>
      </c>
      <c r="M3" s="158" t="s">
        <v>182</v>
      </c>
      <c r="N3" s="159"/>
      <c r="O3" s="158"/>
      <c r="P3" s="159"/>
      <c r="Q3" s="159"/>
      <c r="R3" s="159"/>
      <c r="S3" s="158">
        <v>43906</v>
      </c>
    </row>
    <row r="4" spans="1:36" x14ac:dyDescent="0.25">
      <c r="D4" s="69"/>
      <c r="E4" s="69"/>
      <c r="F4" s="69"/>
      <c r="G4" s="69"/>
      <c r="H4" s="69"/>
      <c r="I4" s="69"/>
      <c r="J4" s="165"/>
      <c r="K4" s="69"/>
      <c r="L4" s="69"/>
      <c r="M4" s="69"/>
      <c r="N4" s="165"/>
      <c r="O4" s="69"/>
      <c r="Q4" s="158">
        <v>43903</v>
      </c>
      <c r="R4" s="159" t="s">
        <v>183</v>
      </c>
      <c r="S4" s="159"/>
      <c r="T4" s="159"/>
      <c r="U4" s="159"/>
      <c r="V4" s="159"/>
      <c r="W4" s="159"/>
      <c r="AA4" s="224"/>
    </row>
    <row r="5" spans="1:36" x14ac:dyDescent="0.25">
      <c r="A5" s="4" t="s">
        <v>198</v>
      </c>
      <c r="B5" s="228">
        <v>330565500</v>
      </c>
      <c r="C5" t="s">
        <v>175</v>
      </c>
      <c r="D5" s="69"/>
      <c r="E5" s="69"/>
      <c r="F5" s="69"/>
      <c r="G5" s="69"/>
      <c r="H5" s="69"/>
      <c r="I5" s="69"/>
      <c r="J5" s="69"/>
      <c r="K5" s="69"/>
      <c r="L5" s="165"/>
      <c r="M5" s="69"/>
      <c r="N5" s="69"/>
      <c r="O5" s="69"/>
      <c r="P5" s="165"/>
      <c r="Q5" s="69"/>
      <c r="R5" s="159" t="s">
        <v>184</v>
      </c>
      <c r="S5" s="159"/>
      <c r="T5" s="159"/>
      <c r="U5" s="159"/>
      <c r="V5" s="159"/>
      <c r="W5" s="159"/>
    </row>
    <row r="6" spans="1:36" x14ac:dyDescent="0.25">
      <c r="A6" s="4" t="s">
        <v>115</v>
      </c>
      <c r="B6" s="155">
        <v>0.1</v>
      </c>
      <c r="C6" t="s">
        <v>114</v>
      </c>
      <c r="D6" s="69"/>
      <c r="E6" s="69"/>
      <c r="F6" s="69"/>
      <c r="G6" s="69"/>
      <c r="H6" s="69"/>
      <c r="I6" s="69"/>
      <c r="J6" s="69"/>
      <c r="K6" s="69"/>
      <c r="L6" s="69"/>
      <c r="M6" s="165"/>
      <c r="N6" s="69"/>
      <c r="O6" s="69"/>
      <c r="P6" s="69"/>
      <c r="Q6" s="165"/>
      <c r="R6" s="158">
        <v>43904</v>
      </c>
      <c r="S6" s="159" t="s">
        <v>177</v>
      </c>
      <c r="T6" s="159"/>
      <c r="U6" s="158"/>
      <c r="V6" s="158"/>
      <c r="W6" s="158">
        <v>43918</v>
      </c>
      <c r="X6" s="224"/>
    </row>
    <row r="7" spans="1:36" x14ac:dyDescent="0.25">
      <c r="A7" s="37" t="s">
        <v>117</v>
      </c>
      <c r="B7" s="114">
        <v>0.1</v>
      </c>
      <c r="C7" s="280">
        <v>0.2</v>
      </c>
      <c r="D7" s="69"/>
      <c r="E7" s="69"/>
      <c r="F7" s="69"/>
      <c r="G7" s="69"/>
      <c r="H7" s="69"/>
      <c r="I7" s="69"/>
      <c r="J7" s="69"/>
      <c r="K7" s="69"/>
      <c r="L7" s="69"/>
      <c r="M7" s="69"/>
      <c r="N7" s="165"/>
      <c r="O7" s="47"/>
      <c r="P7" s="47"/>
      <c r="Q7" s="165"/>
      <c r="R7" s="69"/>
      <c r="S7" s="69"/>
      <c r="T7" s="158">
        <v>43908</v>
      </c>
      <c r="U7" s="159" t="s">
        <v>178</v>
      </c>
      <c r="V7" s="159"/>
      <c r="W7" s="158"/>
      <c r="X7" s="158">
        <v>43922</v>
      </c>
    </row>
    <row r="8" spans="1:36" x14ac:dyDescent="0.25">
      <c r="A8" s="4" t="s">
        <v>185</v>
      </c>
      <c r="B8" s="281">
        <v>2.4</v>
      </c>
      <c r="C8" s="64">
        <f>(B5/1000)*B8</f>
        <v>793357.2</v>
      </c>
      <c r="D8" s="69"/>
      <c r="E8" s="69"/>
      <c r="F8" s="69"/>
      <c r="G8" s="69"/>
      <c r="H8" s="69"/>
      <c r="I8" s="69"/>
      <c r="J8" s="69"/>
      <c r="K8" s="69"/>
      <c r="L8" s="69"/>
      <c r="M8" s="69"/>
      <c r="N8" s="69"/>
      <c r="O8" s="165"/>
      <c r="P8" s="69"/>
      <c r="Q8" s="69"/>
      <c r="R8" s="69"/>
      <c r="S8" s="69"/>
      <c r="U8" s="158">
        <v>43910</v>
      </c>
      <c r="V8" s="159" t="s">
        <v>179</v>
      </c>
      <c r="W8" s="159"/>
      <c r="X8" s="158">
        <v>43924</v>
      </c>
    </row>
    <row r="9" spans="1:36" x14ac:dyDescent="0.25">
      <c r="A9" s="37" t="s">
        <v>186</v>
      </c>
      <c r="B9" s="282">
        <v>34.700000000000003</v>
      </c>
      <c r="C9" s="61">
        <f>(B5/100000)*B9</f>
        <v>114706.22850000001</v>
      </c>
      <c r="D9" s="69"/>
      <c r="E9" s="69"/>
      <c r="F9" s="69"/>
      <c r="G9" s="69"/>
      <c r="H9" s="69"/>
      <c r="I9" s="69"/>
      <c r="J9" s="69"/>
      <c r="K9" s="69"/>
      <c r="L9" s="69"/>
      <c r="M9" s="69"/>
      <c r="N9" s="69"/>
      <c r="O9" s="165"/>
      <c r="P9" s="69"/>
      <c r="Q9" s="69"/>
      <c r="R9" s="69"/>
      <c r="S9" s="69"/>
      <c r="V9" s="158">
        <v>43914</v>
      </c>
      <c r="W9" s="159" t="s">
        <v>180</v>
      </c>
      <c r="X9" s="159"/>
      <c r="Y9" s="158">
        <v>43928</v>
      </c>
    </row>
    <row r="10" spans="1:36" x14ac:dyDescent="0.25">
      <c r="A10" s="4" t="s">
        <v>74</v>
      </c>
      <c r="B10" s="112">
        <v>0.81</v>
      </c>
      <c r="C10" s="2"/>
      <c r="D10" s="69"/>
      <c r="E10" s="69"/>
      <c r="F10" s="69"/>
      <c r="G10" s="69"/>
      <c r="H10" s="69"/>
      <c r="I10" s="69"/>
      <c r="J10" s="69"/>
      <c r="K10" s="69"/>
      <c r="L10" s="69"/>
      <c r="M10" s="69"/>
      <c r="N10" s="69"/>
      <c r="O10" s="69"/>
      <c r="P10" s="150"/>
      <c r="Q10" s="69"/>
      <c r="R10" s="165"/>
      <c r="S10" s="69"/>
      <c r="V10" s="224"/>
    </row>
    <row r="11" spans="1:36" x14ac:dyDescent="0.25">
      <c r="A11" s="41" t="s">
        <v>75</v>
      </c>
      <c r="B11" s="113">
        <v>0.14000000000000001</v>
      </c>
      <c r="C11" s="2"/>
      <c r="D11" s="69"/>
      <c r="E11" s="69"/>
      <c r="F11" s="69"/>
      <c r="G11" s="69"/>
      <c r="H11" s="69"/>
      <c r="I11" s="69"/>
      <c r="J11" s="69"/>
      <c r="K11" s="69"/>
      <c r="L11" s="69"/>
      <c r="M11" s="69"/>
      <c r="N11" s="69"/>
      <c r="O11" s="47"/>
      <c r="P11" s="69"/>
      <c r="Q11" s="165"/>
      <c r="R11" s="265"/>
      <c r="S11" s="165"/>
      <c r="V11" s="224"/>
    </row>
    <row r="12" spans="1:36" x14ac:dyDescent="0.25">
      <c r="A12" s="37" t="s">
        <v>110</v>
      </c>
      <c r="B12" s="114">
        <v>0.05</v>
      </c>
      <c r="C12" s="2"/>
      <c r="D12" s="218" t="s">
        <v>171</v>
      </c>
      <c r="N12" s="16"/>
      <c r="O12" s="16"/>
      <c r="P12" s="16"/>
      <c r="Q12" s="16"/>
      <c r="R12" s="198"/>
      <c r="S12" s="16"/>
      <c r="V12" s="224"/>
      <c r="AC12" s="175"/>
      <c r="AD12" s="175"/>
      <c r="AE12" s="175"/>
      <c r="AF12" s="175"/>
      <c r="AG12" s="175"/>
      <c r="AH12" s="175"/>
    </row>
    <row r="13" spans="1:36" x14ac:dyDescent="0.25">
      <c r="A13" s="37" t="s">
        <v>116</v>
      </c>
      <c r="B13" s="65">
        <v>3.5000000000000003E-2</v>
      </c>
      <c r="C13" s="2"/>
      <c r="D13" t="s">
        <v>163</v>
      </c>
      <c r="O13" s="16"/>
      <c r="P13" s="16"/>
      <c r="Q13" s="16"/>
      <c r="R13" s="16"/>
      <c r="S13" s="16"/>
      <c r="V13" s="224"/>
      <c r="AB13" s="176"/>
    </row>
    <row r="14" spans="1:36" x14ac:dyDescent="0.25">
      <c r="A14" s="153" t="s">
        <v>103</v>
      </c>
      <c r="B14" s="154">
        <v>43851</v>
      </c>
      <c r="C14" s="2"/>
      <c r="D14" s="176">
        <f>(AD17-J17)/(LOG(AD18/J18)/LOG(2))</f>
        <v>5</v>
      </c>
      <c r="E14" s="175"/>
      <c r="M14" s="16"/>
      <c r="N14" s="16"/>
      <c r="O14" s="16"/>
      <c r="P14" s="16"/>
      <c r="Q14" s="16"/>
      <c r="R14" s="16"/>
      <c r="S14" s="16"/>
    </row>
    <row r="15" spans="1:36" x14ac:dyDescent="0.25">
      <c r="A15" s="16"/>
      <c r="B15" s="50" t="s">
        <v>54</v>
      </c>
      <c r="C15" s="10"/>
      <c r="D15" s="16"/>
      <c r="E15" s="16"/>
      <c r="F15" s="16"/>
      <c r="G15" s="16"/>
      <c r="H15" s="16"/>
      <c r="I15" s="16"/>
      <c r="J15" s="16"/>
      <c r="K15" s="16"/>
      <c r="L15" s="16"/>
      <c r="M15" s="16"/>
      <c r="N15" s="16"/>
      <c r="O15" s="16"/>
      <c r="P15" s="16"/>
      <c r="Q15" s="16"/>
      <c r="R15" s="16"/>
      <c r="S15" s="16"/>
      <c r="T15" s="16"/>
      <c r="U15" s="16"/>
      <c r="V15" s="16"/>
      <c r="W15" s="16"/>
      <c r="X15" s="16"/>
      <c r="Y15" s="16"/>
      <c r="Z15" s="16"/>
      <c r="AA15" s="16"/>
      <c r="AE15" s="218" t="s">
        <v>172</v>
      </c>
      <c r="AJ15" s="152"/>
    </row>
    <row r="16" spans="1:36" x14ac:dyDescent="0.25">
      <c r="A16" s="53" t="s">
        <v>41</v>
      </c>
      <c r="B16" s="192">
        <v>43887</v>
      </c>
      <c r="C16" s="192">
        <v>43899</v>
      </c>
      <c r="D16" s="192">
        <v>43902</v>
      </c>
      <c r="E16" s="192">
        <v>43910</v>
      </c>
      <c r="F16" s="192">
        <v>43916</v>
      </c>
      <c r="G16" s="192">
        <v>43921</v>
      </c>
      <c r="H16" s="192">
        <v>43927</v>
      </c>
      <c r="I16" s="192"/>
      <c r="K16" s="133" t="s">
        <v>176</v>
      </c>
      <c r="L16" s="16"/>
      <c r="M16" s="16"/>
      <c r="N16" s="16"/>
      <c r="O16" s="16"/>
      <c r="P16" s="16"/>
      <c r="Q16" s="16"/>
      <c r="R16" s="16"/>
      <c r="S16" s="182"/>
      <c r="T16" s="16"/>
      <c r="U16" s="16"/>
      <c r="V16" s="16"/>
      <c r="X16" s="16"/>
      <c r="Y16" s="16" t="s">
        <v>187</v>
      </c>
      <c r="Z16" s="16"/>
      <c r="AA16" s="16"/>
      <c r="AJ16" s="284" t="s">
        <v>197</v>
      </c>
    </row>
    <row r="17" spans="1:39" x14ac:dyDescent="0.25">
      <c r="A17" s="4" t="s">
        <v>11</v>
      </c>
      <c r="B17" s="157">
        <v>2</v>
      </c>
      <c r="C17" s="156">
        <v>3</v>
      </c>
      <c r="D17" s="157">
        <v>2</v>
      </c>
      <c r="E17" s="156">
        <v>3</v>
      </c>
      <c r="F17" s="84">
        <v>5</v>
      </c>
      <c r="G17" s="84">
        <v>6</v>
      </c>
      <c r="H17" s="227">
        <v>12</v>
      </c>
      <c r="I17" s="227"/>
      <c r="J17" s="244">
        <v>43887</v>
      </c>
      <c r="K17" s="245">
        <f t="shared" ref="K17:AI17" si="0">J17+HLOOKUP(J17+1, $B$16:$I$17,2,TRUE)</f>
        <v>43889</v>
      </c>
      <c r="L17" s="245">
        <f t="shared" si="0"/>
        <v>43891</v>
      </c>
      <c r="M17" s="245">
        <f t="shared" si="0"/>
        <v>43893</v>
      </c>
      <c r="N17" s="245">
        <f t="shared" si="0"/>
        <v>43895</v>
      </c>
      <c r="O17" s="245">
        <f t="shared" si="0"/>
        <v>43897</v>
      </c>
      <c r="P17" s="246">
        <f t="shared" si="0"/>
        <v>43899</v>
      </c>
      <c r="Q17" s="245">
        <f t="shared" si="0"/>
        <v>43902</v>
      </c>
      <c r="R17" s="245">
        <f t="shared" si="0"/>
        <v>43904</v>
      </c>
      <c r="S17" s="245">
        <f t="shared" si="0"/>
        <v>43906</v>
      </c>
      <c r="T17" s="245">
        <f t="shared" si="0"/>
        <v>43908</v>
      </c>
      <c r="U17" s="246">
        <f t="shared" si="0"/>
        <v>43910</v>
      </c>
      <c r="V17" s="246">
        <f t="shared" si="0"/>
        <v>43913</v>
      </c>
      <c r="W17" s="217">
        <f t="shared" si="0"/>
        <v>43916</v>
      </c>
      <c r="X17" s="217">
        <f t="shared" si="0"/>
        <v>43921</v>
      </c>
      <c r="Y17" s="217">
        <f t="shared" si="0"/>
        <v>43927</v>
      </c>
      <c r="Z17" s="247">
        <f t="shared" si="0"/>
        <v>43939</v>
      </c>
      <c r="AA17" s="247">
        <f t="shared" si="0"/>
        <v>43951</v>
      </c>
      <c r="AB17" s="247">
        <f t="shared" si="0"/>
        <v>43963</v>
      </c>
      <c r="AC17" s="247">
        <f t="shared" si="0"/>
        <v>43975</v>
      </c>
      <c r="AD17" s="247">
        <f t="shared" si="0"/>
        <v>43987</v>
      </c>
      <c r="AE17" s="268">
        <f t="shared" si="0"/>
        <v>43999</v>
      </c>
      <c r="AF17" s="247">
        <f t="shared" si="0"/>
        <v>44011</v>
      </c>
      <c r="AG17" s="247">
        <f t="shared" si="0"/>
        <v>44023</v>
      </c>
      <c r="AH17" s="269">
        <f t="shared" si="0"/>
        <v>44035</v>
      </c>
      <c r="AI17" s="269">
        <f t="shared" si="0"/>
        <v>44047</v>
      </c>
      <c r="AJ17" s="283">
        <f>AI17+(7*8)</f>
        <v>44103</v>
      </c>
      <c r="AK17" s="70"/>
      <c r="AL17" s="70"/>
      <c r="AM17" s="69"/>
    </row>
    <row r="18" spans="1:39" x14ac:dyDescent="0.25">
      <c r="A18" s="41" t="s">
        <v>108</v>
      </c>
      <c r="B18" s="16"/>
      <c r="C18" s="16"/>
      <c r="D18" s="16"/>
      <c r="E18" s="16"/>
      <c r="F18" s="16"/>
      <c r="G18" s="16"/>
      <c r="H18" s="16"/>
      <c r="I18" s="16"/>
      <c r="J18" s="242">
        <v>12.5</v>
      </c>
      <c r="K18" s="232">
        <f>J18*2</f>
        <v>25</v>
      </c>
      <c r="L18" s="232">
        <f t="shared" ref="L18:Z18" si="1">K18*2</f>
        <v>50</v>
      </c>
      <c r="M18" s="232">
        <f t="shared" si="1"/>
        <v>100</v>
      </c>
      <c r="N18" s="232">
        <f t="shared" si="1"/>
        <v>200</v>
      </c>
      <c r="O18" s="232">
        <f t="shared" si="1"/>
        <v>400</v>
      </c>
      <c r="P18" s="232">
        <f t="shared" si="1"/>
        <v>800</v>
      </c>
      <c r="Q18" s="232">
        <f t="shared" si="1"/>
        <v>1600</v>
      </c>
      <c r="R18" s="232">
        <f t="shared" si="1"/>
        <v>3200</v>
      </c>
      <c r="S18" s="232">
        <f>R18*2</f>
        <v>6400</v>
      </c>
      <c r="T18" s="232">
        <f>S18*2</f>
        <v>12800</v>
      </c>
      <c r="U18" s="232">
        <f>T18*2</f>
        <v>25600</v>
      </c>
      <c r="V18" s="232">
        <f>U18*2</f>
        <v>51200</v>
      </c>
      <c r="W18" s="232">
        <f t="shared" si="1"/>
        <v>102400</v>
      </c>
      <c r="X18" s="232">
        <f t="shared" si="1"/>
        <v>204800</v>
      </c>
      <c r="Y18" s="232">
        <f t="shared" si="1"/>
        <v>409600</v>
      </c>
      <c r="Z18" s="232">
        <f t="shared" si="1"/>
        <v>819200</v>
      </c>
      <c r="AA18" s="232">
        <f>Z18*2</f>
        <v>1638400</v>
      </c>
      <c r="AB18" s="232">
        <f>AA18*2</f>
        <v>3276800</v>
      </c>
      <c r="AC18" s="232">
        <f>AB18*2</f>
        <v>6553600</v>
      </c>
      <c r="AD18" s="243">
        <f t="shared" ref="AD18:AH18" si="2">AC18*2</f>
        <v>13107200</v>
      </c>
      <c r="AE18" s="200">
        <f t="shared" si="2"/>
        <v>26214400</v>
      </c>
      <c r="AF18" s="200">
        <f t="shared" si="2"/>
        <v>52428800</v>
      </c>
      <c r="AG18" s="200">
        <f t="shared" si="2"/>
        <v>104857600</v>
      </c>
      <c r="AH18" s="201">
        <f t="shared" si="2"/>
        <v>209715200</v>
      </c>
      <c r="AI18" s="200">
        <f>B5</f>
        <v>330565500</v>
      </c>
      <c r="AJ18" s="274">
        <f>B5*AJ19</f>
        <v>33056550</v>
      </c>
      <c r="AK18" s="45"/>
      <c r="AL18" s="45"/>
      <c r="AM18" s="69"/>
    </row>
    <row r="19" spans="1:39" x14ac:dyDescent="0.25">
      <c r="A19" s="41" t="s">
        <v>109</v>
      </c>
      <c r="B19" s="16"/>
      <c r="C19" s="16"/>
      <c r="D19" s="16"/>
      <c r="E19" s="16"/>
      <c r="F19" s="16"/>
      <c r="G19" s="16"/>
      <c r="H19" s="16"/>
      <c r="I19" s="16"/>
      <c r="J19" s="225">
        <f t="shared" ref="J19:Z19" si="3">J18/$B$5</f>
        <v>3.7813988453120487E-8</v>
      </c>
      <c r="K19" s="226">
        <f t="shared" si="3"/>
        <v>7.5627976906240973E-8</v>
      </c>
      <c r="L19" s="226">
        <f t="shared" si="3"/>
        <v>1.5125595381248195E-7</v>
      </c>
      <c r="M19" s="196">
        <f t="shared" si="3"/>
        <v>3.0251190762496389E-7</v>
      </c>
      <c r="N19" s="196">
        <f t="shared" si="3"/>
        <v>6.0502381524992779E-7</v>
      </c>
      <c r="O19" s="196">
        <f t="shared" si="3"/>
        <v>1.2100476304998556E-6</v>
      </c>
      <c r="P19" s="196">
        <f t="shared" si="3"/>
        <v>2.4200952609997111E-6</v>
      </c>
      <c r="Q19" s="66">
        <f t="shared" si="3"/>
        <v>4.8401905219994223E-6</v>
      </c>
      <c r="R19" s="36">
        <f t="shared" si="3"/>
        <v>9.6803810439988446E-6</v>
      </c>
      <c r="S19" s="36">
        <f>S18/$B$5</f>
        <v>1.9360762087997689E-5</v>
      </c>
      <c r="T19" s="36">
        <f>T18/$B$5</f>
        <v>3.8721524175995378E-5</v>
      </c>
      <c r="U19" s="36">
        <f>U18/$B$5</f>
        <v>7.7443048351990757E-5</v>
      </c>
      <c r="V19" s="36">
        <f>V18/$B$5</f>
        <v>1.5488609670398151E-4</v>
      </c>
      <c r="W19" s="14">
        <f t="shared" si="3"/>
        <v>3.0977219340796303E-4</v>
      </c>
      <c r="X19" s="14">
        <f t="shared" si="3"/>
        <v>6.1954438681592605E-4</v>
      </c>
      <c r="Y19" s="14">
        <f t="shared" si="3"/>
        <v>1.2390887736318521E-3</v>
      </c>
      <c r="Z19" s="14">
        <f t="shared" si="3"/>
        <v>2.4781775472637042E-3</v>
      </c>
      <c r="AA19" s="15">
        <f>AA18/$B$5</f>
        <v>4.9563550945274084E-3</v>
      </c>
      <c r="AB19" s="15">
        <f>AB18/$B$5</f>
        <v>9.9127101890548169E-3</v>
      </c>
      <c r="AC19" s="15">
        <f>AC18/$B$5</f>
        <v>1.9825420378109634E-2</v>
      </c>
      <c r="AD19" s="234">
        <f t="shared" ref="AD19:AH19" si="4">AD18/$B$5</f>
        <v>3.9650840756219267E-2</v>
      </c>
      <c r="AE19" s="230">
        <f t="shared" si="4"/>
        <v>7.9301681512438535E-2</v>
      </c>
      <c r="AF19" s="230">
        <f t="shared" si="4"/>
        <v>0.15860336302487707</v>
      </c>
      <c r="AG19" s="230">
        <f t="shared" si="4"/>
        <v>0.31720672604975414</v>
      </c>
      <c r="AH19" s="178">
        <f t="shared" si="4"/>
        <v>0.63441345209950828</v>
      </c>
      <c r="AI19" s="177">
        <f>AI18/$B$5</f>
        <v>1</v>
      </c>
      <c r="AJ19" s="275">
        <f>B7</f>
        <v>0.1</v>
      </c>
      <c r="AK19" s="25"/>
      <c r="AL19" s="25"/>
      <c r="AM19" s="69"/>
    </row>
    <row r="20" spans="1:39" x14ac:dyDescent="0.25">
      <c r="A20" s="41" t="s">
        <v>159</v>
      </c>
      <c r="B20" s="16"/>
      <c r="C20" s="16"/>
      <c r="D20" s="16"/>
      <c r="E20" s="16"/>
      <c r="F20" s="16"/>
      <c r="G20" s="16"/>
      <c r="H20" s="16"/>
      <c r="I20" s="16"/>
      <c r="J20" s="206">
        <f t="shared" ref="J20:S20" si="5">MAX(J18-(J26-J27)-(J28-J29)-(J30-J31),0)</f>
        <v>8.091040399435018</v>
      </c>
      <c r="K20" s="207">
        <f t="shared" si="5"/>
        <v>19.856820591623034</v>
      </c>
      <c r="L20" s="207">
        <f t="shared" si="5"/>
        <v>44.00033186437836</v>
      </c>
      <c r="M20" s="207">
        <f t="shared" si="5"/>
        <v>93.001212891977858</v>
      </c>
      <c r="N20" s="207">
        <f t="shared" si="5"/>
        <v>191.83571159668122</v>
      </c>
      <c r="O20" s="207">
        <f t="shared" si="5"/>
        <v>390.47612049005414</v>
      </c>
      <c r="P20" s="207">
        <f t="shared" si="5"/>
        <v>788.89011798222418</v>
      </c>
      <c r="Q20" s="207">
        <f t="shared" si="5"/>
        <v>1586.0024257839557</v>
      </c>
      <c r="R20" s="207">
        <f t="shared" si="5"/>
        <v>3181.3991872657402</v>
      </c>
      <c r="S20" s="207">
        <f t="shared" si="5"/>
        <v>6354.7529894788286</v>
      </c>
      <c r="T20" s="207">
        <f>MAX(T18-(T26-T27)-(T28-T29)-(T30-T31),0)</f>
        <v>12716.114774997242</v>
      </c>
      <c r="U20" s="207">
        <f t="shared" ref="U20:AI20" si="6">MAX(U18-(U26-U27)-(U28-U29)-(U30-U31),0)</f>
        <v>25412.726836683349</v>
      </c>
      <c r="V20" s="207">
        <f t="shared" si="6"/>
        <v>50607.0546875</v>
      </c>
      <c r="W20" s="207">
        <f t="shared" si="6"/>
        <v>101200.1875</v>
      </c>
      <c r="X20" s="207">
        <f t="shared" si="6"/>
        <v>198664.54315993286</v>
      </c>
      <c r="Y20" s="207">
        <f t="shared" si="6"/>
        <v>375138.66791215917</v>
      </c>
      <c r="Z20" s="207">
        <f t="shared" si="6"/>
        <v>381426.93368104787</v>
      </c>
      <c r="AA20" s="207">
        <f t="shared" si="6"/>
        <v>115572.96948388524</v>
      </c>
      <c r="AB20" s="207">
        <f t="shared" si="6"/>
        <v>352675.97118977213</v>
      </c>
      <c r="AC20" s="207">
        <f t="shared" si="6"/>
        <v>675969.90252586291</v>
      </c>
      <c r="AD20" s="208">
        <f t="shared" ref="AD20:AH20" si="7">MAX(AD18-(AD26-AD27)-(AD28-AD29)-(AD30-AD31),0)</f>
        <v>2243824.6608466953</v>
      </c>
      <c r="AE20" s="200">
        <f t="shared" si="7"/>
        <v>7341230.7798680384</v>
      </c>
      <c r="AF20" s="200">
        <f t="shared" si="7"/>
        <v>18501092.042844169</v>
      </c>
      <c r="AG20" s="200">
        <f t="shared" si="7"/>
        <v>42445532.455226026</v>
      </c>
      <c r="AH20" s="201">
        <f t="shared" si="7"/>
        <v>93018982.717260078</v>
      </c>
      <c r="AI20" s="200">
        <f t="shared" si="6"/>
        <v>109747951.4162866</v>
      </c>
      <c r="AJ20" s="276"/>
      <c r="AK20" s="45"/>
      <c r="AL20" s="45"/>
      <c r="AM20" s="69"/>
    </row>
    <row r="21" spans="1:39" x14ac:dyDescent="0.25">
      <c r="A21" s="41" t="s">
        <v>173</v>
      </c>
      <c r="B21" s="16"/>
      <c r="C21" s="16"/>
      <c r="D21" s="16"/>
      <c r="E21" s="16"/>
      <c r="F21" s="16"/>
      <c r="G21" s="16"/>
      <c r="H21" s="16"/>
      <c r="I21" s="16"/>
      <c r="J21" s="80">
        <f>J18-J20</f>
        <v>4.408959600564982</v>
      </c>
      <c r="K21" s="81">
        <f>K18-K20</f>
        <v>5.143179408376966</v>
      </c>
      <c r="L21" s="81">
        <f t="shared" ref="L21:AI21" si="8">L18-L20</f>
        <v>5.9996681356216399</v>
      </c>
      <c r="M21" s="81">
        <f t="shared" si="8"/>
        <v>6.9987871080221424</v>
      </c>
      <c r="N21" s="233">
        <f t="shared" si="8"/>
        <v>8.1642884033187784</v>
      </c>
      <c r="O21" s="233">
        <f t="shared" si="8"/>
        <v>9.5238795099458571</v>
      </c>
      <c r="P21" s="233">
        <f t="shared" si="8"/>
        <v>11.109882017775817</v>
      </c>
      <c r="Q21" s="233">
        <f t="shared" si="8"/>
        <v>13.997574216044313</v>
      </c>
      <c r="R21" s="233">
        <f t="shared" si="8"/>
        <v>18.600812734259762</v>
      </c>
      <c r="S21" s="233">
        <f t="shared" si="8"/>
        <v>45.247010521171433</v>
      </c>
      <c r="T21" s="233">
        <f t="shared" si="8"/>
        <v>83.885225002757579</v>
      </c>
      <c r="U21" s="233">
        <f t="shared" si="8"/>
        <v>187.27316331665133</v>
      </c>
      <c r="V21" s="233">
        <f t="shared" si="8"/>
        <v>592.9453125</v>
      </c>
      <c r="W21" s="233">
        <f t="shared" si="8"/>
        <v>1199.8125</v>
      </c>
      <c r="X21" s="233">
        <f t="shared" si="8"/>
        <v>6135.4568400671415</v>
      </c>
      <c r="Y21" s="233">
        <f t="shared" si="8"/>
        <v>34461.332087840827</v>
      </c>
      <c r="Z21" s="233">
        <f t="shared" si="8"/>
        <v>437773.06631895213</v>
      </c>
      <c r="AA21" s="233">
        <f t="shared" si="8"/>
        <v>1522827.0305161148</v>
      </c>
      <c r="AB21" s="233">
        <f t="shared" si="8"/>
        <v>2924124.0288102278</v>
      </c>
      <c r="AC21" s="233">
        <f t="shared" si="8"/>
        <v>5877630.0974741373</v>
      </c>
      <c r="AD21" s="235">
        <f t="shared" ref="AD21:AH21" si="9">AD18-AD20</f>
        <v>10863375.339153305</v>
      </c>
      <c r="AE21" s="219">
        <f t="shared" si="9"/>
        <v>18873169.220131963</v>
      </c>
      <c r="AF21" s="219">
        <f t="shared" si="9"/>
        <v>33927707.957155831</v>
      </c>
      <c r="AG21" s="219">
        <f t="shared" si="9"/>
        <v>62412067.544773974</v>
      </c>
      <c r="AH21" s="220">
        <f t="shared" si="9"/>
        <v>116696217.28273992</v>
      </c>
      <c r="AI21" s="219">
        <f t="shared" si="8"/>
        <v>220817548.58371341</v>
      </c>
      <c r="AJ21" s="277"/>
      <c r="AK21" s="25"/>
      <c r="AL21" s="25"/>
      <c r="AM21" s="69"/>
    </row>
    <row r="22" spans="1:39" x14ac:dyDescent="0.25">
      <c r="A22" s="4" t="s">
        <v>166</v>
      </c>
      <c r="B22" s="9"/>
      <c r="C22" s="9"/>
      <c r="D22" s="9"/>
      <c r="E22" s="9"/>
      <c r="F22" s="9"/>
      <c r="G22" s="9"/>
      <c r="H22" s="9"/>
      <c r="I22" s="5"/>
      <c r="J22" s="215">
        <f t="shared" ref="J22:AH22" si="10">J18/$B$6</f>
        <v>125</v>
      </c>
      <c r="K22" s="216">
        <f t="shared" si="10"/>
        <v>250</v>
      </c>
      <c r="L22" s="216">
        <f t="shared" si="10"/>
        <v>500</v>
      </c>
      <c r="M22" s="216">
        <f t="shared" si="10"/>
        <v>1000</v>
      </c>
      <c r="N22" s="216">
        <f t="shared" si="10"/>
        <v>2000</v>
      </c>
      <c r="O22" s="216">
        <f t="shared" si="10"/>
        <v>4000</v>
      </c>
      <c r="P22" s="216">
        <f t="shared" si="10"/>
        <v>8000</v>
      </c>
      <c r="Q22" s="216">
        <f t="shared" si="10"/>
        <v>16000</v>
      </c>
      <c r="R22" s="216">
        <f t="shared" si="10"/>
        <v>32000</v>
      </c>
      <c r="S22" s="216">
        <f t="shared" si="10"/>
        <v>64000</v>
      </c>
      <c r="T22" s="216">
        <f t="shared" si="10"/>
        <v>128000</v>
      </c>
      <c r="U22" s="216">
        <f t="shared" si="10"/>
        <v>256000</v>
      </c>
      <c r="V22" s="216">
        <f t="shared" si="10"/>
        <v>512000</v>
      </c>
      <c r="W22" s="216">
        <f t="shared" si="10"/>
        <v>1024000</v>
      </c>
      <c r="X22" s="216">
        <f t="shared" si="10"/>
        <v>2048000</v>
      </c>
      <c r="Y22" s="216">
        <f t="shared" si="10"/>
        <v>4096000</v>
      </c>
      <c r="Z22" s="216">
        <f t="shared" si="10"/>
        <v>8192000</v>
      </c>
      <c r="AA22" s="216">
        <f t="shared" si="10"/>
        <v>16384000</v>
      </c>
      <c r="AB22" s="216">
        <f t="shared" si="10"/>
        <v>32768000</v>
      </c>
      <c r="AC22" s="216">
        <f t="shared" si="10"/>
        <v>65536000</v>
      </c>
      <c r="AD22" s="236">
        <f t="shared" si="10"/>
        <v>131072000</v>
      </c>
      <c r="AE22" s="270">
        <f t="shared" si="10"/>
        <v>262144000</v>
      </c>
      <c r="AF22" s="211">
        <f>$B$5</f>
        <v>330565500</v>
      </c>
      <c r="AG22" s="211">
        <f t="shared" ref="AG22:AH22" si="11">$B$5</f>
        <v>330565500</v>
      </c>
      <c r="AH22" s="212">
        <f t="shared" si="11"/>
        <v>330565500</v>
      </c>
      <c r="AI22" s="200">
        <f>AI18</f>
        <v>330565500</v>
      </c>
      <c r="AJ22" s="276">
        <f>($B$5*$B$7)/$B$6</f>
        <v>330565500</v>
      </c>
      <c r="AK22" s="25"/>
      <c r="AL22" s="25"/>
      <c r="AM22" s="69"/>
    </row>
    <row r="23" spans="1:39" x14ac:dyDescent="0.25">
      <c r="A23" s="41" t="s">
        <v>113</v>
      </c>
      <c r="B23" s="16"/>
      <c r="C23" s="16"/>
      <c r="D23" s="16"/>
      <c r="E23" s="16"/>
      <c r="F23" s="16"/>
      <c r="G23" s="16"/>
      <c r="H23" s="16"/>
      <c r="I23" s="17"/>
      <c r="J23" s="195">
        <f>J22/$B$5</f>
        <v>3.7813988453120488E-7</v>
      </c>
      <c r="K23" s="196">
        <f t="shared" ref="K23:AB23" si="12">K22/$B$5</f>
        <v>7.5627976906240976E-7</v>
      </c>
      <c r="L23" s="196">
        <f t="shared" si="12"/>
        <v>1.5125595381248195E-6</v>
      </c>
      <c r="M23" s="66">
        <f t="shared" si="12"/>
        <v>3.025119076249639E-6</v>
      </c>
      <c r="N23" s="66">
        <f t="shared" si="12"/>
        <v>6.0502381524992781E-6</v>
      </c>
      <c r="O23" s="66">
        <f t="shared" si="12"/>
        <v>1.2100476304998556E-5</v>
      </c>
      <c r="P23" s="66">
        <f t="shared" si="12"/>
        <v>2.4200952609997112E-5</v>
      </c>
      <c r="Q23" s="66">
        <f t="shared" si="12"/>
        <v>4.8401905219994225E-5</v>
      </c>
      <c r="R23" s="36">
        <f t="shared" si="12"/>
        <v>9.6803810439988449E-5</v>
      </c>
      <c r="S23" s="36">
        <f t="shared" si="12"/>
        <v>1.936076208799769E-4</v>
      </c>
      <c r="T23" s="36">
        <f t="shared" si="12"/>
        <v>3.872152417599538E-4</v>
      </c>
      <c r="U23" s="36">
        <f t="shared" si="12"/>
        <v>7.7443048351990759E-4</v>
      </c>
      <c r="V23" s="14">
        <f t="shared" si="12"/>
        <v>1.5488609670398152E-3</v>
      </c>
      <c r="W23" s="15">
        <f t="shared" si="12"/>
        <v>3.0977219340796304E-3</v>
      </c>
      <c r="X23" s="15">
        <f t="shared" si="12"/>
        <v>6.1954438681592608E-3</v>
      </c>
      <c r="Y23" s="15">
        <f t="shared" si="12"/>
        <v>1.2390887736318522E-2</v>
      </c>
      <c r="Z23" s="15">
        <f t="shared" si="12"/>
        <v>2.4781775472637043E-2</v>
      </c>
      <c r="AA23" s="15">
        <f t="shared" si="12"/>
        <v>4.9563550945274086E-2</v>
      </c>
      <c r="AB23" s="75">
        <f t="shared" si="12"/>
        <v>9.9127101890548172E-2</v>
      </c>
      <c r="AC23" s="75">
        <f>AC22/$B$5</f>
        <v>0.19825420378109634</v>
      </c>
      <c r="AD23" s="237">
        <f t="shared" ref="AD23:AH23" si="13">AD22/$B$5</f>
        <v>0.39650840756219269</v>
      </c>
      <c r="AE23" s="271">
        <f t="shared" si="13"/>
        <v>0.79301681512438538</v>
      </c>
      <c r="AF23" s="177">
        <f t="shared" si="13"/>
        <v>1</v>
      </c>
      <c r="AG23" s="177">
        <f t="shared" si="13"/>
        <v>1</v>
      </c>
      <c r="AH23" s="178">
        <f t="shared" si="13"/>
        <v>1</v>
      </c>
      <c r="AI23" s="177">
        <v>1</v>
      </c>
      <c r="AJ23" s="275">
        <f>AJ22/B5</f>
        <v>1</v>
      </c>
      <c r="AK23" s="25"/>
      <c r="AL23" s="25"/>
      <c r="AM23" s="69"/>
    </row>
    <row r="24" spans="1:39" x14ac:dyDescent="0.25">
      <c r="A24" s="41" t="s">
        <v>164</v>
      </c>
      <c r="B24" s="16"/>
      <c r="C24" s="16"/>
      <c r="D24" s="16"/>
      <c r="E24" s="16"/>
      <c r="F24" s="16"/>
      <c r="G24" s="16"/>
      <c r="H24" s="16"/>
      <c r="I24" s="17"/>
      <c r="J24" s="197">
        <f>J22-J18</f>
        <v>112.5</v>
      </c>
      <c r="K24" s="198">
        <f t="shared" ref="K24:AC24" si="14">K22-K18</f>
        <v>225</v>
      </c>
      <c r="L24" s="198">
        <f t="shared" si="14"/>
        <v>450</v>
      </c>
      <c r="M24" s="198">
        <f t="shared" si="14"/>
        <v>900</v>
      </c>
      <c r="N24" s="198">
        <f>N22-N18</f>
        <v>1800</v>
      </c>
      <c r="O24" s="198">
        <f t="shared" si="14"/>
        <v>3600</v>
      </c>
      <c r="P24" s="198">
        <f t="shared" si="14"/>
        <v>7200</v>
      </c>
      <c r="Q24" s="198">
        <f t="shared" si="14"/>
        <v>14400</v>
      </c>
      <c r="R24" s="198">
        <f t="shared" si="14"/>
        <v>28800</v>
      </c>
      <c r="S24" s="198">
        <f t="shared" si="14"/>
        <v>57600</v>
      </c>
      <c r="T24" s="198">
        <f t="shared" si="14"/>
        <v>115200</v>
      </c>
      <c r="U24" s="198">
        <f t="shared" si="14"/>
        <v>230400</v>
      </c>
      <c r="V24" s="198">
        <f t="shared" si="14"/>
        <v>460800</v>
      </c>
      <c r="W24" s="198">
        <f t="shared" si="14"/>
        <v>921600</v>
      </c>
      <c r="X24" s="198">
        <f t="shared" si="14"/>
        <v>1843200</v>
      </c>
      <c r="Y24" s="198">
        <f t="shared" si="14"/>
        <v>3686400</v>
      </c>
      <c r="Z24" s="198">
        <f t="shared" si="14"/>
        <v>7372800</v>
      </c>
      <c r="AA24" s="198">
        <f t="shared" si="14"/>
        <v>14745600</v>
      </c>
      <c r="AB24" s="198">
        <f>AB22-AB18</f>
        <v>29491200</v>
      </c>
      <c r="AC24" s="198">
        <f>AC22-AC18</f>
        <v>58982400</v>
      </c>
      <c r="AD24" s="198">
        <f>AD22-AD18</f>
        <v>117964800</v>
      </c>
      <c r="AE24" s="272">
        <f t="shared" ref="AD24:AH24" si="15">AE22</f>
        <v>262144000</v>
      </c>
      <c r="AF24" s="200">
        <f t="shared" si="15"/>
        <v>330565500</v>
      </c>
      <c r="AG24" s="200">
        <f t="shared" si="15"/>
        <v>330565500</v>
      </c>
      <c r="AH24" s="201">
        <f t="shared" si="15"/>
        <v>330565500</v>
      </c>
      <c r="AI24" s="200">
        <f>AI22</f>
        <v>330565500</v>
      </c>
      <c r="AJ24" s="278">
        <f>AJ22-AJ18</f>
        <v>297508950</v>
      </c>
      <c r="AK24" s="25"/>
      <c r="AL24" s="25"/>
      <c r="AM24" s="69"/>
    </row>
    <row r="25" spans="1:39" x14ac:dyDescent="0.25">
      <c r="A25" s="37" t="s">
        <v>165</v>
      </c>
      <c r="B25" s="39"/>
      <c r="C25" s="39"/>
      <c r="D25" s="39"/>
      <c r="E25" s="39"/>
      <c r="F25" s="39"/>
      <c r="G25" s="39"/>
      <c r="H25" s="39"/>
      <c r="I25" s="63"/>
      <c r="J25" s="209">
        <f>MIN((1/$B$6)*(2^(((J17 - 14) - $B$14)/$J$43)),J24)</f>
        <v>54.431600006975088</v>
      </c>
      <c r="K25" s="210">
        <f>MIN((1/$B$6)*(2^(((K17 - 14) - $B$14)/$J$43)),K24)</f>
        <v>63.496042078727974</v>
      </c>
      <c r="L25" s="210">
        <f t="shared" ref="L25:Q25" si="16">MIN((1/$B$6)*(2^(((L17 - 14) - $B$14)/$J$43)),L24)</f>
        <v>74.069976982983235</v>
      </c>
      <c r="M25" s="210">
        <f t="shared" si="16"/>
        <v>86.404779111384485</v>
      </c>
      <c r="N25" s="210">
        <f t="shared" si="16"/>
        <v>100.79368399158986</v>
      </c>
      <c r="O25" s="210">
        <f t="shared" si="16"/>
        <v>117.57875938204791</v>
      </c>
      <c r="P25" s="210">
        <f t="shared" si="16"/>
        <v>137.15903725649164</v>
      </c>
      <c r="Q25" s="210">
        <f t="shared" si="16"/>
        <v>172.80955822276894</v>
      </c>
      <c r="R25" s="198">
        <f>MIN(($J$18/$B$6)*(2^(((R17 - 14) - $J$17)/HLOOKUP((R17-14)-$B$14,$J$41:$AJ$43,3,TRUE))),R24)</f>
        <v>229.63966338592294</v>
      </c>
      <c r="S25" s="198">
        <f>MIN(($J$18/$B$6)*(2^(((S17 - 14) - $J$17)/HLOOKUP((S17-14)-$B$14,$J$41:$AJ$43,3,TRUE))),S24)</f>
        <v>558.60506816261136</v>
      </c>
      <c r="T25" s="198">
        <f t="shared" ref="T25:AD25" si="17">MIN(($J$18/$B$6)*(2^(((T17 - 14) - $J$17)/HLOOKUP((T17-14)-$B$14,$J$41:$AJ$43,3,TRUE))),T24)</f>
        <v>1035.6200617624438</v>
      </c>
      <c r="U25" s="198">
        <f t="shared" si="17"/>
        <v>2312.0143619339665</v>
      </c>
      <c r="V25" s="198">
        <f t="shared" si="17"/>
        <v>7320.3124999999964</v>
      </c>
      <c r="W25" s="198">
        <f t="shared" si="17"/>
        <v>14812.500000000004</v>
      </c>
      <c r="X25" s="198">
        <f t="shared" si="17"/>
        <v>75746.380741569708</v>
      </c>
      <c r="Y25" s="198">
        <f t="shared" si="17"/>
        <v>425414.06249999965</v>
      </c>
      <c r="Z25" s="198">
        <f t="shared" si="17"/>
        <v>5089846.5196971176</v>
      </c>
      <c r="AA25" s="198">
        <f t="shared" si="17"/>
        <v>14745600</v>
      </c>
      <c r="AB25" s="198">
        <f t="shared" si="17"/>
        <v>29491200</v>
      </c>
      <c r="AC25" s="198">
        <f t="shared" si="17"/>
        <v>58982400</v>
      </c>
      <c r="AD25" s="198">
        <f t="shared" si="17"/>
        <v>117964800</v>
      </c>
      <c r="AE25" s="273">
        <f>MIN(($J$18/$B$6)*(2^(((AE17 - 14) - $J$17)/HLOOKUP((AE17-14)-$B$14,$J$41:$AJ$43,3,TRUE))),AE24)</f>
        <v>213548989.02983561</v>
      </c>
      <c r="AF25" s="204">
        <f>MIN(($J$18/$B$6)*(2^(((AF17 - 14) - $J$17)/HLOOKUP((AF17-14)-$B$14,$J$41:$AJ$43,3,TRUE))),AF24)</f>
        <v>330565500</v>
      </c>
      <c r="AG25" s="204">
        <f t="shared" ref="AG25:AH25" si="18">MIN(($J$18/$B$6)*(2^(((AG17 - 14) - $J$17)/HLOOKUP((AG17-14)-$B$14,$J$41:$AJ$43,3,TRUE))),AG24)</f>
        <v>330565500</v>
      </c>
      <c r="AH25" s="205">
        <f t="shared" si="18"/>
        <v>330565500</v>
      </c>
      <c r="AI25" s="204">
        <f>MIN(($J$18/$B$6)*(2^(((AI17 - 14) - $J$17)/HLOOKUP((AI17-14)-$B$14,$J$41:$AJ$43,3,TRUE))),AI24)</f>
        <v>330565500</v>
      </c>
      <c r="AJ25" s="278"/>
      <c r="AK25" s="25"/>
      <c r="AL25" s="25"/>
      <c r="AM25" s="69"/>
    </row>
    <row r="26" spans="1:39" x14ac:dyDescent="0.25">
      <c r="A26" s="41" t="s">
        <v>162</v>
      </c>
      <c r="B26" s="16"/>
      <c r="C26" s="16"/>
      <c r="D26" s="16"/>
      <c r="E26" s="16"/>
      <c r="F26" s="16"/>
      <c r="G26" s="16"/>
      <c r="H26" s="16"/>
      <c r="I26" s="16"/>
      <c r="J26" s="221">
        <f t="shared" ref="J26:AI26" si="19">J18*$B$10</f>
        <v>10.125</v>
      </c>
      <c r="K26" s="222">
        <f t="shared" si="19"/>
        <v>20.25</v>
      </c>
      <c r="L26" s="222">
        <f t="shared" si="19"/>
        <v>40.5</v>
      </c>
      <c r="M26" s="222">
        <f t="shared" si="19"/>
        <v>81</v>
      </c>
      <c r="N26" s="222">
        <f t="shared" si="19"/>
        <v>162</v>
      </c>
      <c r="O26" s="222">
        <f t="shared" si="19"/>
        <v>324</v>
      </c>
      <c r="P26" s="222">
        <f t="shared" si="19"/>
        <v>648</v>
      </c>
      <c r="Q26" s="222">
        <f t="shared" si="19"/>
        <v>1296</v>
      </c>
      <c r="R26" s="222">
        <f t="shared" si="19"/>
        <v>2592</v>
      </c>
      <c r="S26" s="222">
        <f t="shared" si="19"/>
        <v>5184</v>
      </c>
      <c r="T26" s="222">
        <f t="shared" si="19"/>
        <v>10368</v>
      </c>
      <c r="U26" s="222">
        <f t="shared" si="19"/>
        <v>20736</v>
      </c>
      <c r="V26" s="222">
        <f t="shared" si="19"/>
        <v>41472</v>
      </c>
      <c r="W26" s="222">
        <f t="shared" si="19"/>
        <v>82944</v>
      </c>
      <c r="X26" s="222">
        <f t="shared" si="19"/>
        <v>165888</v>
      </c>
      <c r="Y26" s="222">
        <f t="shared" si="19"/>
        <v>331776</v>
      </c>
      <c r="Z26" s="222">
        <f t="shared" si="19"/>
        <v>663552</v>
      </c>
      <c r="AA26" s="222">
        <f t="shared" si="19"/>
        <v>1327104</v>
      </c>
      <c r="AB26" s="222">
        <f t="shared" si="19"/>
        <v>2654208</v>
      </c>
      <c r="AC26" s="222">
        <f t="shared" si="19"/>
        <v>5308416</v>
      </c>
      <c r="AD26" s="223">
        <f t="shared" ref="AD26:AH26" si="20">AD18*$B$10</f>
        <v>10616832</v>
      </c>
      <c r="AE26" s="211">
        <f t="shared" si="20"/>
        <v>21233664</v>
      </c>
      <c r="AF26" s="211">
        <f t="shared" si="20"/>
        <v>42467328</v>
      </c>
      <c r="AG26" s="211">
        <f t="shared" si="20"/>
        <v>84934656</v>
      </c>
      <c r="AH26" s="212">
        <f t="shared" si="20"/>
        <v>169869312</v>
      </c>
      <c r="AI26" s="200">
        <f t="shared" si="19"/>
        <v>267758055.00000003</v>
      </c>
      <c r="AJ26" s="278">
        <f>AJ18*B10</f>
        <v>26775805.5</v>
      </c>
      <c r="AK26" s="25"/>
      <c r="AL26" s="25"/>
      <c r="AM26" s="69"/>
    </row>
    <row r="27" spans="1:39" x14ac:dyDescent="0.25">
      <c r="A27" s="41" t="s">
        <v>174</v>
      </c>
      <c r="B27" s="16"/>
      <c r="C27" s="16"/>
      <c r="D27" s="16"/>
      <c r="E27" s="16"/>
      <c r="F27" s="16"/>
      <c r="G27" s="16"/>
      <c r="H27" s="16"/>
      <c r="I27" s="16"/>
      <c r="J27" s="209">
        <f t="shared" ref="J27:Q27" si="21">J26-(1*$B$10)*(2^(((J17 - 14) - $B$14)/$J$43))</f>
        <v>5.716040399435018</v>
      </c>
      <c r="K27" s="210">
        <f t="shared" si="21"/>
        <v>15.106820591623034</v>
      </c>
      <c r="L27" s="210">
        <f t="shared" si="21"/>
        <v>34.50033186437836</v>
      </c>
      <c r="M27" s="210">
        <f t="shared" si="21"/>
        <v>74.001212891977858</v>
      </c>
      <c r="N27" s="210">
        <f t="shared" si="21"/>
        <v>153.83571159668122</v>
      </c>
      <c r="O27" s="210">
        <f t="shared" si="21"/>
        <v>314.47612049005414</v>
      </c>
      <c r="P27" s="210">
        <f t="shared" si="21"/>
        <v>636.89011798222418</v>
      </c>
      <c r="Q27" s="210">
        <f t="shared" si="21"/>
        <v>1282.0024257839557</v>
      </c>
      <c r="R27" s="207">
        <f>MAX(R26-(($J$18*$B$10)*(2^(((R17 -14) - $J$17)/HLOOKUP((R17-14)-$B$14,$J$41:$AJ$43,3,TRUE)))),0)</f>
        <v>2573.3991872657402</v>
      </c>
      <c r="S27" s="207">
        <f>MAX(S26-(($J$18*$B$10)*(2^(((S17 -14) - $J$17)/HLOOKUP((S17-14)-$B$14,$J$41:$AJ$43,3,TRUE)))),0)</f>
        <v>5138.7529894788286</v>
      </c>
      <c r="T27" s="207">
        <f>MAX(T26-(($J$18*$B$10)*(2^(((T17 -14) - $J$17)/HLOOKUP((T17-14)-$B$14,$J$41:$AJ$43,3,TRUE)))),0)</f>
        <v>10284.114774997242</v>
      </c>
      <c r="U27" s="207">
        <f>MAX(U26-(($J$18*$B$10)*(2^(((U17 -14) - $J$17)/HLOOKUP((U17-14)-$B$14,$J$41:$AJ$43,3,TRUE)))),0)</f>
        <v>20548.726836683349</v>
      </c>
      <c r="V27" s="207">
        <f>MAX(V26-(($J$18*$B$10)*(2^(((V17 -14) - $J$17)/HLOOKUP((V17-14)-$B$14,$J$41:$AJ$43,3,TRUE)))),0)</f>
        <v>40879.0546875</v>
      </c>
      <c r="W27" s="207">
        <f>MAX(W26-(($J$18*$B$10)*(2^(((W17 -14) - $J$17)/HLOOKUP((W17-14)-$B$14,$J$41:$AJ$43,3,TRUE)))),0)</f>
        <v>81744.1875</v>
      </c>
      <c r="X27" s="207">
        <f>MAX(X26-(($J$18*$B$10)*(2^(((X17 -14) - $J$17)/HLOOKUP((X17-14)-$B$14,$J$41:$AJ$43,3,TRUE)))),0)</f>
        <v>159752.54315993286</v>
      </c>
      <c r="Y27" s="207">
        <f>MAX(Y26-(($J$18*$B$10)*(2^(((Y17 -14) - $J$17)/HLOOKUP((Y17-14)-$B$14,$J$41:$AJ$43,3,TRUE)))),0)</f>
        <v>297317.4609375</v>
      </c>
      <c r="Z27" s="207">
        <f>MAX(Z26-(($J$18*$B$10)*(2^(((Z17 -14) - $J$17)/HLOOKUP((Z17-14)-$B$14,$J$41:$AJ$43,3,TRUE)))),0)</f>
        <v>251274.43190453347</v>
      </c>
      <c r="AA27" s="207">
        <f>MAX(AA26-(($J$18*$B$10)*(2^(((AA17 -14) - $J$17)/HLOOKUP((AA17-14)-$B$14,$J$41:$AJ$43,3,TRUE)))),0)</f>
        <v>0</v>
      </c>
      <c r="AB27" s="207">
        <f>MAX(AB26-(($J$18*$B$10)*(2^(((AB17 -14) - $J$17)/HLOOKUP((AB17-14)-$B$14,$J$41:$AJ$43,3,TRUE)))),0)</f>
        <v>0</v>
      </c>
      <c r="AC27" s="207">
        <f>MAX(AC26-(($J$18*$B$10)*(2^(((AC17 -14) - $J$17)/HLOOKUP((AC17-14)-$B$14,$J$41:$AJ$43,3,TRUE)))),0)</f>
        <v>0</v>
      </c>
      <c r="AD27" s="208">
        <f>MAX(AD26-(($J$18*$B$10)*(2^(((AD17 -14) - $J$17)/HLOOKUP((AD17-14)-$B$14,$J$41:$AJ$43,3,TRUE)))),0)</f>
        <v>668255.08307182044</v>
      </c>
      <c r="AE27" s="204">
        <f>MAX(AE26-(($J$18*$B$10)*(2^(((AE17 -14) - $J$17)/HLOOKUP((AE17-14)-$B$14,$J$41:$AJ$43,3,TRUE)))),0)</f>
        <v>3936195.8885833137</v>
      </c>
      <c r="AF27" s="204">
        <f>MAX(AF26-(($J$18*$B$10)*(2^(((AF17 -14) - $J$17)/HLOOKUP((AF17-14)-$B$14,$J$41:$AJ$43,3,TRUE)))),0)</f>
        <v>11364624.819324967</v>
      </c>
      <c r="AG27" s="204">
        <f>MAX(AG26-(($J$18*$B$10)*(2^(((AG17 -14) - $J$17)/HLOOKUP((AG17-14)-$B$14,$J$41:$AJ$43,3,TRUE)))),0)</f>
        <v>27718744.845708199</v>
      </c>
      <c r="AH27" s="205">
        <f>MAX(AH26-(($J$18*$B$10)*(2^(((AH17 -14) - $J$17)/HLOOKUP((AH17-14)-$B$14,$J$41:$AJ$43,3,TRUE)))),0)</f>
        <v>62898942.228966162</v>
      </c>
      <c r="AI27" s="204">
        <f>MAX(AI26-(($J$18*$B$10)*(2^(((AI17 -14) - $J$17)/HLOOKUP((AI17-14)-$B$14,$J$41:$AJ$43,3,TRUE)))),0)</f>
        <v>65373288.574978232</v>
      </c>
      <c r="AJ27" s="276"/>
      <c r="AK27" s="25"/>
      <c r="AL27" s="25"/>
      <c r="AM27" s="69"/>
    </row>
    <row r="28" spans="1:39" x14ac:dyDescent="0.25">
      <c r="A28" s="62" t="s">
        <v>111</v>
      </c>
      <c r="B28" s="9"/>
      <c r="C28" s="9"/>
      <c r="D28" s="9"/>
      <c r="E28" s="9"/>
      <c r="F28" s="9"/>
      <c r="G28" s="9"/>
      <c r="H28" s="9"/>
      <c r="I28" s="5"/>
      <c r="J28" s="238">
        <f>(1*($B$11+$B$12))*(2^(((J17 - 7) - $B$14)/$J$43))</f>
        <v>1.7731241401556967</v>
      </c>
      <c r="K28" s="229">
        <f>(1*($B$11+$B$12))*(2^(((K17 - 7) - $B$14)/$J$43))</f>
        <v>2.0684008002650538</v>
      </c>
      <c r="L28" s="229">
        <f>(1*($B$11+$B$12))*(2^(((L17 - 7) - $B$14)/$J$43))</f>
        <v>2.4128495989916625</v>
      </c>
      <c r="M28" s="229">
        <f>(1*($B$11+$B$12))*(2^(((M17 - 7) - $B$14)/$J$43))</f>
        <v>2.8146591253533622</v>
      </c>
      <c r="N28" s="216">
        <f>($J$18*($B$11+$B$12))*(2^(((N17-7)-$J$17)/HLOOKUP((N17-7)-$B$14,$J$41:$AJ$43,3,TRUE)))</f>
        <v>2.5651418798692269</v>
      </c>
      <c r="O28" s="216">
        <f>($J$18*($B$11+$B$12))*(2^(((O17-7)-$J$17)/HLOOKUP((O17-7)-$B$14,$J$41:$AJ$43,3,TRUE)))</f>
        <v>4.3631536043325365</v>
      </c>
      <c r="P28" s="216">
        <f>($J$18*($B$11+$B$12))*(2^(((P17-7)-$J$17)/HLOOKUP((P17-7)-$B$14,$J$41:$AJ$43,3,TRUE)))</f>
        <v>10.613496295089616</v>
      </c>
      <c r="Q28" s="216">
        <f>($J$18*($B$11+$B$12))*(2^(((Q17-7)-$J$17)/HLOOKUP((Q17-7)-$B$14,$J$41:$AJ$43,3,TRUE)))</f>
        <v>31.765624999999993</v>
      </c>
      <c r="R28" s="216">
        <f>($J$18*($B$11+$B$12))*(2^(((R17-7)-$J$17)/HLOOKUP((R17-7)-$B$14,$J$41:$AJ$43,3,TRUE)))</f>
        <v>62.789062500000007</v>
      </c>
      <c r="S28" s="216">
        <f>($J$18*($B$11+$B$12))*(2^(((S17-7)-$J$17)/HLOOKUP((S17-7)-$B$14,$J$41:$AJ$43,3,TRUE)))</f>
        <v>139.08593749999994</v>
      </c>
      <c r="T28" s="216">
        <f>($J$18*($B$11+$B$12))*(2^(((T17-7)-$J$17)/HLOOKUP((T17-7)-$B$14,$J$41:$AJ$43,3,TRUE)))</f>
        <v>274.08577115571507</v>
      </c>
      <c r="U28" s="216">
        <f>($J$18*($B$11+$B$12))*(2^(((U17-7)-$J$17)/HLOOKUP((U17-7)-$B$14,$J$41:$AJ$43,3,TRUE)))</f>
        <v>386.92772897925926</v>
      </c>
      <c r="V28" s="216">
        <f>($J$18*($B$11+$B$12))*(2^(((V17-7)-$J$17)/HLOOKUP((V17-7)-$B$14,$J$41:$AJ$43,3,TRUE)))</f>
        <v>1044.7031250000005</v>
      </c>
      <c r="W28" s="216">
        <f>($J$18*($B$11+$B$12))*(2^(((W17-7)-$J$17)/HLOOKUP((W17-7)-$B$14,$J$41:$AJ$43,3,TRUE)))</f>
        <v>3131.4966051328934</v>
      </c>
      <c r="X28" s="216">
        <f>($J$18*($B$11+$B$12))*(2^(((X17-7)-$J$17)/HLOOKUP((X17-7)-$B$14,$J$41:$AJ$43,3,TRUE)))</f>
        <v>11051.15883246587</v>
      </c>
      <c r="Y28" s="216">
        <f>($J$18*($B$11+$B$12))*(2^(((Y17-7)-$J$17)/HLOOKUP((Y17-7)-$B$14,$J$41:$AJ$43,3,TRUE)))</f>
        <v>51435.022972362516</v>
      </c>
      <c r="Z28" s="216">
        <f>($J$18*($B$11+$B$12))*(2^(((Z17-7)-$J$17)/HLOOKUP((Z17-7)-$B$14,$J$41:$AJ$43,3,TRUE)))</f>
        <v>207593.60554917139</v>
      </c>
      <c r="AA28" s="216">
        <f>($J$18*($B$11+$B$12))*(2^(((AA17-7)-$J$17)/HLOOKUP((AA17-7)-$B$14,$J$41:$AJ$43,3,TRUE)))</f>
        <v>331499.39492985891</v>
      </c>
      <c r="AB28" s="216">
        <f>($J$18*($B$11+$B$12))*(2^(((AB17-7)-$J$17)/HLOOKUP((AB17-7)-$B$14,$J$41:$AJ$43,3,TRUE)))</f>
        <v>575986.05433270708</v>
      </c>
      <c r="AC28" s="216">
        <f>($J$18*($B$11+$B$12))*(2^(((AC17-7)-$J$17)/HLOOKUP((AC17-7)-$B$14,$J$41:$AJ$43,3,TRUE)))</f>
        <v>1046251.6985502951</v>
      </c>
      <c r="AD28" s="236">
        <f>($J$18*($B$11+$B$12))*(2^(((AD17-7)-$J$17)/HLOOKUP((AD17-7)-$B$14,$J$41:$AJ$43,3,TRUE)))</f>
        <v>1951021.0818230812</v>
      </c>
      <c r="AE28" s="211">
        <f>($J$18*($B$11+$B$12))*(2^(((AE17-7)-$J$17)/HLOOKUP((AE17-7)-$B$14,$J$41:$AJ$43,3,TRUE)))</f>
        <v>3699855.4646789199</v>
      </c>
      <c r="AF28" s="211">
        <f>($J$18*($B$11+$B$12))*(2^(((AF17-7)-$J$17)/HLOOKUP((AF17-7)-$B$14,$J$41:$AJ$43,3,TRUE)))</f>
        <v>7096743.321711435</v>
      </c>
      <c r="AG28" s="211">
        <f>($J$18*($B$11+$B$12))*(2^(((AG17-7)-$J$17)/HLOOKUP((AG17-7)-$B$14,$J$41:$AJ$43,3,TRUE)))</f>
        <v>13722948.544358011</v>
      </c>
      <c r="AH28" s="212">
        <f>($J$18*($B$11+$B$12))*(2^(((AH17-7)-$J$17)/HLOOKUP((AH17-7)-$B$14,$J$41:$AJ$43,3,TRUE)))</f>
        <v>26694364.984635334</v>
      </c>
      <c r="AI28" s="211">
        <f>($J$18*($B$11+$B$12))*(2^(((AI17 - 7) - $J$17)/AI43))</f>
        <v>23483557.563182272</v>
      </c>
      <c r="AJ28" s="276">
        <f>AJ18*(B11+B12)</f>
        <v>6280744.5</v>
      </c>
      <c r="AK28" s="45"/>
      <c r="AL28" s="45"/>
      <c r="AM28" s="69"/>
    </row>
    <row r="29" spans="1:39" x14ac:dyDescent="0.25">
      <c r="A29" s="37" t="s">
        <v>160</v>
      </c>
      <c r="B29" s="38"/>
      <c r="C29" s="39"/>
      <c r="D29" s="39"/>
      <c r="E29" s="39"/>
      <c r="F29" s="39"/>
      <c r="G29" s="39"/>
      <c r="H29" s="39"/>
      <c r="I29" s="63"/>
      <c r="J29" s="209">
        <f t="shared" ref="J29:Y29" si="22">J28</f>
        <v>1.7731241401556967</v>
      </c>
      <c r="K29" s="210">
        <f t="shared" si="22"/>
        <v>2.0684008002650538</v>
      </c>
      <c r="L29" s="210">
        <f t="shared" si="22"/>
        <v>2.4128495989916625</v>
      </c>
      <c r="M29" s="210">
        <f t="shared" si="22"/>
        <v>2.8146591253533622</v>
      </c>
      <c r="N29" s="210">
        <f t="shared" si="22"/>
        <v>2.5651418798692269</v>
      </c>
      <c r="O29" s="210">
        <f t="shared" si="22"/>
        <v>4.3631536043325365</v>
      </c>
      <c r="P29" s="210">
        <f t="shared" si="22"/>
        <v>10.613496295089616</v>
      </c>
      <c r="Q29" s="210">
        <f t="shared" si="22"/>
        <v>31.765624999999993</v>
      </c>
      <c r="R29" s="210">
        <f t="shared" si="22"/>
        <v>62.789062500000007</v>
      </c>
      <c r="S29" s="210">
        <f t="shared" si="22"/>
        <v>139.08593749999994</v>
      </c>
      <c r="T29" s="210">
        <f t="shared" si="22"/>
        <v>274.08577115571507</v>
      </c>
      <c r="U29" s="210">
        <f t="shared" si="22"/>
        <v>386.92772897925926</v>
      </c>
      <c r="V29" s="210">
        <f t="shared" si="22"/>
        <v>1044.7031250000005</v>
      </c>
      <c r="W29" s="210">
        <f t="shared" si="22"/>
        <v>3131.4966051328934</v>
      </c>
      <c r="X29" s="210">
        <f t="shared" si="22"/>
        <v>11051.15883246587</v>
      </c>
      <c r="Y29" s="210">
        <f t="shared" si="22"/>
        <v>51435.022972362516</v>
      </c>
      <c r="Z29" s="198">
        <f>MAX(Z28-($J$18*$B$11)*(2^(((Z17 - 42) - $J$17)/HLOOKUP((Z17-42)-$B$14,$J$41:$AJ$43,3,TRUE)))-Z31,0)</f>
        <v>182234.31826318579</v>
      </c>
      <c r="AA29" s="198">
        <f>MAX(AA28-($J$18*$B$11)*(2^(((AA17 - 42) - $J$17)/HLOOKUP((AA17-42)-$B$14,$J$41:$AJ$43,3,TRUE)))-AA31,0)</f>
        <v>139812.34097624416</v>
      </c>
      <c r="AB29" s="198">
        <f>MAX(AB28-($J$18*$B$11)*(2^(((AB17 - 42) - $J$17)/HLOOKUP((AB17-42)-$B$14,$J$41:$AJ$43,3,TRUE)))-AB31,0)</f>
        <v>325939.27462551038</v>
      </c>
      <c r="AC29" s="198">
        <f>MAX(AC28-($J$18*$B$11)*(2^(((AC17 - 42) - $J$17)/HLOOKUP((AC17-42)-$B$14,$J$41:$AJ$43,3,TRUE)))-AC31,0)</f>
        <v>515026.71856656077</v>
      </c>
      <c r="AD29" s="199">
        <f>MAX(AD28-($J$18*$B$11)*(2^(((AD17 - 42) - $J$17)/HLOOKUP((AD17-42)-$B$14,$J$41:$AJ$43,3,TRUE)))-AD31,0)</f>
        <v>1110092.8208376579</v>
      </c>
      <c r="AE29" s="204">
        <f>MAX(AE28-($J$18*$B$11)*(2^(((AE17 - 42) - $J$17)/HLOOKUP((AE17-42)-$B$14,$J$41:$AJ$43,3,TRUE)))-AE31,0)</f>
        <v>2269077.5459672571</v>
      </c>
      <c r="AF29" s="204">
        <f>MAX(AF28-($J$18*$B$11)*(2^(((AF17 - 42) - $J$17)/HLOOKUP((AF17-42)-$B$14,$J$41:$AJ$43,3,TRUE)))-AF31,0)</f>
        <v>4557554.8754791534</v>
      </c>
      <c r="AG29" s="204">
        <f>MAX(AG28-($J$18*$B$11)*(2^(((AG17 - 42) - $J$17)/HLOOKUP((AG17-42)-$B$14,$J$41:$AJ$43,3,TRUE)))-AG31,0)</f>
        <v>9092374.1737761255</v>
      </c>
      <c r="AH29" s="205">
        <f>MAX(AH28-($J$18*$B$11)*(2^(((AH17 - 42) - $J$17)/HLOOKUP((AH17-42)-$B$14,$J$41:$AJ$43,3,TRUE)))-AH31,0)</f>
        <v>18090263.290528007</v>
      </c>
      <c r="AI29" s="204">
        <f>MAX(AI28-($J$18*$B$11)*(2^(((AI17 - 42) - $J$17)/HLOOKUP((AI17-42)-$B$14,$J$41:$AJ$43,3,TRUE)))-AI31,0)</f>
        <v>7279190.659902133</v>
      </c>
      <c r="AJ29" s="278"/>
      <c r="AK29" s="45"/>
      <c r="AL29" s="45"/>
      <c r="AM29" s="69"/>
    </row>
    <row r="30" spans="1:39" x14ac:dyDescent="0.25">
      <c r="A30" s="62" t="s">
        <v>112</v>
      </c>
      <c r="B30" s="9"/>
      <c r="C30" s="9"/>
      <c r="D30" s="9"/>
      <c r="E30" s="9"/>
      <c r="F30" s="9"/>
      <c r="G30" s="9"/>
      <c r="H30" s="9"/>
      <c r="I30" s="5"/>
      <c r="J30" s="238">
        <f t="shared" ref="J30:Q30" si="23">(1*$B$12)*(2^(((J17 - 14) -$B$14)/$J$43))</f>
        <v>0.27215800003487545</v>
      </c>
      <c r="K30" s="229">
        <f t="shared" si="23"/>
        <v>0.31748021039363988</v>
      </c>
      <c r="L30" s="229">
        <f t="shared" si="23"/>
        <v>0.37034988491491622</v>
      </c>
      <c r="M30" s="229">
        <f t="shared" si="23"/>
        <v>0.43202389555692244</v>
      </c>
      <c r="N30" s="229">
        <f t="shared" si="23"/>
        <v>0.50396841995794928</v>
      </c>
      <c r="O30" s="229">
        <f t="shared" si="23"/>
        <v>0.58789379691023957</v>
      </c>
      <c r="P30" s="229">
        <f t="shared" si="23"/>
        <v>0.68579518628245828</v>
      </c>
      <c r="Q30" s="229">
        <f t="shared" si="23"/>
        <v>0.86404779111384478</v>
      </c>
      <c r="R30" s="216">
        <f>($J$18*$B$12)*(2^(((R17 - 14) - $J$17)/HLOOKUP((R17-14)-$B$14,$J$41:$AJ$43,3,TRUE)))</f>
        <v>1.1481983169296148</v>
      </c>
      <c r="S30" s="216">
        <f>($J$18*$B$12)*(2^(((S17 - 14) - $J$17)/HLOOKUP((S17-14)-$B$14,$J$41:$AJ$43,3,TRUE)))</f>
        <v>2.793025340813057</v>
      </c>
      <c r="T30" s="216">
        <f>($J$18*$B$12)*(2^(((T17 - 14) - $J$17)/HLOOKUP((T17-14)-$B$14,$J$41:$AJ$43,3,TRUE)))</f>
        <v>5.1781003088122191</v>
      </c>
      <c r="U30" s="216">
        <f>($J$18*$B$12)*(2^(((U17 - 14) - $J$17)/HLOOKUP((U17-14)-$B$14,$J$41:$AJ$43,3,TRUE)))</f>
        <v>11.560071809669832</v>
      </c>
      <c r="V30" s="216">
        <f>($J$18*$B$12)*(2^(((V17 - 14) - $J$17)/HLOOKUP((V17-14)-$B$14,$J$41:$AJ$43,3,TRUE)))</f>
        <v>36.601562499999986</v>
      </c>
      <c r="W30" s="216">
        <f>($J$18*$B$12)*(2^(((W17 - 14) - $J$17)/HLOOKUP((W17-14)-$B$14,$J$41:$AJ$43,3,TRUE)))</f>
        <v>74.062500000000014</v>
      </c>
      <c r="X30" s="216">
        <f>($J$18*$B$12)*(2^(((X17 - 14) - $J$17)/HLOOKUP((X17-14)-$B$14,$J$41:$AJ$43,3,TRUE)))</f>
        <v>378.73190370784857</v>
      </c>
      <c r="Y30" s="216">
        <f>($J$18*$B$12)*(2^(((Y17 - 14) - $J$17)/HLOOKUP((Y17-14)-$B$14,$J$41:$AJ$43,3,TRUE)))</f>
        <v>2127.0703124999982</v>
      </c>
      <c r="Z30" s="216">
        <f>($J$18*$B$12)*(2^(((Z17 - 14) - $J$17)/HLOOKUP((Z17-14)-$B$14,$J$41:$AJ$43,3,TRUE)))</f>
        <v>25449.232598485585</v>
      </c>
      <c r="AA30" s="216">
        <f>($J$18*$B$12)*(2^(((AA17 - 14) - $J$17)/HLOOKUP((AA17-14)-$B$14,$J$41:$AJ$43,3,TRUE)))</f>
        <v>193415.61196496422</v>
      </c>
      <c r="AB30" s="216">
        <f>($J$18*$B$12)*(2^(((AB17 - 14) - $J$17)/HLOOKUP((AB17-14)-$B$14,$J$41:$AJ$43,3,TRUE)))</f>
        <v>246603.4038102279</v>
      </c>
      <c r="AC30" s="216">
        <f>($J$18*$B$12)*(2^(((AC17 - 14) - $J$17)/HLOOKUP((AC17-14)-$B$14,$J$41:$AJ$43,3,TRUE)))</f>
        <v>372243.84715736721</v>
      </c>
      <c r="AD30" s="236">
        <f>($J$18*$B$12)*(2^(((AD17 - 14) - $J$17)/HLOOKUP((AD17-14)-$B$14,$J$41:$AJ$43,3,TRUE)))</f>
        <v>614109.68623013457</v>
      </c>
      <c r="AE30" s="211">
        <f>($J$18*$B$12)*(2^(((AE17 - 14) - $J$17)/HLOOKUP((AE17-14)-$B$14,$J$41:$AJ$43,3,TRUE)))</f>
        <v>1067744.9451491782</v>
      </c>
      <c r="AF30" s="211">
        <f>($J$18*$B$12)*(2^(((AF17 - 14) - $J$17)/HLOOKUP((AF17-14)-$B$14,$J$41:$AJ$43,3,TRUE)))</f>
        <v>1919919.9494243846</v>
      </c>
      <c r="AG30" s="211">
        <f>($J$18*$B$12)*(2^(((AG17 - 14) - $J$17)/HLOOKUP((AG17-14)-$B$14,$J$41:$AJ$43,3,TRUE)))</f>
        <v>3531846.3675488764</v>
      </c>
      <c r="AH30" s="212">
        <f>($J$18*$B$12)*(2^(((AH17 - 14) - $J$17)/HLOOKUP((AH17-14)-$B$14,$J$41:$AJ$43,3,TRUE)))</f>
        <v>6603109.2451255452</v>
      </c>
      <c r="AI30" s="211">
        <f>($J$18*$B$12)*(2^(((AI17 - 14) - $J$17)/HLOOKUP((AI17-14)-$B$14,$J$41:$AJ$43,3,TRUE)))</f>
        <v>12492886.816359369</v>
      </c>
      <c r="AJ30" s="276">
        <f>AJ18*B12</f>
        <v>1652827.5</v>
      </c>
      <c r="AK30" s="45"/>
      <c r="AL30" s="45"/>
      <c r="AM30" s="69"/>
    </row>
    <row r="31" spans="1:39" x14ac:dyDescent="0.25">
      <c r="A31" s="37" t="s">
        <v>161</v>
      </c>
      <c r="B31" s="38"/>
      <c r="C31" s="39"/>
      <c r="D31" s="39"/>
      <c r="E31" s="39"/>
      <c r="F31" s="39"/>
      <c r="G31" s="39"/>
      <c r="H31" s="39"/>
      <c r="I31" s="63"/>
      <c r="J31" s="209">
        <f t="shared" ref="J31:X31" si="24">J30</f>
        <v>0.27215800003487545</v>
      </c>
      <c r="K31" s="210">
        <f t="shared" si="24"/>
        <v>0.31748021039363988</v>
      </c>
      <c r="L31" s="210">
        <f t="shared" si="24"/>
        <v>0.37034988491491622</v>
      </c>
      <c r="M31" s="210">
        <f t="shared" si="24"/>
        <v>0.43202389555692244</v>
      </c>
      <c r="N31" s="210">
        <f t="shared" si="24"/>
        <v>0.50396841995794928</v>
      </c>
      <c r="O31" s="210">
        <f t="shared" si="24"/>
        <v>0.58789379691023957</v>
      </c>
      <c r="P31" s="210">
        <f t="shared" si="24"/>
        <v>0.68579518628245828</v>
      </c>
      <c r="Q31" s="210">
        <f t="shared" si="24"/>
        <v>0.86404779111384478</v>
      </c>
      <c r="R31" s="210">
        <f t="shared" si="24"/>
        <v>1.1481983169296148</v>
      </c>
      <c r="S31" s="210">
        <f t="shared" si="24"/>
        <v>2.793025340813057</v>
      </c>
      <c r="T31" s="210">
        <f t="shared" si="24"/>
        <v>5.1781003088122191</v>
      </c>
      <c r="U31" s="210">
        <f t="shared" si="24"/>
        <v>11.560071809669832</v>
      </c>
      <c r="V31" s="210">
        <f t="shared" si="24"/>
        <v>36.601562499999986</v>
      </c>
      <c r="W31" s="210">
        <f t="shared" si="24"/>
        <v>74.062500000000014</v>
      </c>
      <c r="X31" s="210">
        <f t="shared" si="24"/>
        <v>378.73190370784857</v>
      </c>
      <c r="Y31" s="207">
        <f>MAX(Y30-($J$18*$B$12)*(2^(((Y17 - 35) - $J$17)/HLOOKUP((Y17-35)-$B$14,$J$41:$AJ$43,3,TRUE))),0)</f>
        <v>2124.2772871591851</v>
      </c>
      <c r="Z31" s="207">
        <f>MAX(Z30-($J$18*$B$12)*(2^(((Z17 - 35) - $J$17)/HLOOKUP((Z17-35)-$B$14,$J$41:$AJ$43,3,TRUE))),0)</f>
        <v>25313.021660985585</v>
      </c>
      <c r="AA31" s="207">
        <f>MAX(AA30-($J$18*$B$12)*(2^(((AA17 - 35) - $J$17)/HLOOKUP((AA17-35)-$B$14,$J$41:$AJ$43,3,TRUE))),0)</f>
        <v>189379.63540246422</v>
      </c>
      <c r="AB31" s="207">
        <f>MAX(AB30-($J$18*$B$12)*(2^(((AB17 - 35) - $J$17)/HLOOKUP((AB17-35)-$B$14,$J$41:$AJ$43,3,TRUE))),0)</f>
        <v>226734.15470719669</v>
      </c>
      <c r="AC31" s="207">
        <f>MAX(AC30-($J$18*$B$12)*(2^(((AC17 - 35) - $J$17)/HLOOKUP((AC17-35)-$B$14,$J$41:$AJ$43,3,TRUE))),0)</f>
        <v>334254.72966696438</v>
      </c>
      <c r="AD31" s="208">
        <f>MAX(AD30-($J$18*$B$12)*(2^(((AD17 - 35) - $J$17)/HLOOKUP((AD17-35)-$B$14,$J$41:$AJ$43,3,TRUE))),0)</f>
        <v>540239.52499043278</v>
      </c>
      <c r="AE31" s="204">
        <f>MAX(AE30-($J$18*$B$12)*(2^(((AE17 - 35) - $J$17)/HLOOKUP((AE17-35)-$B$14,$J$41:$AJ$43,3,TRUE))),0)</f>
        <v>922821.75514556468</v>
      </c>
      <c r="AF31" s="204">
        <f>MAX(AF30-($J$18*$B$12)*(2^(((AF17 - 35) - $J$17)/HLOOKUP((AF17-35)-$B$14,$J$41:$AJ$43,3,TRUE))),0)</f>
        <v>1634103.6191758702</v>
      </c>
      <c r="AG31" s="204">
        <f>MAX(AG30-($J$18*$B$12)*(2^(((AG17 - 35) - $J$17)/HLOOKUP((AG17-35)-$B$14,$J$41:$AJ$43,3,TRUE))),0)</f>
        <v>2966264.3476485927</v>
      </c>
      <c r="AH31" s="205">
        <f>MAX(AH30-($J$18*$B$12)*(2^(((AH17 - 35) - $J$17)/HLOOKUP((AH17-35)-$B$14,$J$41:$AJ$43,3,TRUE))),0)</f>
        <v>5481363.4275267795</v>
      </c>
      <c r="AI31" s="204">
        <f>MAX(AI30-($J$18*$B$12)*(2^(((AI17 - 35) - $J$17)/HLOOKUP((AI17-35)-$B$14,$J$41:$AJ$43,3,TRUE))),0)</f>
        <v>10264471.56094791</v>
      </c>
      <c r="AJ31" s="276"/>
      <c r="AK31" s="45"/>
      <c r="AL31" s="45"/>
      <c r="AM31" s="69"/>
    </row>
    <row r="32" spans="1:39" x14ac:dyDescent="0.25">
      <c r="A32" s="41" t="s">
        <v>56</v>
      </c>
      <c r="B32" s="15"/>
      <c r="C32" s="16"/>
      <c r="D32" s="16"/>
      <c r="E32" s="16"/>
      <c r="F32" s="16"/>
      <c r="G32" s="16"/>
      <c r="H32" s="16"/>
      <c r="I32" s="16"/>
      <c r="J32" s="239">
        <f t="shared" ref="J32:AI32" si="25">J18*$B$13</f>
        <v>0.43750000000000006</v>
      </c>
      <c r="K32" s="240">
        <f t="shared" si="25"/>
        <v>0.87500000000000011</v>
      </c>
      <c r="L32" s="240">
        <f t="shared" si="25"/>
        <v>1.7500000000000002</v>
      </c>
      <c r="M32" s="240">
        <f t="shared" si="25"/>
        <v>3.5000000000000004</v>
      </c>
      <c r="N32" s="240">
        <f t="shared" si="25"/>
        <v>7.0000000000000009</v>
      </c>
      <c r="O32" s="240">
        <f t="shared" si="25"/>
        <v>14.000000000000002</v>
      </c>
      <c r="P32" s="240">
        <f t="shared" si="25"/>
        <v>28.000000000000004</v>
      </c>
      <c r="Q32" s="240">
        <f t="shared" si="25"/>
        <v>56.000000000000007</v>
      </c>
      <c r="R32" s="240">
        <f t="shared" si="25"/>
        <v>112.00000000000001</v>
      </c>
      <c r="S32" s="240">
        <f t="shared" si="25"/>
        <v>224.00000000000003</v>
      </c>
      <c r="T32" s="240">
        <f t="shared" si="25"/>
        <v>448.00000000000006</v>
      </c>
      <c r="U32" s="240">
        <f t="shared" si="25"/>
        <v>896.00000000000011</v>
      </c>
      <c r="V32" s="240">
        <f t="shared" si="25"/>
        <v>1792.0000000000002</v>
      </c>
      <c r="W32" s="240">
        <f t="shared" si="25"/>
        <v>3584.0000000000005</v>
      </c>
      <c r="X32" s="240">
        <f t="shared" si="25"/>
        <v>7168.0000000000009</v>
      </c>
      <c r="Y32" s="240">
        <f t="shared" si="25"/>
        <v>14336.000000000002</v>
      </c>
      <c r="Z32" s="240">
        <f t="shared" si="25"/>
        <v>28672.000000000004</v>
      </c>
      <c r="AA32" s="240">
        <f t="shared" si="25"/>
        <v>57344.000000000007</v>
      </c>
      <c r="AB32" s="240">
        <f t="shared" si="25"/>
        <v>114688.00000000001</v>
      </c>
      <c r="AC32" s="240">
        <f t="shared" si="25"/>
        <v>229376.00000000003</v>
      </c>
      <c r="AD32" s="241">
        <f t="shared" ref="AD32:AH32" si="26">AD18*$B$13</f>
        <v>458752.00000000006</v>
      </c>
      <c r="AE32" s="200">
        <f t="shared" si="26"/>
        <v>917504.00000000012</v>
      </c>
      <c r="AF32" s="200">
        <f t="shared" si="26"/>
        <v>1835008.0000000002</v>
      </c>
      <c r="AG32" s="200">
        <f t="shared" si="26"/>
        <v>3670016.0000000005</v>
      </c>
      <c r="AH32" s="201">
        <f t="shared" si="26"/>
        <v>7340032.0000000009</v>
      </c>
      <c r="AI32" s="211">
        <f t="shared" si="25"/>
        <v>11569792.500000002</v>
      </c>
      <c r="AJ32" s="276">
        <f>AJ18*B13</f>
        <v>1156979.25</v>
      </c>
      <c r="AK32" s="45"/>
      <c r="AL32" s="45"/>
      <c r="AM32" s="69"/>
    </row>
    <row r="33" spans="1:39" x14ac:dyDescent="0.25">
      <c r="A33" s="37" t="s">
        <v>55</v>
      </c>
      <c r="B33" s="38"/>
      <c r="C33" s="39"/>
      <c r="D33" s="39"/>
      <c r="E33" s="39"/>
      <c r="F33" s="39"/>
      <c r="G33" s="39"/>
      <c r="H33" s="39"/>
      <c r="I33" s="39"/>
      <c r="J33" s="202"/>
      <c r="K33" s="203"/>
      <c r="L33" s="203"/>
      <c r="M33" s="203"/>
      <c r="N33" s="203"/>
      <c r="O33" s="203"/>
      <c r="P33" s="203"/>
      <c r="Q33" s="203"/>
      <c r="R33" s="203"/>
      <c r="S33" s="203"/>
      <c r="T33" s="203"/>
      <c r="U33" s="203"/>
      <c r="V33" s="203"/>
      <c r="W33" s="203"/>
      <c r="X33" s="203"/>
      <c r="Y33" s="214">
        <f>($J$18*$B$13)*(2^(((Y17-35)-$J$17)/HLOOKUP((Y17-35)-$B$14,$J$41:$AJ$43,3,TRUE)))</f>
        <v>1.9551177385691401</v>
      </c>
      <c r="Z33" s="214">
        <f>($J$18*$B$13)*(2^(((Z17-35)-$J$17)/HLOOKUP((Z17-35)-$B$14,$J$41:$AJ$43,3,TRUE)))</f>
        <v>95.347656249999872</v>
      </c>
      <c r="AA33" s="214">
        <f>($J$18*$B$13)*(2^(((AA17-35)-$J$17)/HLOOKUP((AA17-35)-$B$14,$J$41:$AJ$43,3,TRUE)))</f>
        <v>2825.1835937500005</v>
      </c>
      <c r="AB33" s="214">
        <f>($J$18*$B$13)*(2^(((AB17-35)-$J$17)/HLOOKUP((AB17-35)-$B$14,$J$41:$AJ$43,3,TRUE)))</f>
        <v>13908.474372121858</v>
      </c>
      <c r="AC33" s="214">
        <f>($J$18*$B$13)*(2^(((AC17-35)-$J$17)/HLOOKUP((AC17-35)-$B$14,$J$41:$AJ$43,3,TRUE)))</f>
        <v>26592.382243282005</v>
      </c>
      <c r="AD33" s="213">
        <f>($J$18*$B$13)*(2^(((AD17-35)-$J$17)/HLOOKUP((AD17-35)-$B$14,$J$41:$AJ$43,3,TRUE)))</f>
        <v>51709.112867791235</v>
      </c>
      <c r="AE33" s="204">
        <f>($J$18*$B$13)*(2^(((AE17-35)-$J$17)/HLOOKUP((AE17-35)-$B$14,$J$41:$AJ$43,3,TRUE)))</f>
        <v>101446.23300252941</v>
      </c>
      <c r="AF33" s="204">
        <f>($J$18*$B$13)*(2^(((AF17-35)-$J$17)/HLOOKUP((AF17-35)-$B$14,$J$41:$AJ$43,3,TRUE)))</f>
        <v>200071.4311739601</v>
      </c>
      <c r="AG33" s="204">
        <f>($J$18*$B$13)*(2^(((AG17-35)-$J$17)/HLOOKUP((AG17-35)-$B$14,$J$41:$AJ$43,3,TRUE)))</f>
        <v>395907.41393019876</v>
      </c>
      <c r="AH33" s="205">
        <f>($J$18*$B$13)*(2^(((AH17-35)-$J$17)/HLOOKUP((AH17-35)-$B$14,$J$41:$AJ$43,3,TRUE)))</f>
        <v>785222.07231913612</v>
      </c>
      <c r="AI33" s="204">
        <f>($J$18*$B$13)*(2^(((AI17-35)-$J$17)/HLOOKUP((AI17-35)-$B$14,$J$41:$AJ$43,3,TRUE)))</f>
        <v>1559890.6787880212</v>
      </c>
      <c r="AJ33" s="279">
        <f>($J$18*$B$13)*(2^(((AJ17 - 35) - $J$17)/AJ43))</f>
        <v>589919.00460331654</v>
      </c>
      <c r="AK33" s="45"/>
      <c r="AL33" s="45"/>
      <c r="AM33" s="69"/>
    </row>
    <row r="34" spans="1:39" s="69" customFormat="1" hidden="1" x14ac:dyDescent="0.25">
      <c r="A34" s="48" t="s">
        <v>106</v>
      </c>
      <c r="B34" s="25"/>
      <c r="C34" s="47"/>
      <c r="D34" s="47"/>
      <c r="E34" s="47"/>
      <c r="F34" s="47"/>
      <c r="G34" s="47"/>
      <c r="H34" s="47"/>
      <c r="I34" s="47"/>
      <c r="J34" s="150">
        <f t="shared" ref="J34:AI34" si="27">J17-7</f>
        <v>43880</v>
      </c>
      <c r="K34" s="150">
        <f t="shared" si="27"/>
        <v>43882</v>
      </c>
      <c r="L34" s="150">
        <f t="shared" si="27"/>
        <v>43884</v>
      </c>
      <c r="M34" s="150">
        <f t="shared" si="27"/>
        <v>43886</v>
      </c>
      <c r="N34" s="150">
        <f t="shared" si="27"/>
        <v>43888</v>
      </c>
      <c r="O34" s="150">
        <f t="shared" si="27"/>
        <v>43890</v>
      </c>
      <c r="P34" s="150">
        <f t="shared" si="27"/>
        <v>43892</v>
      </c>
      <c r="Q34" s="150">
        <f t="shared" si="27"/>
        <v>43895</v>
      </c>
      <c r="R34" s="150">
        <f t="shared" si="27"/>
        <v>43897</v>
      </c>
      <c r="S34" s="150">
        <f t="shared" si="27"/>
        <v>43899</v>
      </c>
      <c r="T34" s="150">
        <f t="shared" si="27"/>
        <v>43901</v>
      </c>
      <c r="U34" s="150">
        <f t="shared" si="27"/>
        <v>43903</v>
      </c>
      <c r="V34" s="150">
        <f t="shared" si="27"/>
        <v>43906</v>
      </c>
      <c r="W34" s="150">
        <f t="shared" si="27"/>
        <v>43909</v>
      </c>
      <c r="X34" s="150">
        <f t="shared" si="27"/>
        <v>43914</v>
      </c>
      <c r="Y34" s="150">
        <f t="shared" si="27"/>
        <v>43920</v>
      </c>
      <c r="Z34" s="150">
        <f t="shared" si="27"/>
        <v>43932</v>
      </c>
      <c r="AA34" s="150">
        <f t="shared" si="27"/>
        <v>43944</v>
      </c>
      <c r="AB34" s="150">
        <f t="shared" si="27"/>
        <v>43956</v>
      </c>
      <c r="AC34" s="150">
        <f t="shared" si="27"/>
        <v>43968</v>
      </c>
      <c r="AD34" s="150"/>
      <c r="AE34" s="150"/>
      <c r="AF34" s="150"/>
      <c r="AG34" s="150"/>
      <c r="AH34" s="150"/>
      <c r="AI34" s="150">
        <f t="shared" si="27"/>
        <v>44040</v>
      </c>
      <c r="AJ34" s="150"/>
      <c r="AK34" s="45"/>
      <c r="AL34" s="45"/>
    </row>
    <row r="35" spans="1:39" s="69" customFormat="1" hidden="1" x14ac:dyDescent="0.25">
      <c r="A35" s="48" t="s">
        <v>104</v>
      </c>
      <c r="B35" s="25"/>
      <c r="C35" s="47"/>
      <c r="D35" s="47"/>
      <c r="E35" s="47"/>
      <c r="F35" s="47"/>
      <c r="G35" s="47"/>
      <c r="H35" s="47"/>
      <c r="I35" s="47"/>
      <c r="J35" s="150">
        <f t="shared" ref="J35:AI35" si="28">J17-14</f>
        <v>43873</v>
      </c>
      <c r="K35" s="150">
        <f t="shared" si="28"/>
        <v>43875</v>
      </c>
      <c r="L35" s="150">
        <f t="shared" si="28"/>
        <v>43877</v>
      </c>
      <c r="M35" s="150">
        <f t="shared" si="28"/>
        <v>43879</v>
      </c>
      <c r="N35" s="150">
        <f t="shared" si="28"/>
        <v>43881</v>
      </c>
      <c r="O35" s="150">
        <f t="shared" si="28"/>
        <v>43883</v>
      </c>
      <c r="P35" s="150">
        <f t="shared" si="28"/>
        <v>43885</v>
      </c>
      <c r="Q35" s="150">
        <f t="shared" si="28"/>
        <v>43888</v>
      </c>
      <c r="R35" s="150">
        <f t="shared" si="28"/>
        <v>43890</v>
      </c>
      <c r="S35" s="150">
        <f t="shared" si="28"/>
        <v>43892</v>
      </c>
      <c r="T35" s="150">
        <f t="shared" si="28"/>
        <v>43894</v>
      </c>
      <c r="U35" s="150">
        <f t="shared" si="28"/>
        <v>43896</v>
      </c>
      <c r="V35" s="150">
        <f t="shared" si="28"/>
        <v>43899</v>
      </c>
      <c r="W35" s="150">
        <f t="shared" si="28"/>
        <v>43902</v>
      </c>
      <c r="X35" s="150">
        <f t="shared" si="28"/>
        <v>43907</v>
      </c>
      <c r="Y35" s="150">
        <f t="shared" si="28"/>
        <v>43913</v>
      </c>
      <c r="Z35" s="150">
        <f t="shared" si="28"/>
        <v>43925</v>
      </c>
      <c r="AA35" s="150">
        <f t="shared" si="28"/>
        <v>43937</v>
      </c>
      <c r="AB35" s="150">
        <f t="shared" si="28"/>
        <v>43949</v>
      </c>
      <c r="AC35" s="150">
        <f t="shared" si="28"/>
        <v>43961</v>
      </c>
      <c r="AD35" s="150"/>
      <c r="AE35" s="150"/>
      <c r="AF35" s="150"/>
      <c r="AG35" s="150"/>
      <c r="AH35" s="150"/>
      <c r="AI35" s="150">
        <f t="shared" si="28"/>
        <v>44033</v>
      </c>
      <c r="AJ35" s="150"/>
      <c r="AK35" s="45"/>
      <c r="AL35" s="45"/>
    </row>
    <row r="36" spans="1:39" s="69" customFormat="1" hidden="1" x14ac:dyDescent="0.25">
      <c r="A36" s="48" t="s">
        <v>107</v>
      </c>
      <c r="B36" s="25"/>
      <c r="C36" s="47"/>
      <c r="D36" s="47"/>
      <c r="E36" s="47"/>
      <c r="F36" s="47"/>
      <c r="G36" s="47"/>
      <c r="H36" s="47"/>
      <c r="I36" s="47"/>
      <c r="J36" s="150">
        <f t="shared" ref="J36:AI36" si="29">J17-(7*5)</f>
        <v>43852</v>
      </c>
      <c r="K36" s="150">
        <f t="shared" si="29"/>
        <v>43854</v>
      </c>
      <c r="L36" s="150">
        <f t="shared" si="29"/>
        <v>43856</v>
      </c>
      <c r="M36" s="150">
        <f t="shared" si="29"/>
        <v>43858</v>
      </c>
      <c r="N36" s="150">
        <f t="shared" si="29"/>
        <v>43860</v>
      </c>
      <c r="O36" s="150">
        <f t="shared" si="29"/>
        <v>43862</v>
      </c>
      <c r="P36" s="150">
        <f t="shared" si="29"/>
        <v>43864</v>
      </c>
      <c r="Q36" s="150">
        <f t="shared" si="29"/>
        <v>43867</v>
      </c>
      <c r="R36" s="150">
        <f t="shared" si="29"/>
        <v>43869</v>
      </c>
      <c r="S36" s="150">
        <f t="shared" si="29"/>
        <v>43871</v>
      </c>
      <c r="T36" s="150">
        <f t="shared" si="29"/>
        <v>43873</v>
      </c>
      <c r="U36" s="150">
        <f t="shared" si="29"/>
        <v>43875</v>
      </c>
      <c r="V36" s="150">
        <f t="shared" si="29"/>
        <v>43878</v>
      </c>
      <c r="W36" s="150">
        <f t="shared" si="29"/>
        <v>43881</v>
      </c>
      <c r="X36" s="150">
        <f t="shared" si="29"/>
        <v>43886</v>
      </c>
      <c r="Y36" s="150">
        <f t="shared" si="29"/>
        <v>43892</v>
      </c>
      <c r="Z36" s="150">
        <f t="shared" si="29"/>
        <v>43904</v>
      </c>
      <c r="AA36" s="150">
        <f t="shared" si="29"/>
        <v>43916</v>
      </c>
      <c r="AB36" s="150">
        <f t="shared" si="29"/>
        <v>43928</v>
      </c>
      <c r="AC36" s="150">
        <f t="shared" si="29"/>
        <v>43940</v>
      </c>
      <c r="AD36" s="150"/>
      <c r="AE36" s="150"/>
      <c r="AF36" s="150"/>
      <c r="AG36" s="150"/>
      <c r="AH36" s="150"/>
      <c r="AI36" s="150">
        <f t="shared" si="29"/>
        <v>44012</v>
      </c>
      <c r="AJ36" s="150"/>
      <c r="AK36" s="45"/>
      <c r="AL36" s="45"/>
    </row>
    <row r="37" spans="1:39" s="69" customFormat="1" hidden="1" x14ac:dyDescent="0.25">
      <c r="A37" s="48" t="s">
        <v>105</v>
      </c>
      <c r="B37" s="25"/>
      <c r="C37" s="47"/>
      <c r="D37" s="47"/>
      <c r="E37" s="47"/>
      <c r="F37" s="47"/>
      <c r="G37" s="47"/>
      <c r="H37" s="47"/>
      <c r="I37" s="47"/>
      <c r="J37" s="150">
        <f t="shared" ref="J37:AI37" si="30">J17-(6*7)</f>
        <v>43845</v>
      </c>
      <c r="K37" s="150">
        <f t="shared" si="30"/>
        <v>43847</v>
      </c>
      <c r="L37" s="150">
        <f t="shared" si="30"/>
        <v>43849</v>
      </c>
      <c r="M37" s="150">
        <f t="shared" si="30"/>
        <v>43851</v>
      </c>
      <c r="N37" s="150">
        <f t="shared" si="30"/>
        <v>43853</v>
      </c>
      <c r="O37" s="150">
        <f t="shared" si="30"/>
        <v>43855</v>
      </c>
      <c r="P37" s="150">
        <f t="shared" si="30"/>
        <v>43857</v>
      </c>
      <c r="Q37" s="150">
        <f t="shared" si="30"/>
        <v>43860</v>
      </c>
      <c r="R37" s="150">
        <f t="shared" si="30"/>
        <v>43862</v>
      </c>
      <c r="S37" s="150">
        <f t="shared" si="30"/>
        <v>43864</v>
      </c>
      <c r="T37" s="150">
        <f t="shared" si="30"/>
        <v>43866</v>
      </c>
      <c r="U37" s="150">
        <f t="shared" si="30"/>
        <v>43868</v>
      </c>
      <c r="V37" s="150">
        <f t="shared" si="30"/>
        <v>43871</v>
      </c>
      <c r="W37" s="150">
        <f t="shared" si="30"/>
        <v>43874</v>
      </c>
      <c r="X37" s="150">
        <f t="shared" si="30"/>
        <v>43879</v>
      </c>
      <c r="Y37" s="150">
        <f t="shared" si="30"/>
        <v>43885</v>
      </c>
      <c r="Z37" s="150">
        <f t="shared" si="30"/>
        <v>43897</v>
      </c>
      <c r="AA37" s="150">
        <f t="shared" si="30"/>
        <v>43909</v>
      </c>
      <c r="AB37" s="150">
        <f t="shared" si="30"/>
        <v>43921</v>
      </c>
      <c r="AC37" s="150">
        <f t="shared" si="30"/>
        <v>43933</v>
      </c>
      <c r="AD37" s="150"/>
      <c r="AE37" s="150"/>
      <c r="AF37" s="150"/>
      <c r="AG37" s="150"/>
      <c r="AH37" s="150"/>
      <c r="AI37" s="150">
        <f t="shared" si="30"/>
        <v>44005</v>
      </c>
      <c r="AJ37" s="150"/>
      <c r="AK37" s="45"/>
      <c r="AL37" s="45"/>
    </row>
    <row r="39" spans="1:39" x14ac:dyDescent="0.25">
      <c r="A39" s="53" t="s">
        <v>48</v>
      </c>
      <c r="B39" s="15"/>
      <c r="C39" s="16"/>
      <c r="D39" s="16"/>
      <c r="E39" s="16"/>
      <c r="F39" s="16"/>
      <c r="G39" s="16"/>
      <c r="H39" s="16"/>
      <c r="I39" s="16"/>
    </row>
    <row r="40" spans="1:39" s="69" customFormat="1" x14ac:dyDescent="0.25">
      <c r="A40" s="143" t="s">
        <v>102</v>
      </c>
      <c r="B40" s="25"/>
      <c r="C40" s="47"/>
      <c r="D40" s="47"/>
      <c r="E40" s="47"/>
      <c r="F40" s="47"/>
      <c r="G40" s="47"/>
      <c r="H40" s="47"/>
      <c r="I40" s="47"/>
      <c r="J40" s="141">
        <f t="shared" ref="J40:AJ40" si="31">(J17-$B$14)/7</f>
        <v>5.1428571428571432</v>
      </c>
      <c r="K40" s="145">
        <f t="shared" si="31"/>
        <v>5.4285714285714288</v>
      </c>
      <c r="L40" s="141">
        <f t="shared" si="31"/>
        <v>5.7142857142857144</v>
      </c>
      <c r="M40" s="145">
        <f t="shared" si="31"/>
        <v>6</v>
      </c>
      <c r="N40" s="145">
        <f t="shared" si="31"/>
        <v>6.2857142857142856</v>
      </c>
      <c r="O40" s="141">
        <f t="shared" si="31"/>
        <v>6.5714285714285712</v>
      </c>
      <c r="P40" s="145">
        <f t="shared" si="31"/>
        <v>6.8571428571428568</v>
      </c>
      <c r="Q40" s="145">
        <f t="shared" si="31"/>
        <v>7.2857142857142856</v>
      </c>
      <c r="R40" s="141">
        <f t="shared" si="31"/>
        <v>7.5714285714285712</v>
      </c>
      <c r="S40" s="145">
        <f t="shared" si="31"/>
        <v>7.8571428571428568</v>
      </c>
      <c r="T40" s="145">
        <f t="shared" si="31"/>
        <v>8.1428571428571423</v>
      </c>
      <c r="U40" s="145">
        <f t="shared" si="31"/>
        <v>8.4285714285714288</v>
      </c>
      <c r="V40" s="141">
        <f t="shared" si="31"/>
        <v>8.8571428571428577</v>
      </c>
      <c r="W40" s="142">
        <f t="shared" si="31"/>
        <v>9.2857142857142865</v>
      </c>
      <c r="X40" s="142">
        <f t="shared" si="31"/>
        <v>10</v>
      </c>
      <c r="Y40" s="144">
        <f t="shared" si="31"/>
        <v>10.857142857142858</v>
      </c>
      <c r="Z40" s="144">
        <f t="shared" si="31"/>
        <v>12.571428571428571</v>
      </c>
      <c r="AA40" s="142">
        <f t="shared" si="31"/>
        <v>14.285714285714286</v>
      </c>
      <c r="AB40" s="144">
        <f t="shared" si="31"/>
        <v>16</v>
      </c>
      <c r="AC40" s="141">
        <f t="shared" si="31"/>
        <v>17.714285714285715</v>
      </c>
      <c r="AD40" s="141">
        <f t="shared" ref="AD40:AH40" si="32">(AD17-$B$14)/7</f>
        <v>19.428571428571427</v>
      </c>
      <c r="AE40" s="141">
        <f t="shared" si="32"/>
        <v>21.142857142857142</v>
      </c>
      <c r="AF40" s="141">
        <f t="shared" si="32"/>
        <v>22.857142857142858</v>
      </c>
      <c r="AG40" s="141">
        <f t="shared" si="32"/>
        <v>24.571428571428573</v>
      </c>
      <c r="AH40" s="141">
        <f t="shared" si="32"/>
        <v>26.285714285714285</v>
      </c>
      <c r="AI40" s="144">
        <f t="shared" si="31"/>
        <v>28</v>
      </c>
      <c r="AJ40" s="144">
        <f t="shared" si="31"/>
        <v>36</v>
      </c>
    </row>
    <row r="41" spans="1:39" s="69" customFormat="1" x14ac:dyDescent="0.25">
      <c r="A41" s="143" t="s">
        <v>101</v>
      </c>
      <c r="B41" s="25"/>
      <c r="C41" s="47"/>
      <c r="D41" s="47"/>
      <c r="E41" s="47"/>
      <c r="F41" s="47"/>
      <c r="G41" s="47"/>
      <c r="H41" s="47"/>
      <c r="I41" s="47"/>
      <c r="J41" s="266">
        <f>J17-$B$14</f>
        <v>36</v>
      </c>
      <c r="K41" s="267">
        <f t="shared" ref="K41:O41" si="33">K17-$B$14</f>
        <v>38</v>
      </c>
      <c r="L41" s="267">
        <f t="shared" si="33"/>
        <v>40</v>
      </c>
      <c r="M41" s="267">
        <f t="shared" si="33"/>
        <v>42</v>
      </c>
      <c r="N41" s="267">
        <f t="shared" si="33"/>
        <v>44</v>
      </c>
      <c r="O41" s="267">
        <f t="shared" si="33"/>
        <v>46</v>
      </c>
      <c r="P41" s="267">
        <f>P17-$B$14</f>
        <v>48</v>
      </c>
      <c r="Q41" s="267">
        <f t="shared" ref="Q41:AJ41" si="34">Q17-$B$14</f>
        <v>51</v>
      </c>
      <c r="R41" s="267">
        <f t="shared" si="34"/>
        <v>53</v>
      </c>
      <c r="S41" s="267">
        <f t="shared" si="34"/>
        <v>55</v>
      </c>
      <c r="T41" s="267">
        <f t="shared" si="34"/>
        <v>57</v>
      </c>
      <c r="U41" s="267">
        <f t="shared" si="34"/>
        <v>59</v>
      </c>
      <c r="V41" s="267">
        <f t="shared" si="34"/>
        <v>62</v>
      </c>
      <c r="W41" s="267">
        <f t="shared" si="34"/>
        <v>65</v>
      </c>
      <c r="X41" s="253">
        <f t="shared" si="34"/>
        <v>70</v>
      </c>
      <c r="Y41" s="253">
        <f t="shared" si="34"/>
        <v>76</v>
      </c>
      <c r="Z41" s="253">
        <f t="shared" si="34"/>
        <v>88</v>
      </c>
      <c r="AA41" s="253">
        <f t="shared" si="34"/>
        <v>100</v>
      </c>
      <c r="AB41" s="253">
        <f t="shared" si="34"/>
        <v>112</v>
      </c>
      <c r="AC41" s="253">
        <f t="shared" si="34"/>
        <v>124</v>
      </c>
      <c r="AD41" s="254">
        <f t="shared" ref="AD41:AH41" si="35">AD17-$B$14</f>
        <v>136</v>
      </c>
      <c r="AE41" s="191">
        <f t="shared" si="35"/>
        <v>148</v>
      </c>
      <c r="AF41" s="191">
        <f t="shared" si="35"/>
        <v>160</v>
      </c>
      <c r="AG41" s="191">
        <f t="shared" si="35"/>
        <v>172</v>
      </c>
      <c r="AH41" s="191">
        <f t="shared" si="35"/>
        <v>184</v>
      </c>
      <c r="AI41" s="191">
        <f t="shared" si="34"/>
        <v>196</v>
      </c>
      <c r="AJ41" s="191">
        <f t="shared" si="34"/>
        <v>252</v>
      </c>
    </row>
    <row r="42" spans="1:39" x14ac:dyDescent="0.25">
      <c r="A42" s="231" t="s">
        <v>42</v>
      </c>
      <c r="B42" s="16"/>
      <c r="C42" s="16"/>
      <c r="D42" s="16"/>
      <c r="E42" s="16"/>
      <c r="F42" s="16"/>
      <c r="G42" s="16"/>
      <c r="H42" s="16"/>
      <c r="I42" s="16"/>
      <c r="J42" s="146">
        <v>16</v>
      </c>
      <c r="K42" s="147">
        <v>24</v>
      </c>
      <c r="L42" s="148">
        <v>53</v>
      </c>
      <c r="M42" s="148">
        <v>98</v>
      </c>
      <c r="N42" s="148">
        <v>214</v>
      </c>
      <c r="O42" s="148">
        <v>423</v>
      </c>
      <c r="P42" s="148">
        <v>937</v>
      </c>
      <c r="Q42" s="148">
        <v>1896</v>
      </c>
      <c r="R42" s="148">
        <v>3487</v>
      </c>
      <c r="S42" s="148">
        <v>7038</v>
      </c>
      <c r="T42" s="148">
        <v>15219</v>
      </c>
      <c r="U42" s="148">
        <v>24583</v>
      </c>
      <c r="V42" s="148">
        <v>54453</v>
      </c>
      <c r="W42" s="148">
        <v>103321</v>
      </c>
      <c r="X42" s="148">
        <v>213144</v>
      </c>
      <c r="Y42" s="148">
        <v>395011</v>
      </c>
      <c r="Z42" s="183">
        <f t="shared" ref="Z42:AC42" si="36">Y42*2</f>
        <v>790022</v>
      </c>
      <c r="AA42" s="183">
        <f t="shared" si="36"/>
        <v>1580044</v>
      </c>
      <c r="AB42" s="183">
        <f t="shared" si="36"/>
        <v>3160088</v>
      </c>
      <c r="AC42" s="183">
        <f t="shared" si="36"/>
        <v>6320176</v>
      </c>
      <c r="AD42" s="183">
        <f t="shared" ref="AD42" si="37">AC42*2</f>
        <v>12640352</v>
      </c>
      <c r="AE42" s="187">
        <f t="shared" ref="AE42" si="38">AD42*2</f>
        <v>25280704</v>
      </c>
      <c r="AF42" s="187">
        <f t="shared" ref="AF42" si="39">AE42*2</f>
        <v>50561408</v>
      </c>
      <c r="AG42" s="187">
        <f t="shared" ref="AG42" si="40">AF42*2</f>
        <v>101122816</v>
      </c>
      <c r="AH42" s="187">
        <f t="shared" ref="AH42" si="41">AG42*2</f>
        <v>202245632</v>
      </c>
      <c r="AI42" s="187">
        <f>AI18</f>
        <v>330565500</v>
      </c>
      <c r="AJ42" s="188">
        <f>AI42</f>
        <v>330565500</v>
      </c>
    </row>
    <row r="43" spans="1:39" x14ac:dyDescent="0.25">
      <c r="A43" s="41" t="s">
        <v>158</v>
      </c>
      <c r="B43" s="16"/>
      <c r="C43" s="16"/>
      <c r="D43" s="16"/>
      <c r="E43" s="16"/>
      <c r="F43" s="16"/>
      <c r="G43" s="16"/>
      <c r="H43" s="16"/>
      <c r="I43" s="16"/>
      <c r="J43" s="194">
        <f>(J17-B14)/(LOG(J42/1)/LOG(2))</f>
        <v>9</v>
      </c>
      <c r="K43" s="174">
        <f>(K17-$J$17)/(LOG(K42/$J$42)/LOG(2))</f>
        <v>3.4190225827029095</v>
      </c>
      <c r="L43" s="174">
        <f t="shared" ref="L43:AJ43" si="42">(L17-$J$17)/(LOG(L42/$J$42)/LOG(2))</f>
        <v>2.3149213781436249</v>
      </c>
      <c r="M43" s="174">
        <f t="shared" si="42"/>
        <v>2.29470968394596</v>
      </c>
      <c r="N43" s="174">
        <f t="shared" si="42"/>
        <v>2.1381987410491798</v>
      </c>
      <c r="O43" s="174">
        <f t="shared" si="42"/>
        <v>2.1166198916733521</v>
      </c>
      <c r="P43" s="174">
        <f t="shared" si="42"/>
        <v>2.0436297103431724</v>
      </c>
      <c r="Q43" s="174">
        <f t="shared" si="42"/>
        <v>2.1774653892637095</v>
      </c>
      <c r="R43" s="174">
        <f t="shared" si="42"/>
        <v>2.1885301161250457</v>
      </c>
      <c r="S43" s="174">
        <f t="shared" si="42"/>
        <v>2.1637750397690967</v>
      </c>
      <c r="T43" s="174">
        <f t="shared" si="42"/>
        <v>2.1225873121164791</v>
      </c>
      <c r="U43" s="174">
        <f t="shared" si="42"/>
        <v>2.1728095178652946</v>
      </c>
      <c r="V43" s="174">
        <f t="shared" si="42"/>
        <v>2.2160241893863231</v>
      </c>
      <c r="W43" s="174">
        <f t="shared" si="42"/>
        <v>2.2912631632183813</v>
      </c>
      <c r="X43" s="174">
        <f t="shared" si="42"/>
        <v>2.4814857591049142</v>
      </c>
      <c r="Y43" s="174">
        <f t="shared" si="42"/>
        <v>2.7413157457857582</v>
      </c>
      <c r="Z43" s="184">
        <f t="shared" si="42"/>
        <v>3.3351434389315573</v>
      </c>
      <c r="AA43" s="184">
        <f t="shared" si="42"/>
        <v>3.85738911704791</v>
      </c>
      <c r="AB43" s="184">
        <f t="shared" si="42"/>
        <v>4.3202601324663954</v>
      </c>
      <c r="AC43" s="184">
        <f t="shared" si="42"/>
        <v>4.7333374049092303</v>
      </c>
      <c r="AD43" s="184">
        <f t="shared" ref="AD43" si="43">(AD17-$J$17)/(LOG(AD42/$J$42)/LOG(2))</f>
        <v>5.1042457193594455</v>
      </c>
      <c r="AE43" s="189">
        <f t="shared" ref="AE43" si="44">(AE17-$J$17)/(LOG(AE42/$J$42)/LOG(2))</f>
        <v>5.4391287112672693</v>
      </c>
      <c r="AF43" s="189">
        <f t="shared" ref="AF43" si="45">(AF17-$J$17)/(LOG(AF42/$J$42)/LOG(2))</f>
        <v>5.7429918596835909</v>
      </c>
      <c r="AG43" s="189">
        <f t="shared" ref="AG43" si="46">(AG17-$J$17)/(LOG(AG42/$J$42)/LOG(2))</f>
        <v>6.0199543861426195</v>
      </c>
      <c r="AH43" s="189">
        <f t="shared" ref="AH43" si="47">(AH17-$J$17)/(LOG(AH42/$J$42)/LOG(2))</f>
        <v>6.2734370884718507</v>
      </c>
      <c r="AI43" s="189">
        <f t="shared" si="42"/>
        <v>6.5842643453302392</v>
      </c>
      <c r="AJ43" s="190">
        <f t="shared" si="42"/>
        <v>8.8887568661958216</v>
      </c>
    </row>
    <row r="44" spans="1:39" x14ac:dyDescent="0.25">
      <c r="A44" s="41" t="s">
        <v>63</v>
      </c>
      <c r="B44" s="16"/>
      <c r="C44" s="16"/>
      <c r="D44" s="16"/>
      <c r="E44" s="16"/>
      <c r="F44" s="16"/>
      <c r="G44" s="16"/>
      <c r="H44" s="16"/>
      <c r="I44" s="16"/>
      <c r="J44" s="252"/>
      <c r="K44" s="149"/>
      <c r="L44" s="149"/>
      <c r="M44" s="149"/>
      <c r="N44" s="149"/>
      <c r="O44" s="149"/>
      <c r="P44" s="149"/>
      <c r="Q44" s="149"/>
      <c r="R44" s="149"/>
      <c r="S44" s="149"/>
      <c r="T44" s="149"/>
      <c r="U44" s="149"/>
      <c r="V44" s="149"/>
      <c r="W44" s="149"/>
      <c r="X44" s="149"/>
      <c r="Y44" s="149" t="s">
        <v>196</v>
      </c>
      <c r="Z44" s="185"/>
      <c r="AA44" s="185"/>
      <c r="AB44" s="185"/>
      <c r="AC44" s="185"/>
      <c r="AD44" s="185"/>
      <c r="AE44" s="107"/>
      <c r="AF44" s="107"/>
      <c r="AG44" s="107"/>
      <c r="AH44" s="107"/>
      <c r="AI44" s="107"/>
      <c r="AJ44" s="108"/>
    </row>
    <row r="45" spans="1:39" x14ac:dyDescent="0.25">
      <c r="A45" s="49" t="s">
        <v>43</v>
      </c>
      <c r="B45" s="38"/>
      <c r="C45" s="39"/>
      <c r="D45" s="39"/>
      <c r="E45" s="39"/>
      <c r="F45" s="39"/>
      <c r="G45" s="39"/>
      <c r="H45" s="39"/>
      <c r="I45" s="39"/>
      <c r="J45" s="67">
        <v>0</v>
      </c>
      <c r="K45" s="68">
        <v>1</v>
      </c>
      <c r="L45" s="52">
        <v>1</v>
      </c>
      <c r="M45" s="52">
        <v>9</v>
      </c>
      <c r="N45" s="52">
        <v>12</v>
      </c>
      <c r="O45" s="52">
        <v>7</v>
      </c>
      <c r="P45" s="52">
        <v>19</v>
      </c>
      <c r="Q45" s="52">
        <v>26</v>
      </c>
      <c r="R45" s="52">
        <v>57</v>
      </c>
      <c r="S45" s="52">
        <v>87</v>
      </c>
      <c r="T45" s="52">
        <v>150</v>
      </c>
      <c r="U45" s="52">
        <v>255</v>
      </c>
      <c r="V45" s="52">
        <v>555</v>
      </c>
      <c r="W45" s="52">
        <v>1295</v>
      </c>
      <c r="X45" s="52">
        <v>4053</v>
      </c>
      <c r="Y45" s="52">
        <v>9616</v>
      </c>
      <c r="Z45" s="186"/>
      <c r="AA45" s="186"/>
      <c r="AB45" s="186"/>
      <c r="AC45" s="186"/>
      <c r="AD45" s="186"/>
      <c r="AE45" s="107"/>
      <c r="AF45" s="107"/>
      <c r="AG45" s="107"/>
      <c r="AH45" s="107"/>
      <c r="AI45" s="107"/>
      <c r="AJ45" s="108"/>
    </row>
    <row r="46" spans="1:39" x14ac:dyDescent="0.25">
      <c r="B46" s="3"/>
      <c r="J46" s="35"/>
      <c r="K46" s="35"/>
      <c r="L46" s="35"/>
      <c r="M46" s="35"/>
      <c r="N46" s="35"/>
      <c r="O46" s="35"/>
      <c r="P46" s="35"/>
      <c r="Q46" s="35"/>
      <c r="R46" s="35"/>
      <c r="S46" s="35"/>
      <c r="T46" s="35"/>
      <c r="U46" s="35"/>
      <c r="V46" s="35"/>
      <c r="W46" s="35"/>
      <c r="X46" s="35"/>
      <c r="Y46" s="35"/>
      <c r="Z46" s="35"/>
      <c r="AA46" s="35"/>
    </row>
    <row r="47" spans="1:39" x14ac:dyDescent="0.25">
      <c r="A47" s="74" t="s">
        <v>49</v>
      </c>
      <c r="AA47" s="16"/>
    </row>
    <row r="48" spans="1:39" x14ac:dyDescent="0.25">
      <c r="A48" s="4" t="s">
        <v>0</v>
      </c>
      <c r="B48" s="193" t="s">
        <v>119</v>
      </c>
      <c r="C48" s="5" t="s">
        <v>3</v>
      </c>
      <c r="D48" s="193" t="s">
        <v>51</v>
      </c>
      <c r="E48" s="58" t="s">
        <v>2</v>
      </c>
      <c r="F48" s="9" t="s">
        <v>3</v>
      </c>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5"/>
      <c r="AJ48" s="47"/>
    </row>
    <row r="49" spans="1:36" x14ac:dyDescent="0.25">
      <c r="A49" s="41" t="s">
        <v>12</v>
      </c>
      <c r="B49" s="13">
        <f>'Population by Age - Wikipedia'!D41</f>
        <v>3.6394890344941602E-2</v>
      </c>
      <c r="C49" s="12">
        <f>$B$5*B49</f>
        <v>12030895.124320794</v>
      </c>
      <c r="D49" s="22">
        <f>'AU Infection Rate by Age'!C4</f>
        <v>2.8847876724601325E-2</v>
      </c>
      <c r="E49" s="5"/>
      <c r="F49" s="16"/>
      <c r="G49" s="16"/>
      <c r="H49" s="16"/>
      <c r="I49" s="16"/>
      <c r="J49" s="18">
        <f t="shared" ref="J49:AI49" si="48">J$18*$D$49</f>
        <v>0.36059845905751658</v>
      </c>
      <c r="K49" s="19">
        <f t="shared" si="48"/>
        <v>0.72119691811503317</v>
      </c>
      <c r="L49" s="19">
        <f t="shared" si="48"/>
        <v>1.4423938362300663</v>
      </c>
      <c r="M49" s="19">
        <f t="shared" si="48"/>
        <v>2.8847876724601327</v>
      </c>
      <c r="N49" s="19">
        <f t="shared" si="48"/>
        <v>5.7695753449202654</v>
      </c>
      <c r="O49" s="19">
        <f t="shared" si="48"/>
        <v>11.539150689840531</v>
      </c>
      <c r="P49" s="19">
        <f t="shared" si="48"/>
        <v>23.078301379681061</v>
      </c>
      <c r="Q49" s="19">
        <f t="shared" si="48"/>
        <v>46.156602759362123</v>
      </c>
      <c r="R49" s="19">
        <f t="shared" si="48"/>
        <v>92.313205518724246</v>
      </c>
      <c r="S49" s="19">
        <f t="shared" si="48"/>
        <v>184.62641103744849</v>
      </c>
      <c r="T49" s="19">
        <f t="shared" si="48"/>
        <v>369.25282207489698</v>
      </c>
      <c r="U49" s="19">
        <f t="shared" si="48"/>
        <v>738.50564414979397</v>
      </c>
      <c r="V49" s="19">
        <f t="shared" si="48"/>
        <v>1477.0112882995879</v>
      </c>
      <c r="W49" s="19">
        <f t="shared" si="48"/>
        <v>2954.0225765991759</v>
      </c>
      <c r="X49" s="19">
        <f t="shared" si="48"/>
        <v>5908.0451531983517</v>
      </c>
      <c r="Y49" s="19">
        <f t="shared" si="48"/>
        <v>11816.090306396703</v>
      </c>
      <c r="Z49" s="19">
        <f t="shared" si="48"/>
        <v>23632.180612793407</v>
      </c>
      <c r="AA49" s="19">
        <f t="shared" si="48"/>
        <v>47264.361225586814</v>
      </c>
      <c r="AB49" s="19">
        <f t="shared" si="48"/>
        <v>94528.722451173628</v>
      </c>
      <c r="AC49" s="19">
        <f t="shared" si="48"/>
        <v>189057.44490234726</v>
      </c>
      <c r="AD49" s="19">
        <f t="shared" si="48"/>
        <v>378114.88980469451</v>
      </c>
      <c r="AE49" s="18">
        <f t="shared" si="48"/>
        <v>756229.77960938902</v>
      </c>
      <c r="AF49" s="19">
        <f t="shared" si="48"/>
        <v>1512459.559218778</v>
      </c>
      <c r="AG49" s="19">
        <f t="shared" si="48"/>
        <v>3024919.1184375561</v>
      </c>
      <c r="AH49" s="19">
        <f t="shared" si="48"/>
        <v>6049838.2368751122</v>
      </c>
      <c r="AI49" s="60">
        <f t="shared" si="48"/>
        <v>9536112.7934061997</v>
      </c>
      <c r="AJ49" s="45"/>
    </row>
    <row r="50" spans="1:36" x14ac:dyDescent="0.25">
      <c r="A50" s="41"/>
      <c r="B50" s="6"/>
      <c r="C50" s="10"/>
      <c r="D50" s="8"/>
      <c r="E50" s="27">
        <v>0.14799999999999999</v>
      </c>
      <c r="F50" s="10"/>
      <c r="G50" s="10"/>
      <c r="H50" s="10"/>
      <c r="I50" s="10"/>
      <c r="J50" s="29">
        <f t="shared" ref="J50:AI50" si="49">J$18*$D$49*$E$50</f>
        <v>5.3368571940512449E-2</v>
      </c>
      <c r="K50" s="30">
        <f t="shared" si="49"/>
        <v>0.1067371438810249</v>
      </c>
      <c r="L50" s="30">
        <f t="shared" si="49"/>
        <v>0.2134742877620498</v>
      </c>
      <c r="M50" s="30">
        <f t="shared" si="49"/>
        <v>0.42694857552409959</v>
      </c>
      <c r="N50" s="30">
        <f t="shared" si="49"/>
        <v>0.85389715104819919</v>
      </c>
      <c r="O50" s="30">
        <f t="shared" si="49"/>
        <v>1.7077943020963984</v>
      </c>
      <c r="P50" s="30">
        <f t="shared" si="49"/>
        <v>3.4155886041927968</v>
      </c>
      <c r="Q50" s="30">
        <f t="shared" si="49"/>
        <v>6.8311772083855935</v>
      </c>
      <c r="R50" s="30">
        <f t="shared" si="49"/>
        <v>13.662354416771187</v>
      </c>
      <c r="S50" s="30">
        <f t="shared" si="49"/>
        <v>27.324708833542374</v>
      </c>
      <c r="T50" s="30">
        <f t="shared" si="49"/>
        <v>54.649417667084748</v>
      </c>
      <c r="U50" s="30">
        <f t="shared" si="49"/>
        <v>109.2988353341695</v>
      </c>
      <c r="V50" s="30">
        <f t="shared" si="49"/>
        <v>218.59767066833899</v>
      </c>
      <c r="W50" s="30">
        <f t="shared" si="49"/>
        <v>437.19534133667798</v>
      </c>
      <c r="X50" s="30">
        <f t="shared" si="49"/>
        <v>874.39068267335597</v>
      </c>
      <c r="Y50" s="30">
        <f t="shared" si="49"/>
        <v>1748.7813653467119</v>
      </c>
      <c r="Z50" s="30">
        <f t="shared" si="49"/>
        <v>3497.5627306934239</v>
      </c>
      <c r="AA50" s="30">
        <f t="shared" si="49"/>
        <v>6995.1254613868477</v>
      </c>
      <c r="AB50" s="30">
        <f t="shared" si="49"/>
        <v>13990.250922773695</v>
      </c>
      <c r="AC50" s="30">
        <f t="shared" si="49"/>
        <v>27980.501845547391</v>
      </c>
      <c r="AD50" s="30">
        <f t="shared" si="49"/>
        <v>55961.003691094782</v>
      </c>
      <c r="AE50" s="29">
        <f t="shared" si="49"/>
        <v>111922.00738218956</v>
      </c>
      <c r="AF50" s="30">
        <f t="shared" si="49"/>
        <v>223844.01476437913</v>
      </c>
      <c r="AG50" s="30">
        <f t="shared" si="49"/>
        <v>447688.02952875826</v>
      </c>
      <c r="AH50" s="30">
        <f t="shared" si="49"/>
        <v>895376.05905751651</v>
      </c>
      <c r="AI50" s="71">
        <f t="shared" si="49"/>
        <v>1411344.6934241175</v>
      </c>
      <c r="AJ50" s="45"/>
    </row>
    <row r="51" spans="1:36" x14ac:dyDescent="0.25">
      <c r="A51" s="41" t="s">
        <v>13</v>
      </c>
      <c r="B51" s="6">
        <f>'Population by Age - Wikipedia'!D37</f>
        <v>5.3752877231864643E-2</v>
      </c>
      <c r="C51" s="10">
        <f t="shared" ref="C51:C65" si="50">$B$5*B51</f>
        <v>17768846.73858995</v>
      </c>
      <c r="D51" s="23">
        <f>'AU Infection Rate by Age'!C5</f>
        <v>0.10661171833004837</v>
      </c>
      <c r="E51" s="17"/>
      <c r="F51" s="16"/>
      <c r="G51" s="16"/>
      <c r="H51" s="16"/>
      <c r="I51" s="16"/>
      <c r="J51" s="20">
        <f t="shared" ref="J51:AI51" si="51">J$18*$D$51</f>
        <v>1.3326464791256047</v>
      </c>
      <c r="K51" s="21">
        <f t="shared" si="51"/>
        <v>2.6652929582512095</v>
      </c>
      <c r="L51" s="21">
        <f t="shared" si="51"/>
        <v>5.330585916502419</v>
      </c>
      <c r="M51" s="21">
        <f t="shared" si="51"/>
        <v>10.661171833004838</v>
      </c>
      <c r="N51" s="21">
        <f t="shared" si="51"/>
        <v>21.322343666009676</v>
      </c>
      <c r="O51" s="21">
        <f t="shared" si="51"/>
        <v>42.644687332019352</v>
      </c>
      <c r="P51" s="21">
        <f t="shared" si="51"/>
        <v>85.289374664038704</v>
      </c>
      <c r="Q51" s="21">
        <f t="shared" si="51"/>
        <v>170.57874932807741</v>
      </c>
      <c r="R51" s="21">
        <f t="shared" si="51"/>
        <v>341.15749865615481</v>
      </c>
      <c r="S51" s="21">
        <f t="shared" si="51"/>
        <v>682.31499731230963</v>
      </c>
      <c r="T51" s="21">
        <f t="shared" si="51"/>
        <v>1364.6299946246193</v>
      </c>
      <c r="U51" s="21">
        <f t="shared" si="51"/>
        <v>2729.2599892492385</v>
      </c>
      <c r="V51" s="21">
        <f t="shared" si="51"/>
        <v>5458.519978498477</v>
      </c>
      <c r="W51" s="21">
        <f t="shared" si="51"/>
        <v>10917.039956996954</v>
      </c>
      <c r="X51" s="21">
        <f t="shared" si="51"/>
        <v>21834.079913993908</v>
      </c>
      <c r="Y51" s="21">
        <f t="shared" si="51"/>
        <v>43668.159827987816</v>
      </c>
      <c r="Z51" s="21">
        <f t="shared" si="51"/>
        <v>87336.319655975632</v>
      </c>
      <c r="AA51" s="21">
        <f t="shared" si="51"/>
        <v>174672.63931195126</v>
      </c>
      <c r="AB51" s="21">
        <f t="shared" si="51"/>
        <v>349345.27862390253</v>
      </c>
      <c r="AC51" s="21">
        <f t="shared" si="51"/>
        <v>698690.55724780506</v>
      </c>
      <c r="AD51" s="21">
        <f t="shared" si="51"/>
        <v>1397381.1144956101</v>
      </c>
      <c r="AE51" s="20">
        <f t="shared" si="51"/>
        <v>2794762.2289912202</v>
      </c>
      <c r="AF51" s="21">
        <f t="shared" si="51"/>
        <v>5589524.4579824405</v>
      </c>
      <c r="AG51" s="21">
        <f t="shared" si="51"/>
        <v>11179048.915964881</v>
      </c>
      <c r="AH51" s="21">
        <f t="shared" si="51"/>
        <v>22358097.831929762</v>
      </c>
      <c r="AI51" s="72">
        <f t="shared" si="51"/>
        <v>35242155.975631602</v>
      </c>
      <c r="AJ51" s="45"/>
    </row>
    <row r="52" spans="1:36" x14ac:dyDescent="0.25">
      <c r="A52" s="41"/>
      <c r="B52" s="6"/>
      <c r="C52" s="10"/>
      <c r="D52" s="8"/>
      <c r="E52" s="27">
        <v>0.08</v>
      </c>
      <c r="F52" s="10"/>
      <c r="G52" s="10"/>
      <c r="H52" s="10"/>
      <c r="I52" s="10"/>
      <c r="J52" s="29">
        <f t="shared" ref="J52:AI52" si="52">J$18*$D$51*$E$52</f>
        <v>0.10661171833004839</v>
      </c>
      <c r="K52" s="30">
        <f t="shared" si="52"/>
        <v>0.21322343666009677</v>
      </c>
      <c r="L52" s="30">
        <f t="shared" si="52"/>
        <v>0.42644687332019354</v>
      </c>
      <c r="M52" s="30">
        <f t="shared" si="52"/>
        <v>0.85289374664038708</v>
      </c>
      <c r="N52" s="30">
        <f t="shared" si="52"/>
        <v>1.7057874932807742</v>
      </c>
      <c r="O52" s="30">
        <f t="shared" si="52"/>
        <v>3.4115749865615483</v>
      </c>
      <c r="P52" s="30">
        <f t="shared" si="52"/>
        <v>6.8231499731230967</v>
      </c>
      <c r="Q52" s="30">
        <f t="shared" si="52"/>
        <v>13.646299946246193</v>
      </c>
      <c r="R52" s="30">
        <f t="shared" si="52"/>
        <v>27.292599892492387</v>
      </c>
      <c r="S52" s="30">
        <f t="shared" si="52"/>
        <v>54.585199784984773</v>
      </c>
      <c r="T52" s="30">
        <f t="shared" si="52"/>
        <v>109.17039956996955</v>
      </c>
      <c r="U52" s="30">
        <f t="shared" si="52"/>
        <v>218.34079913993909</v>
      </c>
      <c r="V52" s="30">
        <f t="shared" si="52"/>
        <v>436.68159827987819</v>
      </c>
      <c r="W52" s="30">
        <f t="shared" si="52"/>
        <v>873.36319655975637</v>
      </c>
      <c r="X52" s="30">
        <f t="shared" si="52"/>
        <v>1746.7263931195127</v>
      </c>
      <c r="Y52" s="30">
        <f t="shared" si="52"/>
        <v>3493.4527862390255</v>
      </c>
      <c r="Z52" s="30">
        <f t="shared" si="52"/>
        <v>6986.905572478051</v>
      </c>
      <c r="AA52" s="30">
        <f t="shared" si="52"/>
        <v>13973.811144956102</v>
      </c>
      <c r="AB52" s="30">
        <f t="shared" si="52"/>
        <v>27947.622289912204</v>
      </c>
      <c r="AC52" s="30">
        <f t="shared" si="52"/>
        <v>55895.244579824408</v>
      </c>
      <c r="AD52" s="30">
        <f t="shared" si="52"/>
        <v>111790.48915964882</v>
      </c>
      <c r="AE52" s="29">
        <f t="shared" si="52"/>
        <v>223580.97831929763</v>
      </c>
      <c r="AF52" s="30">
        <f t="shared" si="52"/>
        <v>447161.95663859526</v>
      </c>
      <c r="AG52" s="30">
        <f t="shared" si="52"/>
        <v>894323.91327719053</v>
      </c>
      <c r="AH52" s="30">
        <f t="shared" si="52"/>
        <v>1788647.8265543811</v>
      </c>
      <c r="AI52" s="71">
        <f t="shared" si="52"/>
        <v>2819372.4780505281</v>
      </c>
      <c r="AJ52" s="45"/>
    </row>
    <row r="53" spans="1:36" x14ac:dyDescent="0.25">
      <c r="A53" s="41" t="s">
        <v>14</v>
      </c>
      <c r="B53" s="6">
        <f>'Population by Age - Wikipedia'!D33</f>
        <v>9.4748533661399834E-2</v>
      </c>
      <c r="C53" s="10">
        <f t="shared" si="50"/>
        <v>31320596.404047467</v>
      </c>
      <c r="D53" s="23">
        <f>'AU Infection Rate by Age'!C6</f>
        <v>0.16735352087439526</v>
      </c>
      <c r="E53" s="17"/>
      <c r="F53" s="10"/>
      <c r="G53" s="10"/>
      <c r="H53" s="10"/>
      <c r="I53" s="10"/>
      <c r="J53" s="20">
        <f t="shared" ref="J53:AI53" si="53">J$18*$D$53</f>
        <v>2.0919190109299408</v>
      </c>
      <c r="K53" s="21">
        <f t="shared" si="53"/>
        <v>4.1838380218598816</v>
      </c>
      <c r="L53" s="21">
        <f t="shared" si="53"/>
        <v>8.3676760437197633</v>
      </c>
      <c r="M53" s="21">
        <f t="shared" si="53"/>
        <v>16.735352087439527</v>
      </c>
      <c r="N53" s="21">
        <f t="shared" si="53"/>
        <v>33.470704174879053</v>
      </c>
      <c r="O53" s="21">
        <f t="shared" si="53"/>
        <v>66.941408349758106</v>
      </c>
      <c r="P53" s="21">
        <f t="shared" si="53"/>
        <v>133.88281669951621</v>
      </c>
      <c r="Q53" s="21">
        <f t="shared" si="53"/>
        <v>267.76563339903242</v>
      </c>
      <c r="R53" s="21">
        <f t="shared" si="53"/>
        <v>535.53126679806485</v>
      </c>
      <c r="S53" s="21">
        <f t="shared" si="53"/>
        <v>1071.0625335961297</v>
      </c>
      <c r="T53" s="21">
        <f t="shared" si="53"/>
        <v>2142.1250671922594</v>
      </c>
      <c r="U53" s="21">
        <f t="shared" si="53"/>
        <v>4284.2501343845188</v>
      </c>
      <c r="V53" s="21">
        <f t="shared" si="53"/>
        <v>8568.5002687690376</v>
      </c>
      <c r="W53" s="21">
        <f t="shared" si="53"/>
        <v>17137.000537538075</v>
      </c>
      <c r="X53" s="21">
        <f t="shared" si="53"/>
        <v>34274.00107507615</v>
      </c>
      <c r="Y53" s="21">
        <f t="shared" si="53"/>
        <v>68548.002150152301</v>
      </c>
      <c r="Z53" s="21">
        <f t="shared" si="53"/>
        <v>137096.0043003046</v>
      </c>
      <c r="AA53" s="21">
        <f t="shared" si="53"/>
        <v>274192.0086006092</v>
      </c>
      <c r="AB53" s="21">
        <f t="shared" si="53"/>
        <v>548384.0172012184</v>
      </c>
      <c r="AC53" s="21">
        <f t="shared" si="53"/>
        <v>1096768.0344024368</v>
      </c>
      <c r="AD53" s="21">
        <f t="shared" si="53"/>
        <v>2193536.0688048736</v>
      </c>
      <c r="AE53" s="20">
        <f t="shared" si="53"/>
        <v>4387072.1376097472</v>
      </c>
      <c r="AF53" s="21">
        <f t="shared" si="53"/>
        <v>8774144.2752194945</v>
      </c>
      <c r="AG53" s="21">
        <f t="shared" si="53"/>
        <v>17548288.550438989</v>
      </c>
      <c r="AH53" s="21">
        <f t="shared" si="53"/>
        <v>35096577.100877978</v>
      </c>
      <c r="AI53" s="72">
        <f t="shared" si="53"/>
        <v>55321300.304604903</v>
      </c>
      <c r="AJ53" s="45"/>
    </row>
    <row r="54" spans="1:36" x14ac:dyDescent="0.25">
      <c r="A54" s="41"/>
      <c r="B54" s="6"/>
      <c r="C54" s="10"/>
      <c r="D54" s="8"/>
      <c r="E54" s="27">
        <v>3.5999999999999997E-2</v>
      </c>
      <c r="F54" s="10"/>
      <c r="G54" s="10"/>
      <c r="H54" s="10"/>
      <c r="I54" s="10"/>
      <c r="J54" s="29">
        <f t="shared" ref="J54:AI54" si="54">J$18*$D$53*$E$54</f>
        <v>7.530908439347786E-2</v>
      </c>
      <c r="K54" s="30">
        <f t="shared" si="54"/>
        <v>0.15061816878695572</v>
      </c>
      <c r="L54" s="30">
        <f t="shared" si="54"/>
        <v>0.30123633757391144</v>
      </c>
      <c r="M54" s="30">
        <f t="shared" si="54"/>
        <v>0.60247267514782288</v>
      </c>
      <c r="N54" s="30">
        <f t="shared" si="54"/>
        <v>1.2049453502956458</v>
      </c>
      <c r="O54" s="30">
        <f t="shared" si="54"/>
        <v>2.4098907005912915</v>
      </c>
      <c r="P54" s="30">
        <f t="shared" si="54"/>
        <v>4.819781401182583</v>
      </c>
      <c r="Q54" s="30">
        <f t="shared" si="54"/>
        <v>9.639562802365166</v>
      </c>
      <c r="R54" s="30">
        <f t="shared" si="54"/>
        <v>19.279125604730332</v>
      </c>
      <c r="S54" s="30">
        <f t="shared" si="54"/>
        <v>38.558251209460664</v>
      </c>
      <c r="T54" s="30">
        <f t="shared" si="54"/>
        <v>77.116502418921328</v>
      </c>
      <c r="U54" s="30">
        <f t="shared" si="54"/>
        <v>154.23300483784266</v>
      </c>
      <c r="V54" s="30">
        <f t="shared" si="54"/>
        <v>308.46600967568531</v>
      </c>
      <c r="W54" s="30">
        <f t="shared" si="54"/>
        <v>616.93201935137063</v>
      </c>
      <c r="X54" s="30">
        <f t="shared" si="54"/>
        <v>1233.8640387027413</v>
      </c>
      <c r="Y54" s="30">
        <f t="shared" si="54"/>
        <v>2467.7280774054825</v>
      </c>
      <c r="Z54" s="30">
        <f t="shared" si="54"/>
        <v>4935.456154810965</v>
      </c>
      <c r="AA54" s="30">
        <f t="shared" si="54"/>
        <v>9870.91230962193</v>
      </c>
      <c r="AB54" s="30">
        <f t="shared" si="54"/>
        <v>19741.82461924386</v>
      </c>
      <c r="AC54" s="30">
        <f t="shared" si="54"/>
        <v>39483.64923848772</v>
      </c>
      <c r="AD54" s="30">
        <f t="shared" si="54"/>
        <v>78967.29847697544</v>
      </c>
      <c r="AE54" s="29">
        <f t="shared" si="54"/>
        <v>157934.59695395088</v>
      </c>
      <c r="AF54" s="30">
        <f t="shared" si="54"/>
        <v>315869.19390790176</v>
      </c>
      <c r="AG54" s="30">
        <f t="shared" si="54"/>
        <v>631738.38781580352</v>
      </c>
      <c r="AH54" s="30">
        <f t="shared" si="54"/>
        <v>1263476.775631607</v>
      </c>
      <c r="AI54" s="71">
        <f t="shared" si="54"/>
        <v>1991566.8109657764</v>
      </c>
      <c r="AJ54" s="45"/>
    </row>
    <row r="55" spans="1:36" x14ac:dyDescent="0.25">
      <c r="A55" s="41" t="s">
        <v>15</v>
      </c>
      <c r="B55" s="6">
        <f>'Population by Age - Wikipedia'!D29</f>
        <v>0.13591428809571979</v>
      </c>
      <c r="C55" s="10">
        <f t="shared" si="50"/>
        <v>44928574.60150566</v>
      </c>
      <c r="D55" s="23">
        <f>'AU Infection Rate by Age'!C7</f>
        <v>0.15534850385235621</v>
      </c>
      <c r="E55" s="17"/>
      <c r="F55" s="10"/>
      <c r="G55" s="10"/>
      <c r="H55" s="10"/>
      <c r="I55" s="10"/>
      <c r="J55" s="20">
        <f t="shared" ref="J55:AI55" si="55">J$18*$D$55</f>
        <v>1.9418562981544527</v>
      </c>
      <c r="K55" s="21">
        <f t="shared" si="55"/>
        <v>3.8837125963089054</v>
      </c>
      <c r="L55" s="21">
        <f t="shared" si="55"/>
        <v>7.7674251926178108</v>
      </c>
      <c r="M55" s="21">
        <f t="shared" si="55"/>
        <v>15.534850385235622</v>
      </c>
      <c r="N55" s="21">
        <f t="shared" si="55"/>
        <v>31.069700770471243</v>
      </c>
      <c r="O55" s="21">
        <f t="shared" si="55"/>
        <v>62.139401540942487</v>
      </c>
      <c r="P55" s="21">
        <f t="shared" si="55"/>
        <v>124.27880308188497</v>
      </c>
      <c r="Q55" s="21">
        <f t="shared" si="55"/>
        <v>248.55760616376995</v>
      </c>
      <c r="R55" s="21">
        <f t="shared" si="55"/>
        <v>497.11521232753989</v>
      </c>
      <c r="S55" s="21">
        <f t="shared" si="55"/>
        <v>994.23042465507979</v>
      </c>
      <c r="T55" s="21">
        <f t="shared" si="55"/>
        <v>1988.4608493101596</v>
      </c>
      <c r="U55" s="21">
        <f t="shared" si="55"/>
        <v>3976.9216986203191</v>
      </c>
      <c r="V55" s="21">
        <f t="shared" si="55"/>
        <v>7953.8433972406383</v>
      </c>
      <c r="W55" s="21">
        <f t="shared" si="55"/>
        <v>15907.686794481277</v>
      </c>
      <c r="X55" s="21">
        <f t="shared" si="55"/>
        <v>31815.373588962553</v>
      </c>
      <c r="Y55" s="21">
        <f t="shared" si="55"/>
        <v>63630.747177925106</v>
      </c>
      <c r="Z55" s="21">
        <f t="shared" si="55"/>
        <v>127261.49435585021</v>
      </c>
      <c r="AA55" s="21">
        <f t="shared" si="55"/>
        <v>254522.98871170043</v>
      </c>
      <c r="AB55" s="21">
        <f t="shared" si="55"/>
        <v>509045.97742340085</v>
      </c>
      <c r="AC55" s="21">
        <f t="shared" si="55"/>
        <v>1018091.9548468017</v>
      </c>
      <c r="AD55" s="21">
        <f t="shared" si="55"/>
        <v>2036183.9096936034</v>
      </c>
      <c r="AE55" s="20">
        <f t="shared" si="55"/>
        <v>4072367.8193872068</v>
      </c>
      <c r="AF55" s="21">
        <f t="shared" si="55"/>
        <v>8144735.6387744136</v>
      </c>
      <c r="AG55" s="21">
        <f t="shared" si="55"/>
        <v>16289471.277548827</v>
      </c>
      <c r="AH55" s="21">
        <f t="shared" si="55"/>
        <v>32578942.555097654</v>
      </c>
      <c r="AI55" s="72">
        <f t="shared" si="55"/>
        <v>51352855.850206055</v>
      </c>
      <c r="AJ55" s="45"/>
    </row>
    <row r="56" spans="1:36" x14ac:dyDescent="0.25">
      <c r="A56" s="41"/>
      <c r="B56" s="6"/>
      <c r="C56" s="10"/>
      <c r="D56" s="8"/>
      <c r="E56" s="27">
        <v>1.2999999999999999E-2</v>
      </c>
      <c r="F56" s="10"/>
      <c r="G56" s="10"/>
      <c r="H56" s="10"/>
      <c r="I56" s="10"/>
      <c r="J56" s="29">
        <f t="shared" ref="J56:AI56" si="56">J$18*$D$55*$E$56</f>
        <v>2.5244131876007884E-2</v>
      </c>
      <c r="K56" s="30">
        <f t="shared" si="56"/>
        <v>5.0488263752015768E-2</v>
      </c>
      <c r="L56" s="30">
        <f t="shared" si="56"/>
        <v>0.10097652750403154</v>
      </c>
      <c r="M56" s="30">
        <f t="shared" si="56"/>
        <v>0.20195305500806307</v>
      </c>
      <c r="N56" s="30">
        <f t="shared" si="56"/>
        <v>0.40390611001612614</v>
      </c>
      <c r="O56" s="30">
        <f t="shared" si="56"/>
        <v>0.80781222003225228</v>
      </c>
      <c r="P56" s="30">
        <f t="shared" si="56"/>
        <v>1.6156244400645046</v>
      </c>
      <c r="Q56" s="30">
        <f t="shared" si="56"/>
        <v>3.2312488801290091</v>
      </c>
      <c r="R56" s="30">
        <f t="shared" si="56"/>
        <v>6.4624977602580183</v>
      </c>
      <c r="S56" s="30">
        <f t="shared" si="56"/>
        <v>12.924995520516037</v>
      </c>
      <c r="T56" s="30">
        <f t="shared" si="56"/>
        <v>25.849991041032073</v>
      </c>
      <c r="U56" s="30">
        <f t="shared" si="56"/>
        <v>51.699982082064146</v>
      </c>
      <c r="V56" s="30">
        <f t="shared" si="56"/>
        <v>103.39996416412829</v>
      </c>
      <c r="W56" s="30">
        <f t="shared" si="56"/>
        <v>206.79992832825658</v>
      </c>
      <c r="X56" s="30">
        <f t="shared" si="56"/>
        <v>413.59985665651317</v>
      </c>
      <c r="Y56" s="30">
        <f t="shared" si="56"/>
        <v>827.19971331302634</v>
      </c>
      <c r="Z56" s="30">
        <f t="shared" si="56"/>
        <v>1654.3994266260527</v>
      </c>
      <c r="AA56" s="30">
        <f t="shared" si="56"/>
        <v>3308.7988532521053</v>
      </c>
      <c r="AB56" s="30">
        <f t="shared" si="56"/>
        <v>6617.5977065042107</v>
      </c>
      <c r="AC56" s="30">
        <f t="shared" si="56"/>
        <v>13235.195413008421</v>
      </c>
      <c r="AD56" s="30">
        <f t="shared" si="56"/>
        <v>26470.390826016843</v>
      </c>
      <c r="AE56" s="29">
        <f t="shared" si="56"/>
        <v>52940.781652033686</v>
      </c>
      <c r="AF56" s="30">
        <f t="shared" si="56"/>
        <v>105881.56330406737</v>
      </c>
      <c r="AG56" s="30">
        <f t="shared" si="56"/>
        <v>211763.12660813474</v>
      </c>
      <c r="AH56" s="30">
        <f t="shared" si="56"/>
        <v>423526.25321626948</v>
      </c>
      <c r="AI56" s="71">
        <f t="shared" si="56"/>
        <v>667587.12605267868</v>
      </c>
      <c r="AJ56" s="45"/>
    </row>
    <row r="57" spans="1:36" x14ac:dyDescent="0.25">
      <c r="A57" s="41" t="s">
        <v>16</v>
      </c>
      <c r="B57" s="6">
        <f>'Population by Age - Wikipedia'!D25</f>
        <v>0.14121517441978385</v>
      </c>
      <c r="C57" s="10">
        <f t="shared" si="50"/>
        <v>46680864.739663057</v>
      </c>
      <c r="D57" s="23">
        <f>'AU Infection Rate by Age'!C8</f>
        <v>0.12972585558143701</v>
      </c>
      <c r="E57" s="17"/>
      <c r="F57" s="10"/>
      <c r="G57" s="10"/>
      <c r="H57" s="10"/>
      <c r="I57" s="10"/>
      <c r="J57" s="20">
        <f t="shared" ref="J57:AI57" si="57">J$18*$D$57</f>
        <v>1.6215731947679626</v>
      </c>
      <c r="K57" s="21">
        <f t="shared" si="57"/>
        <v>3.2431463895359252</v>
      </c>
      <c r="L57" s="21">
        <f t="shared" si="57"/>
        <v>6.4862927790718503</v>
      </c>
      <c r="M57" s="21">
        <f t="shared" si="57"/>
        <v>12.972585558143701</v>
      </c>
      <c r="N57" s="21">
        <f t="shared" si="57"/>
        <v>25.945171116287401</v>
      </c>
      <c r="O57" s="21">
        <f t="shared" si="57"/>
        <v>51.890342232574802</v>
      </c>
      <c r="P57" s="21">
        <f t="shared" si="57"/>
        <v>103.7806844651496</v>
      </c>
      <c r="Q57" s="21">
        <f t="shared" si="57"/>
        <v>207.56136893029921</v>
      </c>
      <c r="R57" s="21">
        <f t="shared" si="57"/>
        <v>415.12273786059842</v>
      </c>
      <c r="S57" s="21">
        <f t="shared" si="57"/>
        <v>830.24547572119684</v>
      </c>
      <c r="T57" s="21">
        <f t="shared" si="57"/>
        <v>1660.4909514423937</v>
      </c>
      <c r="U57" s="21">
        <f t="shared" si="57"/>
        <v>3320.9819028847874</v>
      </c>
      <c r="V57" s="21">
        <f t="shared" si="57"/>
        <v>6641.9638057695747</v>
      </c>
      <c r="W57" s="21">
        <f t="shared" si="57"/>
        <v>13283.927611539149</v>
      </c>
      <c r="X57" s="21">
        <f t="shared" si="57"/>
        <v>26567.855223078299</v>
      </c>
      <c r="Y57" s="21">
        <f t="shared" si="57"/>
        <v>53135.710446156598</v>
      </c>
      <c r="Z57" s="21">
        <f t="shared" si="57"/>
        <v>106271.4208923132</v>
      </c>
      <c r="AA57" s="21">
        <f t="shared" si="57"/>
        <v>212542.84178462639</v>
      </c>
      <c r="AB57" s="21">
        <f t="shared" si="57"/>
        <v>425085.68356925278</v>
      </c>
      <c r="AC57" s="21">
        <f t="shared" si="57"/>
        <v>850171.36713850556</v>
      </c>
      <c r="AD57" s="21">
        <f t="shared" si="57"/>
        <v>1700342.7342770111</v>
      </c>
      <c r="AE57" s="20">
        <f t="shared" si="57"/>
        <v>3400685.4685540223</v>
      </c>
      <c r="AF57" s="21">
        <f t="shared" si="57"/>
        <v>6801370.9371080445</v>
      </c>
      <c r="AG57" s="21">
        <f t="shared" si="57"/>
        <v>13602741.874216089</v>
      </c>
      <c r="AH57" s="21">
        <f t="shared" si="57"/>
        <v>27205483.748432178</v>
      </c>
      <c r="AI57" s="72">
        <f t="shared" si="57"/>
        <v>42882892.313205518</v>
      </c>
      <c r="AJ57" s="45"/>
    </row>
    <row r="58" spans="1:36" x14ac:dyDescent="0.25">
      <c r="A58" s="41"/>
      <c r="B58" s="6"/>
      <c r="C58" s="10"/>
      <c r="D58" s="8"/>
      <c r="E58" s="27">
        <v>4.0000000000000001E-3</v>
      </c>
      <c r="F58" s="10"/>
      <c r="G58" s="10"/>
      <c r="H58" s="10"/>
      <c r="I58" s="10"/>
      <c r="J58" s="29">
        <f t="shared" ref="J58:AI58" si="58">J$18*$D$57*$E$58</f>
        <v>6.4862927790718507E-3</v>
      </c>
      <c r="K58" s="30">
        <f t="shared" si="58"/>
        <v>1.2972585558143701E-2</v>
      </c>
      <c r="L58" s="30">
        <f t="shared" si="58"/>
        <v>2.5945171116287403E-2</v>
      </c>
      <c r="M58" s="30">
        <f t="shared" si="58"/>
        <v>5.1890342232574806E-2</v>
      </c>
      <c r="N58" s="30">
        <f t="shared" si="58"/>
        <v>0.10378068446514961</v>
      </c>
      <c r="O58" s="30">
        <f t="shared" si="58"/>
        <v>0.20756136893029922</v>
      </c>
      <c r="P58" s="30">
        <f t="shared" si="58"/>
        <v>0.41512273786059845</v>
      </c>
      <c r="Q58" s="30">
        <f t="shared" si="58"/>
        <v>0.83024547572119689</v>
      </c>
      <c r="R58" s="30">
        <f t="shared" si="58"/>
        <v>1.6604909514423938</v>
      </c>
      <c r="S58" s="30">
        <f t="shared" si="58"/>
        <v>3.3209819028847876</v>
      </c>
      <c r="T58" s="30">
        <f t="shared" si="58"/>
        <v>6.6419638057695751</v>
      </c>
      <c r="U58" s="30">
        <f t="shared" si="58"/>
        <v>13.28392761153915</v>
      </c>
      <c r="V58" s="30">
        <f t="shared" si="58"/>
        <v>26.5678552230783</v>
      </c>
      <c r="W58" s="30">
        <f t="shared" si="58"/>
        <v>53.135710446156601</v>
      </c>
      <c r="X58" s="30">
        <f t="shared" si="58"/>
        <v>106.2714208923132</v>
      </c>
      <c r="Y58" s="30">
        <f t="shared" si="58"/>
        <v>212.5428417846264</v>
      </c>
      <c r="Z58" s="30">
        <f t="shared" si="58"/>
        <v>425.08568356925281</v>
      </c>
      <c r="AA58" s="30">
        <f t="shared" si="58"/>
        <v>850.17136713850562</v>
      </c>
      <c r="AB58" s="30">
        <f t="shared" si="58"/>
        <v>1700.3427342770112</v>
      </c>
      <c r="AC58" s="30">
        <f t="shared" si="58"/>
        <v>3400.6854685540225</v>
      </c>
      <c r="AD58" s="30">
        <f t="shared" si="58"/>
        <v>6801.3709371080449</v>
      </c>
      <c r="AE58" s="29">
        <f t="shared" si="58"/>
        <v>13602.74187421609</v>
      </c>
      <c r="AF58" s="30">
        <f t="shared" si="58"/>
        <v>27205.48374843218</v>
      </c>
      <c r="AG58" s="30">
        <f t="shared" si="58"/>
        <v>54410.967496864359</v>
      </c>
      <c r="AH58" s="30">
        <f t="shared" si="58"/>
        <v>108821.93499372872</v>
      </c>
      <c r="AI58" s="71">
        <f t="shared" si="58"/>
        <v>171531.56925282208</v>
      </c>
      <c r="AJ58" s="45"/>
    </row>
    <row r="59" spans="1:36" x14ac:dyDescent="0.25">
      <c r="A59" s="41" t="s">
        <v>17</v>
      </c>
      <c r="B59" s="6">
        <f>'Population by Age - Wikipedia'!D21</f>
        <v>0.13001561499489589</v>
      </c>
      <c r="C59" s="10">
        <f t="shared" si="50"/>
        <v>42978676.778595254</v>
      </c>
      <c r="D59" s="23">
        <f>'AU Infection Rate by Age'!C9</f>
        <v>0.15731947679627306</v>
      </c>
      <c r="E59" s="17"/>
      <c r="F59" s="10"/>
      <c r="G59" s="14"/>
      <c r="H59" s="10"/>
      <c r="I59" s="10"/>
      <c r="J59" s="20">
        <f t="shared" ref="J59:AI59" si="59">J$18*$D$59</f>
        <v>1.9664934599534132</v>
      </c>
      <c r="K59" s="21">
        <f t="shared" si="59"/>
        <v>3.9329869199068264</v>
      </c>
      <c r="L59" s="21">
        <f t="shared" si="59"/>
        <v>7.8659738398136527</v>
      </c>
      <c r="M59" s="21">
        <f t="shared" si="59"/>
        <v>15.731947679627305</v>
      </c>
      <c r="N59" s="21">
        <f t="shared" si="59"/>
        <v>31.463895359254611</v>
      </c>
      <c r="O59" s="21">
        <f t="shared" si="59"/>
        <v>62.927790718509222</v>
      </c>
      <c r="P59" s="21">
        <f t="shared" si="59"/>
        <v>125.85558143701844</v>
      </c>
      <c r="Q59" s="21">
        <f t="shared" si="59"/>
        <v>251.71116287403689</v>
      </c>
      <c r="R59" s="21">
        <f t="shared" si="59"/>
        <v>503.42232574807377</v>
      </c>
      <c r="S59" s="21">
        <f t="shared" si="59"/>
        <v>1006.8446514961475</v>
      </c>
      <c r="T59" s="21">
        <f t="shared" si="59"/>
        <v>2013.6893029922951</v>
      </c>
      <c r="U59" s="21">
        <f t="shared" si="59"/>
        <v>4027.3786059845902</v>
      </c>
      <c r="V59" s="21">
        <f t="shared" si="59"/>
        <v>8054.7572119691804</v>
      </c>
      <c r="W59" s="21">
        <f t="shared" si="59"/>
        <v>16109.514423938361</v>
      </c>
      <c r="X59" s="21">
        <f t="shared" si="59"/>
        <v>32219.028847876722</v>
      </c>
      <c r="Y59" s="21">
        <f t="shared" si="59"/>
        <v>64438.057695753443</v>
      </c>
      <c r="Z59" s="21">
        <f t="shared" si="59"/>
        <v>128876.11539150689</v>
      </c>
      <c r="AA59" s="21">
        <f t="shared" si="59"/>
        <v>257752.23078301377</v>
      </c>
      <c r="AB59" s="21">
        <f t="shared" si="59"/>
        <v>515504.46156602754</v>
      </c>
      <c r="AC59" s="21">
        <f t="shared" si="59"/>
        <v>1031008.9231320551</v>
      </c>
      <c r="AD59" s="21">
        <f t="shared" si="59"/>
        <v>2062017.8462641102</v>
      </c>
      <c r="AE59" s="20">
        <f t="shared" si="59"/>
        <v>4124035.6925282204</v>
      </c>
      <c r="AF59" s="21">
        <f t="shared" si="59"/>
        <v>8248071.3850564407</v>
      </c>
      <c r="AG59" s="21">
        <f t="shared" si="59"/>
        <v>16496142.770112881</v>
      </c>
      <c r="AH59" s="21">
        <f t="shared" si="59"/>
        <v>32992285.540225763</v>
      </c>
      <c r="AI59" s="72">
        <f t="shared" si="59"/>
        <v>52004391.506898403</v>
      </c>
      <c r="AJ59" s="45"/>
    </row>
    <row r="60" spans="1:36" x14ac:dyDescent="0.25">
      <c r="A60" s="41"/>
      <c r="B60" s="6"/>
      <c r="C60" s="10"/>
      <c r="D60" s="8"/>
      <c r="E60" s="27">
        <v>2E-3</v>
      </c>
      <c r="F60" s="10"/>
      <c r="G60" s="10"/>
      <c r="H60" s="10"/>
      <c r="I60" s="10"/>
      <c r="J60" s="29">
        <f t="shared" ref="J60:AI60" si="60">J$18*$D$59*$E$60</f>
        <v>3.9329869199068264E-3</v>
      </c>
      <c r="K60" s="30">
        <f t="shared" si="60"/>
        <v>7.8659738398136527E-3</v>
      </c>
      <c r="L60" s="30">
        <f t="shared" si="60"/>
        <v>1.5731947679627305E-2</v>
      </c>
      <c r="M60" s="30">
        <f t="shared" si="60"/>
        <v>3.1463895359254611E-2</v>
      </c>
      <c r="N60" s="30">
        <f t="shared" si="60"/>
        <v>6.2927790718509222E-2</v>
      </c>
      <c r="O60" s="30">
        <f t="shared" si="60"/>
        <v>0.12585558143701844</v>
      </c>
      <c r="P60" s="30">
        <f t="shared" si="60"/>
        <v>0.25171116287403689</v>
      </c>
      <c r="Q60" s="30">
        <f t="shared" si="60"/>
        <v>0.50342232574807377</v>
      </c>
      <c r="R60" s="30">
        <f t="shared" si="60"/>
        <v>1.0068446514961475</v>
      </c>
      <c r="S60" s="30">
        <f t="shared" si="60"/>
        <v>2.0136893029922951</v>
      </c>
      <c r="T60" s="30">
        <f t="shared" si="60"/>
        <v>4.0273786059845902</v>
      </c>
      <c r="U60" s="30">
        <f t="shared" si="60"/>
        <v>8.0547572119691804</v>
      </c>
      <c r="V60" s="30">
        <f t="shared" si="60"/>
        <v>16.109514423938361</v>
      </c>
      <c r="W60" s="30">
        <f t="shared" si="60"/>
        <v>32.219028847876721</v>
      </c>
      <c r="X60" s="30">
        <f t="shared" si="60"/>
        <v>64.438057695753443</v>
      </c>
      <c r="Y60" s="30">
        <f t="shared" si="60"/>
        <v>128.87611539150689</v>
      </c>
      <c r="Z60" s="30">
        <f t="shared" si="60"/>
        <v>257.75223078301377</v>
      </c>
      <c r="AA60" s="30">
        <f t="shared" si="60"/>
        <v>515.50446156602754</v>
      </c>
      <c r="AB60" s="30">
        <f t="shared" si="60"/>
        <v>1031.0089231320551</v>
      </c>
      <c r="AC60" s="30">
        <f t="shared" si="60"/>
        <v>2062.0178462641102</v>
      </c>
      <c r="AD60" s="30">
        <f t="shared" si="60"/>
        <v>4124.0356925282204</v>
      </c>
      <c r="AE60" s="29">
        <f t="shared" si="60"/>
        <v>8248.0713850564407</v>
      </c>
      <c r="AF60" s="30">
        <f t="shared" si="60"/>
        <v>16496.142770112881</v>
      </c>
      <c r="AG60" s="30">
        <f t="shared" si="60"/>
        <v>32992.285540225763</v>
      </c>
      <c r="AH60" s="30">
        <f t="shared" si="60"/>
        <v>65984.571080451526</v>
      </c>
      <c r="AI60" s="71">
        <f t="shared" si="60"/>
        <v>104008.78301379681</v>
      </c>
      <c r="AJ60" s="45"/>
    </row>
    <row r="61" spans="1:36" x14ac:dyDescent="0.25">
      <c r="A61" s="41" t="s">
        <v>18</v>
      </c>
      <c r="B61" s="6">
        <f>'Population by Age - Wikipedia'!D17</f>
        <v>0.13826223457843137</v>
      </c>
      <c r="C61" s="10">
        <f t="shared" si="50"/>
        <v>45704724.704536453</v>
      </c>
      <c r="D61" s="23">
        <f>'AU Infection Rate by Age'!C10</f>
        <v>0.2160903063967031</v>
      </c>
      <c r="E61" s="17"/>
      <c r="F61" s="10"/>
      <c r="G61" s="10"/>
      <c r="H61" s="10"/>
      <c r="I61" s="10"/>
      <c r="J61" s="20">
        <f t="shared" ref="J61:AI61" si="61">J$18*$D$61</f>
        <v>2.7011288299587886</v>
      </c>
      <c r="K61" s="21">
        <f t="shared" si="61"/>
        <v>5.4022576599175771</v>
      </c>
      <c r="L61" s="21">
        <f t="shared" si="61"/>
        <v>10.804515319835154</v>
      </c>
      <c r="M61" s="21">
        <f t="shared" si="61"/>
        <v>21.609030639670308</v>
      </c>
      <c r="N61" s="21">
        <f t="shared" si="61"/>
        <v>43.218061279340617</v>
      </c>
      <c r="O61" s="21">
        <f t="shared" si="61"/>
        <v>86.436122558681234</v>
      </c>
      <c r="P61" s="21">
        <f t="shared" si="61"/>
        <v>172.87224511736247</v>
      </c>
      <c r="Q61" s="21">
        <f t="shared" si="61"/>
        <v>345.74449023472494</v>
      </c>
      <c r="R61" s="21">
        <f t="shared" si="61"/>
        <v>691.48898046944987</v>
      </c>
      <c r="S61" s="21">
        <f t="shared" si="61"/>
        <v>1382.9779609388997</v>
      </c>
      <c r="T61" s="21">
        <f t="shared" si="61"/>
        <v>2765.9559218777995</v>
      </c>
      <c r="U61" s="21">
        <f t="shared" si="61"/>
        <v>5531.911843755599</v>
      </c>
      <c r="V61" s="21">
        <f t="shared" si="61"/>
        <v>11063.823687511198</v>
      </c>
      <c r="W61" s="21">
        <f t="shared" si="61"/>
        <v>22127.647375022396</v>
      </c>
      <c r="X61" s="21">
        <f t="shared" si="61"/>
        <v>44255.294750044792</v>
      </c>
      <c r="Y61" s="21">
        <f t="shared" si="61"/>
        <v>88510.589500089583</v>
      </c>
      <c r="Z61" s="21">
        <f t="shared" si="61"/>
        <v>177021.17900017917</v>
      </c>
      <c r="AA61" s="21">
        <f t="shared" si="61"/>
        <v>354042.35800035833</v>
      </c>
      <c r="AB61" s="21">
        <f t="shared" si="61"/>
        <v>708084.71600071667</v>
      </c>
      <c r="AC61" s="21">
        <f t="shared" si="61"/>
        <v>1416169.4320014333</v>
      </c>
      <c r="AD61" s="21">
        <f t="shared" si="61"/>
        <v>2832338.8640028667</v>
      </c>
      <c r="AE61" s="20">
        <f t="shared" si="61"/>
        <v>5664677.7280057333</v>
      </c>
      <c r="AF61" s="21">
        <f t="shared" si="61"/>
        <v>11329355.456011467</v>
      </c>
      <c r="AG61" s="21">
        <f t="shared" si="61"/>
        <v>22658710.912022933</v>
      </c>
      <c r="AH61" s="21">
        <f t="shared" si="61"/>
        <v>45317421.824045867</v>
      </c>
      <c r="AI61" s="72">
        <f t="shared" si="61"/>
        <v>71432000.179179356</v>
      </c>
      <c r="AJ61" s="45"/>
    </row>
    <row r="62" spans="1:36" x14ac:dyDescent="0.25">
      <c r="A62" s="41"/>
      <c r="B62" s="6"/>
      <c r="C62" s="10"/>
      <c r="D62" s="8"/>
      <c r="E62" s="27">
        <v>2E-3</v>
      </c>
      <c r="F62" s="10"/>
      <c r="G62" s="10"/>
      <c r="H62" s="10"/>
      <c r="I62" s="10"/>
      <c r="J62" s="29">
        <f t="shared" ref="J62:AI62" si="62">J$18*$D$61*$E$62</f>
        <v>5.4022576599175769E-3</v>
      </c>
      <c r="K62" s="30">
        <f t="shared" si="62"/>
        <v>1.0804515319835154E-2</v>
      </c>
      <c r="L62" s="30">
        <f t="shared" si="62"/>
        <v>2.1609030639670308E-2</v>
      </c>
      <c r="M62" s="30">
        <f t="shared" si="62"/>
        <v>4.3218061279340615E-2</v>
      </c>
      <c r="N62" s="30">
        <f t="shared" si="62"/>
        <v>8.643612255868123E-2</v>
      </c>
      <c r="O62" s="30">
        <f t="shared" si="62"/>
        <v>0.17287224511736246</v>
      </c>
      <c r="P62" s="30">
        <f t="shared" si="62"/>
        <v>0.34574449023472492</v>
      </c>
      <c r="Q62" s="30">
        <f t="shared" si="62"/>
        <v>0.69148898046944984</v>
      </c>
      <c r="R62" s="30">
        <f t="shared" si="62"/>
        <v>1.3829779609388997</v>
      </c>
      <c r="S62" s="30">
        <f t="shared" si="62"/>
        <v>2.7659559218777994</v>
      </c>
      <c r="T62" s="30">
        <f t="shared" si="62"/>
        <v>5.5319118437555987</v>
      </c>
      <c r="U62" s="30">
        <f t="shared" si="62"/>
        <v>11.063823687511197</v>
      </c>
      <c r="V62" s="30">
        <f t="shared" si="62"/>
        <v>22.127647375022395</v>
      </c>
      <c r="W62" s="30">
        <f t="shared" si="62"/>
        <v>44.25529475004479</v>
      </c>
      <c r="X62" s="30">
        <f t="shared" si="62"/>
        <v>88.51058950008958</v>
      </c>
      <c r="Y62" s="30">
        <f t="shared" si="62"/>
        <v>177.02117900017916</v>
      </c>
      <c r="Z62" s="30">
        <f t="shared" si="62"/>
        <v>354.04235800035832</v>
      </c>
      <c r="AA62" s="30">
        <f t="shared" si="62"/>
        <v>708.08471600071664</v>
      </c>
      <c r="AB62" s="30">
        <f t="shared" si="62"/>
        <v>1416.1694320014333</v>
      </c>
      <c r="AC62" s="30">
        <f t="shared" si="62"/>
        <v>2832.3388640028666</v>
      </c>
      <c r="AD62" s="30">
        <f t="shared" si="62"/>
        <v>5664.6777280057331</v>
      </c>
      <c r="AE62" s="29">
        <f t="shared" si="62"/>
        <v>11329.355456011466</v>
      </c>
      <c r="AF62" s="30">
        <f t="shared" si="62"/>
        <v>22658.710912022932</v>
      </c>
      <c r="AG62" s="30">
        <f t="shared" si="62"/>
        <v>45317.421824045865</v>
      </c>
      <c r="AH62" s="30">
        <f t="shared" si="62"/>
        <v>90634.84364809173</v>
      </c>
      <c r="AI62" s="71">
        <f t="shared" si="62"/>
        <v>142864.00035835872</v>
      </c>
      <c r="AJ62" s="45"/>
    </row>
    <row r="63" spans="1:36" x14ac:dyDescent="0.25">
      <c r="A63" s="42" t="s">
        <v>19</v>
      </c>
      <c r="B63" s="6">
        <f>'Population by Age - Wikipedia'!D13</f>
        <v>0.13835839467257338</v>
      </c>
      <c r="C63" s="10">
        <f t="shared" si="50"/>
        <v>45736511.914136559</v>
      </c>
      <c r="D63" s="23">
        <f>'AU Infection Rate by Age'!C11</f>
        <v>2.8847876724601325E-2</v>
      </c>
      <c r="E63" s="17"/>
      <c r="F63" s="10"/>
      <c r="G63" s="10"/>
      <c r="H63" s="10"/>
      <c r="I63" s="10"/>
      <c r="J63" s="20">
        <f t="shared" ref="J63:AI63" si="63">J$18*$D$63</f>
        <v>0.36059845905751658</v>
      </c>
      <c r="K63" s="21">
        <f t="shared" si="63"/>
        <v>0.72119691811503317</v>
      </c>
      <c r="L63" s="21">
        <f t="shared" si="63"/>
        <v>1.4423938362300663</v>
      </c>
      <c r="M63" s="21">
        <f t="shared" si="63"/>
        <v>2.8847876724601327</v>
      </c>
      <c r="N63" s="21">
        <f t="shared" si="63"/>
        <v>5.7695753449202654</v>
      </c>
      <c r="O63" s="21">
        <f t="shared" si="63"/>
        <v>11.539150689840531</v>
      </c>
      <c r="P63" s="21">
        <f t="shared" si="63"/>
        <v>23.078301379681061</v>
      </c>
      <c r="Q63" s="21">
        <f t="shared" si="63"/>
        <v>46.156602759362123</v>
      </c>
      <c r="R63" s="21">
        <f t="shared" si="63"/>
        <v>92.313205518724246</v>
      </c>
      <c r="S63" s="21">
        <f t="shared" si="63"/>
        <v>184.62641103744849</v>
      </c>
      <c r="T63" s="21">
        <f t="shared" si="63"/>
        <v>369.25282207489698</v>
      </c>
      <c r="U63" s="21">
        <f t="shared" si="63"/>
        <v>738.50564414979397</v>
      </c>
      <c r="V63" s="21">
        <f t="shared" si="63"/>
        <v>1477.0112882995879</v>
      </c>
      <c r="W63" s="21">
        <f t="shared" si="63"/>
        <v>2954.0225765991759</v>
      </c>
      <c r="X63" s="21">
        <f t="shared" si="63"/>
        <v>5908.0451531983517</v>
      </c>
      <c r="Y63" s="21">
        <f t="shared" si="63"/>
        <v>11816.090306396703</v>
      </c>
      <c r="Z63" s="21">
        <f t="shared" si="63"/>
        <v>23632.180612793407</v>
      </c>
      <c r="AA63" s="21">
        <f t="shared" si="63"/>
        <v>47264.361225586814</v>
      </c>
      <c r="AB63" s="21">
        <f t="shared" si="63"/>
        <v>94528.722451173628</v>
      </c>
      <c r="AC63" s="21">
        <f t="shared" si="63"/>
        <v>189057.44490234726</v>
      </c>
      <c r="AD63" s="21">
        <f t="shared" si="63"/>
        <v>378114.88980469451</v>
      </c>
      <c r="AE63" s="20">
        <f t="shared" si="63"/>
        <v>756229.77960938902</v>
      </c>
      <c r="AF63" s="21">
        <f t="shared" si="63"/>
        <v>1512459.559218778</v>
      </c>
      <c r="AG63" s="21">
        <f t="shared" si="63"/>
        <v>3024919.1184375561</v>
      </c>
      <c r="AH63" s="21">
        <f t="shared" si="63"/>
        <v>6049838.2368751122</v>
      </c>
      <c r="AI63" s="72">
        <f t="shared" si="63"/>
        <v>9536112.7934061997</v>
      </c>
      <c r="AJ63" s="45"/>
    </row>
    <row r="64" spans="1:36" x14ac:dyDescent="0.25">
      <c r="A64" s="42"/>
      <c r="B64" s="6"/>
      <c r="C64" s="10"/>
      <c r="D64" s="8"/>
      <c r="E64" s="27">
        <v>2E-3</v>
      </c>
      <c r="F64" s="10"/>
      <c r="G64" s="10"/>
      <c r="H64" s="10"/>
      <c r="I64" s="10"/>
      <c r="J64" s="29">
        <f t="shared" ref="J64:AI64" si="64">J$18*$D$63*$E$64</f>
        <v>7.2119691811503323E-4</v>
      </c>
      <c r="K64" s="30">
        <f t="shared" si="64"/>
        <v>1.4423938362300665E-3</v>
      </c>
      <c r="L64" s="30">
        <f t="shared" si="64"/>
        <v>2.8847876724601329E-3</v>
      </c>
      <c r="M64" s="30">
        <f t="shared" si="64"/>
        <v>5.7695753449202658E-3</v>
      </c>
      <c r="N64" s="30">
        <f t="shared" si="64"/>
        <v>1.1539150689840532E-2</v>
      </c>
      <c r="O64" s="30">
        <f t="shared" si="64"/>
        <v>2.3078301379681063E-2</v>
      </c>
      <c r="P64" s="30">
        <f t="shared" si="64"/>
        <v>4.6156602759362127E-2</v>
      </c>
      <c r="Q64" s="30">
        <f t="shared" si="64"/>
        <v>9.2313205518724253E-2</v>
      </c>
      <c r="R64" s="30">
        <f t="shared" si="64"/>
        <v>0.18462641103744851</v>
      </c>
      <c r="S64" s="30">
        <f t="shared" si="64"/>
        <v>0.36925282207489701</v>
      </c>
      <c r="T64" s="30">
        <f t="shared" si="64"/>
        <v>0.73850564414979403</v>
      </c>
      <c r="U64" s="30">
        <f t="shared" si="64"/>
        <v>1.4770112882995881</v>
      </c>
      <c r="V64" s="30">
        <f t="shared" si="64"/>
        <v>2.9540225765991761</v>
      </c>
      <c r="W64" s="30">
        <f t="shared" si="64"/>
        <v>5.9080451531983522</v>
      </c>
      <c r="X64" s="30">
        <f t="shared" si="64"/>
        <v>11.816090306396704</v>
      </c>
      <c r="Y64" s="30">
        <f t="shared" si="64"/>
        <v>23.632180612793409</v>
      </c>
      <c r="Z64" s="30">
        <f t="shared" si="64"/>
        <v>47.264361225586818</v>
      </c>
      <c r="AA64" s="30">
        <f t="shared" si="64"/>
        <v>94.528722451173635</v>
      </c>
      <c r="AB64" s="30">
        <f t="shared" si="64"/>
        <v>189.05744490234727</v>
      </c>
      <c r="AC64" s="30">
        <f t="shared" si="64"/>
        <v>378.11488980469454</v>
      </c>
      <c r="AD64" s="30">
        <f t="shared" si="64"/>
        <v>756.22977960938908</v>
      </c>
      <c r="AE64" s="29">
        <f t="shared" si="64"/>
        <v>1512.4595592187782</v>
      </c>
      <c r="AF64" s="30">
        <f t="shared" si="64"/>
        <v>3024.9191184375563</v>
      </c>
      <c r="AG64" s="30">
        <f t="shared" si="64"/>
        <v>6049.8382368751127</v>
      </c>
      <c r="AH64" s="30">
        <f t="shared" si="64"/>
        <v>12099.676473750225</v>
      </c>
      <c r="AI64" s="71">
        <f t="shared" si="64"/>
        <v>19072.225586812401</v>
      </c>
      <c r="AJ64" s="45"/>
    </row>
    <row r="65" spans="1:36" x14ac:dyDescent="0.25">
      <c r="A65" s="42" t="s">
        <v>20</v>
      </c>
      <c r="B65" s="6">
        <f>'Population by Age - Wikipedia'!D9</f>
        <v>0.13133799200038965</v>
      </c>
      <c r="C65" s="10">
        <f t="shared" si="50"/>
        <v>43415808.994604804</v>
      </c>
      <c r="D65" s="23">
        <f>'AU Infection Rate by Age'!C12</f>
        <v>9.8548647195843032E-3</v>
      </c>
      <c r="E65" s="17"/>
      <c r="F65" s="10"/>
      <c r="G65" s="10"/>
      <c r="H65" s="10"/>
      <c r="I65" s="10"/>
      <c r="J65" s="20">
        <f t="shared" ref="J65:AI65" si="65">J$18*$D$65</f>
        <v>0.12318580899480379</v>
      </c>
      <c r="K65" s="21">
        <f t="shared" si="65"/>
        <v>0.24637161798960758</v>
      </c>
      <c r="L65" s="21">
        <f t="shared" si="65"/>
        <v>0.49274323597921516</v>
      </c>
      <c r="M65" s="21">
        <f t="shared" si="65"/>
        <v>0.98548647195843031</v>
      </c>
      <c r="N65" s="21">
        <f t="shared" si="65"/>
        <v>1.9709729439168606</v>
      </c>
      <c r="O65" s="21">
        <f t="shared" si="65"/>
        <v>3.9419458878337212</v>
      </c>
      <c r="P65" s="21">
        <f t="shared" si="65"/>
        <v>7.8838917756674425</v>
      </c>
      <c r="Q65" s="21">
        <f t="shared" si="65"/>
        <v>15.767783551334885</v>
      </c>
      <c r="R65" s="21">
        <f t="shared" si="65"/>
        <v>31.53556710266977</v>
      </c>
      <c r="S65" s="21">
        <f t="shared" si="65"/>
        <v>63.07113420533954</v>
      </c>
      <c r="T65" s="21">
        <f t="shared" si="65"/>
        <v>126.14226841067908</v>
      </c>
      <c r="U65" s="21">
        <f t="shared" si="65"/>
        <v>252.28453682135816</v>
      </c>
      <c r="V65" s="21">
        <f t="shared" si="65"/>
        <v>504.56907364271632</v>
      </c>
      <c r="W65" s="21">
        <f t="shared" si="65"/>
        <v>1009.1381472854326</v>
      </c>
      <c r="X65" s="21">
        <f t="shared" si="65"/>
        <v>2018.2762945708653</v>
      </c>
      <c r="Y65" s="21">
        <f t="shared" si="65"/>
        <v>4036.5525891417306</v>
      </c>
      <c r="Z65" s="21">
        <f t="shared" si="65"/>
        <v>8073.1051782834611</v>
      </c>
      <c r="AA65" s="21">
        <f t="shared" si="65"/>
        <v>16146.210356566922</v>
      </c>
      <c r="AB65" s="21">
        <f t="shared" si="65"/>
        <v>32292.420713133844</v>
      </c>
      <c r="AC65" s="21">
        <f t="shared" si="65"/>
        <v>64584.841426267689</v>
      </c>
      <c r="AD65" s="21">
        <f t="shared" si="65"/>
        <v>129169.68285253538</v>
      </c>
      <c r="AE65" s="20">
        <f t="shared" si="65"/>
        <v>258339.36570507076</v>
      </c>
      <c r="AF65" s="21">
        <f t="shared" si="65"/>
        <v>516678.73141014151</v>
      </c>
      <c r="AG65" s="21">
        <f t="shared" si="65"/>
        <v>1033357.462820283</v>
      </c>
      <c r="AH65" s="21">
        <f t="shared" si="65"/>
        <v>2066714.925640566</v>
      </c>
      <c r="AI65" s="72">
        <f t="shared" si="65"/>
        <v>3257678.2834617449</v>
      </c>
      <c r="AJ65" s="45"/>
    </row>
    <row r="66" spans="1:36" x14ac:dyDescent="0.25">
      <c r="A66" s="42"/>
      <c r="B66" s="7"/>
      <c r="C66" s="11"/>
      <c r="D66" s="26"/>
      <c r="E66" s="28">
        <v>0</v>
      </c>
      <c r="F66" s="10"/>
      <c r="G66" s="10"/>
      <c r="H66" s="10"/>
      <c r="I66" s="10"/>
      <c r="J66" s="31">
        <f t="shared" ref="J66:AI66" si="66">J$18*$D$65*$E$66</f>
        <v>0</v>
      </c>
      <c r="K66" s="32">
        <f t="shared" si="66"/>
        <v>0</v>
      </c>
      <c r="L66" s="32">
        <f t="shared" si="66"/>
        <v>0</v>
      </c>
      <c r="M66" s="32">
        <f t="shared" si="66"/>
        <v>0</v>
      </c>
      <c r="N66" s="32">
        <f t="shared" si="66"/>
        <v>0</v>
      </c>
      <c r="O66" s="32">
        <f t="shared" si="66"/>
        <v>0</v>
      </c>
      <c r="P66" s="32">
        <f t="shared" si="66"/>
        <v>0</v>
      </c>
      <c r="Q66" s="32">
        <f t="shared" si="66"/>
        <v>0</v>
      </c>
      <c r="R66" s="32">
        <f t="shared" si="66"/>
        <v>0</v>
      </c>
      <c r="S66" s="32">
        <f t="shared" si="66"/>
        <v>0</v>
      </c>
      <c r="T66" s="32">
        <f t="shared" si="66"/>
        <v>0</v>
      </c>
      <c r="U66" s="32">
        <f t="shared" si="66"/>
        <v>0</v>
      </c>
      <c r="V66" s="32">
        <f t="shared" si="66"/>
        <v>0</v>
      </c>
      <c r="W66" s="32">
        <f t="shared" si="66"/>
        <v>0</v>
      </c>
      <c r="X66" s="32">
        <f t="shared" si="66"/>
        <v>0</v>
      </c>
      <c r="Y66" s="32">
        <f t="shared" si="66"/>
        <v>0</v>
      </c>
      <c r="Z66" s="32">
        <f t="shared" si="66"/>
        <v>0</v>
      </c>
      <c r="AA66" s="32">
        <f t="shared" si="66"/>
        <v>0</v>
      </c>
      <c r="AB66" s="32">
        <f t="shared" si="66"/>
        <v>0</v>
      </c>
      <c r="AC66" s="32">
        <f t="shared" si="66"/>
        <v>0</v>
      </c>
      <c r="AD66" s="32">
        <f t="shared" si="66"/>
        <v>0</v>
      </c>
      <c r="AE66" s="31">
        <f t="shared" si="66"/>
        <v>0</v>
      </c>
      <c r="AF66" s="32">
        <f t="shared" si="66"/>
        <v>0</v>
      </c>
      <c r="AG66" s="32">
        <f t="shared" si="66"/>
        <v>0</v>
      </c>
      <c r="AH66" s="32">
        <f t="shared" si="66"/>
        <v>0</v>
      </c>
      <c r="AI66" s="73">
        <f t="shared" si="66"/>
        <v>0</v>
      </c>
      <c r="AJ66" s="45"/>
    </row>
    <row r="67" spans="1:36" x14ac:dyDescent="0.25">
      <c r="A67" s="41" t="s">
        <v>39</v>
      </c>
      <c r="B67" s="14"/>
      <c r="C67" s="10"/>
      <c r="D67" s="10"/>
      <c r="E67" s="15"/>
      <c r="F67" s="10"/>
      <c r="G67" s="10"/>
      <c r="H67" s="10"/>
      <c r="I67" s="10"/>
      <c r="J67" s="18">
        <f t="shared" ref="J67:Z67" si="67">SUM(J49,J51,J53,J55,J57,J59,J61,J63,J65)</f>
        <v>12.499999999999998</v>
      </c>
      <c r="K67" s="19">
        <f t="shared" si="67"/>
        <v>24.999999999999996</v>
      </c>
      <c r="L67" s="19">
        <f t="shared" si="67"/>
        <v>49.999999999999993</v>
      </c>
      <c r="M67" s="19">
        <f t="shared" si="67"/>
        <v>99.999999999999986</v>
      </c>
      <c r="N67" s="19">
        <f t="shared" si="67"/>
        <v>199.99999999999997</v>
      </c>
      <c r="O67" s="19">
        <f>SUM(O49,O51,O53,O55,O57,O59,O61,O63,O65)</f>
        <v>399.99999999999994</v>
      </c>
      <c r="P67" s="19">
        <f t="shared" si="67"/>
        <v>799.99999999999989</v>
      </c>
      <c r="Q67" s="19">
        <f t="shared" si="67"/>
        <v>1599.9999999999998</v>
      </c>
      <c r="R67" s="19">
        <f t="shared" si="67"/>
        <v>3199.9999999999995</v>
      </c>
      <c r="S67" s="19">
        <f t="shared" si="67"/>
        <v>6399.9999999999991</v>
      </c>
      <c r="T67" s="19">
        <f t="shared" si="67"/>
        <v>12799.999999999998</v>
      </c>
      <c r="U67" s="19">
        <f t="shared" si="67"/>
        <v>25599.999999999996</v>
      </c>
      <c r="V67" s="19">
        <f t="shared" si="67"/>
        <v>51199.999999999993</v>
      </c>
      <c r="W67" s="19">
        <f t="shared" si="67"/>
        <v>102399.99999999999</v>
      </c>
      <c r="X67" s="19">
        <f t="shared" si="67"/>
        <v>204799.99999999997</v>
      </c>
      <c r="Y67" s="19">
        <f t="shared" si="67"/>
        <v>409599.99999999994</v>
      </c>
      <c r="Z67" s="19">
        <f t="shared" si="67"/>
        <v>819199.99999999988</v>
      </c>
      <c r="AA67" s="19">
        <f t="shared" ref="AA67:AC68" si="68">SUM(AA49,AA51,AA53,AA55,AA57,AA59,AA61,AA63,AA65)</f>
        <v>1638399.9999999998</v>
      </c>
      <c r="AB67" s="19">
        <f t="shared" si="68"/>
        <v>3276799.9999999995</v>
      </c>
      <c r="AC67" s="19">
        <f t="shared" si="68"/>
        <v>6553599.9999999991</v>
      </c>
      <c r="AD67" s="19">
        <f t="shared" ref="AD67:AI67" si="69">SUM(AD49,AD51,AD53,AD55,AD57,AD59,AD61,AD63,AD65)</f>
        <v>13107199.999999998</v>
      </c>
      <c r="AE67" s="18">
        <f t="shared" si="69"/>
        <v>26214399.999999996</v>
      </c>
      <c r="AF67" s="19">
        <f t="shared" si="69"/>
        <v>52428799.999999993</v>
      </c>
      <c r="AG67" s="19">
        <f t="shared" si="69"/>
        <v>104857599.99999999</v>
      </c>
      <c r="AH67" s="19">
        <f t="shared" si="69"/>
        <v>209715199.99999997</v>
      </c>
      <c r="AI67" s="60">
        <f t="shared" si="69"/>
        <v>330565499.99999994</v>
      </c>
      <c r="AJ67" s="45"/>
    </row>
    <row r="68" spans="1:36" x14ac:dyDescent="0.25">
      <c r="A68" s="43" t="s">
        <v>38</v>
      </c>
      <c r="B68" s="44"/>
      <c r="C68" s="11"/>
      <c r="D68" s="11"/>
      <c r="E68" s="38"/>
      <c r="F68" s="11"/>
      <c r="G68" s="11"/>
      <c r="H68" s="11"/>
      <c r="I68" s="11"/>
      <c r="J68" s="31">
        <f>SUM(J50,J52,J54,J56,J58,J60,J62,J64,J66)</f>
        <v>0.27707624081705789</v>
      </c>
      <c r="K68" s="32">
        <f>SUM(K50,K52,K54,K56,K58,K60,K62,K64,K66)</f>
        <v>0.55415248163411579</v>
      </c>
      <c r="L68" s="32">
        <f t="shared" ref="L68:Z68" si="70">SUM(L50,L52,L54,L56,L58,L60,L62,L64,L66)</f>
        <v>1.1083049632682316</v>
      </c>
      <c r="M68" s="32">
        <f t="shared" si="70"/>
        <v>2.2166099265364632</v>
      </c>
      <c r="N68" s="32">
        <f t="shared" si="70"/>
        <v>4.4332198530729263</v>
      </c>
      <c r="O68" s="32">
        <f t="shared" si="70"/>
        <v>8.8664397061458526</v>
      </c>
      <c r="P68" s="32">
        <f t="shared" si="70"/>
        <v>17.732879412291705</v>
      </c>
      <c r="Q68" s="32">
        <f t="shared" si="70"/>
        <v>35.465758824583411</v>
      </c>
      <c r="R68" s="32">
        <f t="shared" si="70"/>
        <v>70.931517649166821</v>
      </c>
      <c r="S68" s="32">
        <f t="shared" si="70"/>
        <v>141.86303529833364</v>
      </c>
      <c r="T68" s="32">
        <f t="shared" si="70"/>
        <v>283.72607059666728</v>
      </c>
      <c r="U68" s="32">
        <f t="shared" si="70"/>
        <v>567.45214119333457</v>
      </c>
      <c r="V68" s="32">
        <f t="shared" si="70"/>
        <v>1134.9042823866691</v>
      </c>
      <c r="W68" s="32">
        <f t="shared" si="70"/>
        <v>2269.8085647733383</v>
      </c>
      <c r="X68" s="32">
        <f t="shared" si="70"/>
        <v>4539.6171295466766</v>
      </c>
      <c r="Y68" s="32">
        <f t="shared" si="70"/>
        <v>9079.2342590933531</v>
      </c>
      <c r="Z68" s="32">
        <f t="shared" si="70"/>
        <v>18158.468518186706</v>
      </c>
      <c r="AA68" s="32">
        <f t="shared" si="68"/>
        <v>36316.937036373412</v>
      </c>
      <c r="AB68" s="32">
        <f t="shared" si="68"/>
        <v>72633.874072746825</v>
      </c>
      <c r="AC68" s="32">
        <f t="shared" si="68"/>
        <v>145267.74814549365</v>
      </c>
      <c r="AD68" s="32">
        <f t="shared" ref="AD68:AI68" si="71">SUM(AD50,AD52,AD54,AD56,AD58,AD60,AD62,AD64,AD66)</f>
        <v>290535.4962909873</v>
      </c>
      <c r="AE68" s="31">
        <f t="shared" si="71"/>
        <v>581070.9925819746</v>
      </c>
      <c r="AF68" s="32">
        <f t="shared" si="71"/>
        <v>1162141.9851639492</v>
      </c>
      <c r="AG68" s="32">
        <f t="shared" si="71"/>
        <v>2324283.9703278984</v>
      </c>
      <c r="AH68" s="32">
        <f t="shared" si="71"/>
        <v>4648567.9406557968</v>
      </c>
      <c r="AI68" s="73">
        <f t="shared" si="71"/>
        <v>7327347.6867048908</v>
      </c>
      <c r="AJ68" s="45"/>
    </row>
    <row r="69" spans="1:36" x14ac:dyDescent="0.25">
      <c r="A69" s="42"/>
      <c r="B69" s="14"/>
      <c r="C69" s="10"/>
      <c r="D69" s="10"/>
      <c r="E69" s="15"/>
      <c r="F69" s="10"/>
      <c r="G69" s="10"/>
      <c r="H69" s="10"/>
      <c r="I69" s="10"/>
      <c r="J69" s="45"/>
      <c r="K69" s="45"/>
      <c r="L69" s="45"/>
      <c r="M69" s="45"/>
      <c r="N69" s="45"/>
      <c r="O69" s="45"/>
      <c r="P69" s="45"/>
      <c r="Q69" s="45"/>
      <c r="R69" s="45"/>
      <c r="S69" s="45"/>
      <c r="T69" s="45"/>
      <c r="U69" s="45"/>
      <c r="V69" s="45"/>
      <c r="W69" s="45"/>
      <c r="X69" s="45"/>
      <c r="Y69" s="45"/>
      <c r="Z69" s="45"/>
      <c r="AA69" s="45"/>
    </row>
    <row r="70" spans="1:36" x14ac:dyDescent="0.25">
      <c r="A70" s="54" t="s">
        <v>50</v>
      </c>
      <c r="B70" s="14"/>
      <c r="C70" s="10"/>
      <c r="D70" s="10"/>
      <c r="E70" s="15"/>
      <c r="F70" s="10"/>
      <c r="G70" s="10"/>
      <c r="H70" s="10"/>
      <c r="I70" s="10"/>
      <c r="J70" s="45"/>
      <c r="K70" s="45"/>
      <c r="L70" s="45"/>
      <c r="M70" s="45"/>
      <c r="N70" s="45"/>
      <c r="O70" s="45"/>
      <c r="P70" s="45"/>
      <c r="Q70" s="45"/>
      <c r="R70" s="45"/>
      <c r="S70" s="45"/>
      <c r="T70" s="45"/>
      <c r="U70" s="45"/>
      <c r="V70" s="45"/>
      <c r="W70" s="45"/>
      <c r="X70" s="45"/>
      <c r="Y70" s="45"/>
      <c r="Z70" s="45"/>
      <c r="AA70" s="45"/>
    </row>
    <row r="71" spans="1:36" x14ac:dyDescent="0.25">
      <c r="A71" s="4"/>
      <c r="B71" s="9" t="s">
        <v>5</v>
      </c>
      <c r="C71" s="9" t="s">
        <v>3</v>
      </c>
      <c r="D71" s="9"/>
      <c r="E71" s="59" t="s">
        <v>2</v>
      </c>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5"/>
      <c r="AJ71" s="47"/>
    </row>
    <row r="72" spans="1:36" x14ac:dyDescent="0.25">
      <c r="A72" s="48" t="s">
        <v>1</v>
      </c>
      <c r="B72" s="24">
        <v>0.36799999999999999</v>
      </c>
      <c r="C72" s="10">
        <f>$B$5 * B72</f>
        <v>121648104</v>
      </c>
      <c r="D72" s="16"/>
      <c r="E72" s="16"/>
      <c r="F72" s="16"/>
      <c r="G72" s="16"/>
      <c r="H72" s="16"/>
      <c r="I72" s="16"/>
      <c r="J72" s="18">
        <f t="shared" ref="J72:AI72" si="72">J$18*$B$72</f>
        <v>4.5999999999999996</v>
      </c>
      <c r="K72" s="19">
        <f t="shared" si="72"/>
        <v>9.1999999999999993</v>
      </c>
      <c r="L72" s="19">
        <f t="shared" si="72"/>
        <v>18.399999999999999</v>
      </c>
      <c r="M72" s="19">
        <f t="shared" si="72"/>
        <v>36.799999999999997</v>
      </c>
      <c r="N72" s="19">
        <f t="shared" si="72"/>
        <v>73.599999999999994</v>
      </c>
      <c r="O72" s="19">
        <f t="shared" si="72"/>
        <v>147.19999999999999</v>
      </c>
      <c r="P72" s="19">
        <f t="shared" si="72"/>
        <v>294.39999999999998</v>
      </c>
      <c r="Q72" s="19">
        <f t="shared" si="72"/>
        <v>588.79999999999995</v>
      </c>
      <c r="R72" s="19">
        <f t="shared" si="72"/>
        <v>1177.5999999999999</v>
      </c>
      <c r="S72" s="19">
        <f t="shared" si="72"/>
        <v>2355.1999999999998</v>
      </c>
      <c r="T72" s="19">
        <f t="shared" si="72"/>
        <v>4710.3999999999996</v>
      </c>
      <c r="U72" s="19">
        <f t="shared" si="72"/>
        <v>9420.7999999999993</v>
      </c>
      <c r="V72" s="19">
        <f t="shared" si="72"/>
        <v>18841.599999999999</v>
      </c>
      <c r="W72" s="19">
        <f t="shared" si="72"/>
        <v>37683.199999999997</v>
      </c>
      <c r="X72" s="19">
        <f t="shared" si="72"/>
        <v>75366.399999999994</v>
      </c>
      <c r="Y72" s="19">
        <f t="shared" si="72"/>
        <v>150732.79999999999</v>
      </c>
      <c r="Z72" s="19">
        <f t="shared" si="72"/>
        <v>301465.59999999998</v>
      </c>
      <c r="AA72" s="19">
        <f t="shared" si="72"/>
        <v>602931.19999999995</v>
      </c>
      <c r="AB72" s="19">
        <f t="shared" si="72"/>
        <v>1205862.3999999999</v>
      </c>
      <c r="AC72" s="19">
        <f t="shared" si="72"/>
        <v>2411724.7999999998</v>
      </c>
      <c r="AD72" s="19">
        <f t="shared" si="72"/>
        <v>4823449.5999999996</v>
      </c>
      <c r="AE72" s="18">
        <f t="shared" si="72"/>
        <v>9646899.1999999993</v>
      </c>
      <c r="AF72" s="19">
        <f t="shared" si="72"/>
        <v>19293798.399999999</v>
      </c>
      <c r="AG72" s="19">
        <f t="shared" si="72"/>
        <v>38587596.799999997</v>
      </c>
      <c r="AH72" s="19">
        <f t="shared" si="72"/>
        <v>77175193.599999994</v>
      </c>
      <c r="AI72" s="60">
        <f t="shared" si="72"/>
        <v>121648104</v>
      </c>
      <c r="AJ72" s="45"/>
    </row>
    <row r="73" spans="1:36" x14ac:dyDescent="0.25">
      <c r="A73" s="48"/>
      <c r="B73" s="16"/>
      <c r="C73" s="16"/>
      <c r="D73" s="25"/>
      <c r="E73" s="46">
        <v>0.105</v>
      </c>
      <c r="F73" s="16"/>
      <c r="G73" s="16"/>
      <c r="H73" s="16"/>
      <c r="I73" s="16"/>
      <c r="J73" s="29">
        <f>J72*$E$73</f>
        <v>0.48299999999999993</v>
      </c>
      <c r="K73" s="30">
        <f t="shared" ref="K73:Z73" si="73">K72*$E$73</f>
        <v>0.96599999999999986</v>
      </c>
      <c r="L73" s="30">
        <f t="shared" si="73"/>
        <v>1.9319999999999997</v>
      </c>
      <c r="M73" s="30">
        <f t="shared" si="73"/>
        <v>3.8639999999999994</v>
      </c>
      <c r="N73" s="30">
        <f t="shared" si="73"/>
        <v>7.7279999999999989</v>
      </c>
      <c r="O73" s="30">
        <f t="shared" si="73"/>
        <v>15.455999999999998</v>
      </c>
      <c r="P73" s="30">
        <f t="shared" si="73"/>
        <v>30.911999999999995</v>
      </c>
      <c r="Q73" s="30">
        <f t="shared" si="73"/>
        <v>61.823999999999991</v>
      </c>
      <c r="R73" s="30">
        <f t="shared" si="73"/>
        <v>123.64799999999998</v>
      </c>
      <c r="S73" s="30">
        <f t="shared" si="73"/>
        <v>247.29599999999996</v>
      </c>
      <c r="T73" s="30">
        <f t="shared" si="73"/>
        <v>494.59199999999993</v>
      </c>
      <c r="U73" s="30">
        <f t="shared" si="73"/>
        <v>989.18399999999986</v>
      </c>
      <c r="V73" s="30">
        <f t="shared" si="73"/>
        <v>1978.3679999999997</v>
      </c>
      <c r="W73" s="30">
        <f t="shared" si="73"/>
        <v>3956.7359999999994</v>
      </c>
      <c r="X73" s="30">
        <f t="shared" si="73"/>
        <v>7913.4719999999988</v>
      </c>
      <c r="Y73" s="30">
        <f t="shared" si="73"/>
        <v>15826.943999999998</v>
      </c>
      <c r="Z73" s="30">
        <f t="shared" si="73"/>
        <v>31653.887999999995</v>
      </c>
      <c r="AA73" s="30">
        <f>AA72*$E$73</f>
        <v>63307.775999999991</v>
      </c>
      <c r="AB73" s="30">
        <f>AB72*$E$73</f>
        <v>126615.55199999998</v>
      </c>
      <c r="AC73" s="30">
        <f>AC72*$E$73</f>
        <v>253231.10399999996</v>
      </c>
      <c r="AD73" s="30">
        <f t="shared" ref="AD73:AI73" si="74">AD72*$E$73</f>
        <v>506462.20799999993</v>
      </c>
      <c r="AE73" s="29">
        <f t="shared" si="74"/>
        <v>1012924.4159999999</v>
      </c>
      <c r="AF73" s="30">
        <f t="shared" si="74"/>
        <v>2025848.8319999997</v>
      </c>
      <c r="AG73" s="30">
        <f t="shared" si="74"/>
        <v>4051697.6639999994</v>
      </c>
      <c r="AH73" s="30">
        <f t="shared" si="74"/>
        <v>8103395.3279999988</v>
      </c>
      <c r="AI73" s="71">
        <f t="shared" si="74"/>
        <v>12773050.92</v>
      </c>
      <c r="AJ73" s="45"/>
    </row>
    <row r="74" spans="1:36" x14ac:dyDescent="0.25">
      <c r="A74" s="48" t="s">
        <v>4</v>
      </c>
      <c r="B74" s="24">
        <v>9.8000000000000004E-2</v>
      </c>
      <c r="C74" s="10">
        <f>$B$5 * B74</f>
        <v>32395419</v>
      </c>
      <c r="D74" s="47"/>
      <c r="E74" s="16"/>
      <c r="F74" s="16"/>
      <c r="G74" s="16"/>
      <c r="H74" s="16"/>
      <c r="I74" s="16"/>
      <c r="J74" s="20">
        <f t="shared" ref="J74:AI74" si="75">J$18*$B$74</f>
        <v>1.2250000000000001</v>
      </c>
      <c r="K74" s="21">
        <f t="shared" si="75"/>
        <v>2.4500000000000002</v>
      </c>
      <c r="L74" s="21">
        <f t="shared" si="75"/>
        <v>4.9000000000000004</v>
      </c>
      <c r="M74" s="21">
        <f t="shared" si="75"/>
        <v>9.8000000000000007</v>
      </c>
      <c r="N74" s="21">
        <f t="shared" si="75"/>
        <v>19.600000000000001</v>
      </c>
      <c r="O74" s="21">
        <f t="shared" si="75"/>
        <v>39.200000000000003</v>
      </c>
      <c r="P74" s="21">
        <f t="shared" si="75"/>
        <v>78.400000000000006</v>
      </c>
      <c r="Q74" s="21">
        <f t="shared" si="75"/>
        <v>156.80000000000001</v>
      </c>
      <c r="R74" s="21">
        <f t="shared" si="75"/>
        <v>313.60000000000002</v>
      </c>
      <c r="S74" s="21">
        <f t="shared" si="75"/>
        <v>627.20000000000005</v>
      </c>
      <c r="T74" s="21">
        <f t="shared" si="75"/>
        <v>1254.4000000000001</v>
      </c>
      <c r="U74" s="21">
        <f t="shared" si="75"/>
        <v>2508.8000000000002</v>
      </c>
      <c r="V74" s="21">
        <f t="shared" si="75"/>
        <v>5017.6000000000004</v>
      </c>
      <c r="W74" s="21">
        <f t="shared" si="75"/>
        <v>10035.200000000001</v>
      </c>
      <c r="X74" s="21">
        <f t="shared" si="75"/>
        <v>20070.400000000001</v>
      </c>
      <c r="Y74" s="21">
        <f t="shared" si="75"/>
        <v>40140.800000000003</v>
      </c>
      <c r="Z74" s="21">
        <f t="shared" si="75"/>
        <v>80281.600000000006</v>
      </c>
      <c r="AA74" s="21">
        <f t="shared" si="75"/>
        <v>160563.20000000001</v>
      </c>
      <c r="AB74" s="21">
        <f t="shared" si="75"/>
        <v>321126.40000000002</v>
      </c>
      <c r="AC74" s="21">
        <f t="shared" si="75"/>
        <v>642252.80000000005</v>
      </c>
      <c r="AD74" s="21">
        <f t="shared" si="75"/>
        <v>1284505.6000000001</v>
      </c>
      <c r="AE74" s="20">
        <f t="shared" si="75"/>
        <v>2569011.2000000002</v>
      </c>
      <c r="AF74" s="21">
        <f t="shared" si="75"/>
        <v>5138022.4000000004</v>
      </c>
      <c r="AG74" s="21">
        <f t="shared" si="75"/>
        <v>10276044.800000001</v>
      </c>
      <c r="AH74" s="21">
        <f t="shared" si="75"/>
        <v>20552089.600000001</v>
      </c>
      <c r="AI74" s="72">
        <f t="shared" si="75"/>
        <v>32395419</v>
      </c>
      <c r="AJ74" s="45"/>
    </row>
    <row r="75" spans="1:36" x14ac:dyDescent="0.25">
      <c r="A75" s="48"/>
      <c r="B75" s="16"/>
      <c r="C75" s="16"/>
      <c r="D75" s="25"/>
      <c r="E75" s="46">
        <v>7.2999999999999995E-2</v>
      </c>
      <c r="F75" s="16"/>
      <c r="G75" s="16"/>
      <c r="H75" s="16"/>
      <c r="I75" s="16"/>
      <c r="J75" s="29">
        <f t="shared" ref="J75:Z75" si="76">J74*$E$75</f>
        <v>8.9425000000000004E-2</v>
      </c>
      <c r="K75" s="30">
        <f t="shared" si="76"/>
        <v>0.17885000000000001</v>
      </c>
      <c r="L75" s="30">
        <f t="shared" si="76"/>
        <v>0.35770000000000002</v>
      </c>
      <c r="M75" s="30">
        <f t="shared" si="76"/>
        <v>0.71540000000000004</v>
      </c>
      <c r="N75" s="30">
        <f t="shared" si="76"/>
        <v>1.4308000000000001</v>
      </c>
      <c r="O75" s="30">
        <f t="shared" si="76"/>
        <v>2.8616000000000001</v>
      </c>
      <c r="P75" s="30">
        <f t="shared" si="76"/>
        <v>5.7232000000000003</v>
      </c>
      <c r="Q75" s="30">
        <f t="shared" si="76"/>
        <v>11.446400000000001</v>
      </c>
      <c r="R75" s="30">
        <f t="shared" si="76"/>
        <v>22.892800000000001</v>
      </c>
      <c r="S75" s="30">
        <f t="shared" si="76"/>
        <v>45.785600000000002</v>
      </c>
      <c r="T75" s="30">
        <f t="shared" si="76"/>
        <v>91.571200000000005</v>
      </c>
      <c r="U75" s="30">
        <f t="shared" si="76"/>
        <v>183.14240000000001</v>
      </c>
      <c r="V75" s="30">
        <f t="shared" si="76"/>
        <v>366.28480000000002</v>
      </c>
      <c r="W75" s="30">
        <f t="shared" si="76"/>
        <v>732.56960000000004</v>
      </c>
      <c r="X75" s="30">
        <f t="shared" si="76"/>
        <v>1465.1392000000001</v>
      </c>
      <c r="Y75" s="30">
        <f t="shared" si="76"/>
        <v>2930.2784000000001</v>
      </c>
      <c r="Z75" s="30">
        <f t="shared" si="76"/>
        <v>5860.5568000000003</v>
      </c>
      <c r="AA75" s="30">
        <f>AA74*$E$75</f>
        <v>11721.113600000001</v>
      </c>
      <c r="AB75" s="30">
        <f>AB74*$E$75</f>
        <v>23442.227200000001</v>
      </c>
      <c r="AC75" s="30">
        <f>AC74*$E$75</f>
        <v>46884.454400000002</v>
      </c>
      <c r="AD75" s="30">
        <f t="shared" ref="AD75:AI75" si="77">AD74*$E$75</f>
        <v>93768.908800000005</v>
      </c>
      <c r="AE75" s="29">
        <f t="shared" si="77"/>
        <v>187537.81760000001</v>
      </c>
      <c r="AF75" s="30">
        <f t="shared" si="77"/>
        <v>375075.63520000002</v>
      </c>
      <c r="AG75" s="30">
        <f t="shared" si="77"/>
        <v>750151.27040000004</v>
      </c>
      <c r="AH75" s="30">
        <f t="shared" si="77"/>
        <v>1500302.5408000001</v>
      </c>
      <c r="AI75" s="71">
        <f t="shared" si="77"/>
        <v>2364865.5869999998</v>
      </c>
      <c r="AJ75" s="45"/>
    </row>
    <row r="76" spans="1:36" x14ac:dyDescent="0.25">
      <c r="A76" s="48" t="s">
        <v>6</v>
      </c>
      <c r="B76" s="24">
        <v>0.13400000000000001</v>
      </c>
      <c r="C76" s="10">
        <f>$B$5 * B76</f>
        <v>44295777</v>
      </c>
      <c r="D76" s="47"/>
      <c r="E76" s="16"/>
      <c r="F76" s="16"/>
      <c r="G76" s="16"/>
      <c r="H76" s="16"/>
      <c r="I76" s="16"/>
      <c r="J76" s="20">
        <f t="shared" ref="J76:AI76" si="78">J$18*$B$76</f>
        <v>1.675</v>
      </c>
      <c r="K76" s="21">
        <f t="shared" si="78"/>
        <v>3.35</v>
      </c>
      <c r="L76" s="21">
        <f t="shared" si="78"/>
        <v>6.7</v>
      </c>
      <c r="M76" s="21">
        <f t="shared" si="78"/>
        <v>13.4</v>
      </c>
      <c r="N76" s="21">
        <f t="shared" si="78"/>
        <v>26.8</v>
      </c>
      <c r="O76" s="21">
        <f t="shared" si="78"/>
        <v>53.6</v>
      </c>
      <c r="P76" s="21">
        <f t="shared" si="78"/>
        <v>107.2</v>
      </c>
      <c r="Q76" s="21">
        <f t="shared" si="78"/>
        <v>214.4</v>
      </c>
      <c r="R76" s="21">
        <f t="shared" si="78"/>
        <v>428.8</v>
      </c>
      <c r="S76" s="21">
        <f t="shared" si="78"/>
        <v>857.6</v>
      </c>
      <c r="T76" s="21">
        <f t="shared" si="78"/>
        <v>1715.2</v>
      </c>
      <c r="U76" s="21">
        <f t="shared" si="78"/>
        <v>3430.4</v>
      </c>
      <c r="V76" s="21">
        <f t="shared" si="78"/>
        <v>6860.8</v>
      </c>
      <c r="W76" s="21">
        <f t="shared" si="78"/>
        <v>13721.6</v>
      </c>
      <c r="X76" s="21">
        <f t="shared" si="78"/>
        <v>27443.200000000001</v>
      </c>
      <c r="Y76" s="21">
        <f t="shared" si="78"/>
        <v>54886.400000000001</v>
      </c>
      <c r="Z76" s="21">
        <f t="shared" si="78"/>
        <v>109772.8</v>
      </c>
      <c r="AA76" s="21">
        <f t="shared" si="78"/>
        <v>219545.60000000001</v>
      </c>
      <c r="AB76" s="21">
        <f t="shared" si="78"/>
        <v>439091.20000000001</v>
      </c>
      <c r="AC76" s="21">
        <f t="shared" si="78"/>
        <v>878182.40000000002</v>
      </c>
      <c r="AD76" s="21">
        <f t="shared" si="78"/>
        <v>1756364.8</v>
      </c>
      <c r="AE76" s="20">
        <f t="shared" si="78"/>
        <v>3512729.6000000001</v>
      </c>
      <c r="AF76" s="21">
        <f t="shared" si="78"/>
        <v>7025459.2000000002</v>
      </c>
      <c r="AG76" s="21">
        <f t="shared" si="78"/>
        <v>14050918.4</v>
      </c>
      <c r="AH76" s="21">
        <f t="shared" si="78"/>
        <v>28101836.800000001</v>
      </c>
      <c r="AI76" s="72">
        <f t="shared" si="78"/>
        <v>44295777</v>
      </c>
      <c r="AJ76" s="45"/>
    </row>
    <row r="77" spans="1:36" x14ac:dyDescent="0.25">
      <c r="A77" s="48"/>
      <c r="B77" s="16"/>
      <c r="C77" s="16"/>
      <c r="D77" s="25"/>
      <c r="E77" s="46">
        <v>6.3E-2</v>
      </c>
      <c r="F77" s="16"/>
      <c r="G77" s="16"/>
      <c r="H77" s="16"/>
      <c r="I77" s="16"/>
      <c r="J77" s="29">
        <f t="shared" ref="J77:Z77" si="79">J76*$E$77</f>
        <v>0.10552500000000001</v>
      </c>
      <c r="K77" s="30">
        <f t="shared" si="79"/>
        <v>0.21105000000000002</v>
      </c>
      <c r="L77" s="30">
        <f t="shared" si="79"/>
        <v>0.42210000000000003</v>
      </c>
      <c r="M77" s="30">
        <f t="shared" si="79"/>
        <v>0.84420000000000006</v>
      </c>
      <c r="N77" s="30">
        <f t="shared" si="79"/>
        <v>1.6884000000000001</v>
      </c>
      <c r="O77" s="30">
        <f t="shared" si="79"/>
        <v>3.3768000000000002</v>
      </c>
      <c r="P77" s="30">
        <f t="shared" si="79"/>
        <v>6.7536000000000005</v>
      </c>
      <c r="Q77" s="30">
        <f t="shared" si="79"/>
        <v>13.507200000000001</v>
      </c>
      <c r="R77" s="30">
        <f t="shared" si="79"/>
        <v>27.014400000000002</v>
      </c>
      <c r="S77" s="30">
        <f t="shared" si="79"/>
        <v>54.028800000000004</v>
      </c>
      <c r="T77" s="30">
        <f t="shared" si="79"/>
        <v>108.05760000000001</v>
      </c>
      <c r="U77" s="30">
        <f t="shared" si="79"/>
        <v>216.11520000000002</v>
      </c>
      <c r="V77" s="30">
        <f t="shared" si="79"/>
        <v>432.23040000000003</v>
      </c>
      <c r="W77" s="30">
        <f t="shared" si="79"/>
        <v>864.46080000000006</v>
      </c>
      <c r="X77" s="30">
        <f t="shared" si="79"/>
        <v>1728.9216000000001</v>
      </c>
      <c r="Y77" s="30">
        <f t="shared" si="79"/>
        <v>3457.8432000000003</v>
      </c>
      <c r="Z77" s="30">
        <f t="shared" si="79"/>
        <v>6915.6864000000005</v>
      </c>
      <c r="AA77" s="30">
        <f>AA76*$E$77</f>
        <v>13831.372800000001</v>
      </c>
      <c r="AB77" s="30">
        <f>AB76*$E$77</f>
        <v>27662.745600000002</v>
      </c>
      <c r="AC77" s="30">
        <f>AC76*$E$77</f>
        <v>55325.491200000004</v>
      </c>
      <c r="AD77" s="30">
        <f t="shared" ref="AD77:AI77" si="80">AD76*$E$77</f>
        <v>110650.98240000001</v>
      </c>
      <c r="AE77" s="29">
        <f t="shared" si="80"/>
        <v>221301.96480000002</v>
      </c>
      <c r="AF77" s="30">
        <f t="shared" si="80"/>
        <v>442603.92960000003</v>
      </c>
      <c r="AG77" s="30">
        <f t="shared" si="80"/>
        <v>885207.85920000006</v>
      </c>
      <c r="AH77" s="30">
        <f t="shared" si="80"/>
        <v>1770415.7184000001</v>
      </c>
      <c r="AI77" s="71">
        <f t="shared" si="80"/>
        <v>2790633.9509999999</v>
      </c>
      <c r="AJ77" s="45"/>
    </row>
    <row r="78" spans="1:36" x14ac:dyDescent="0.25">
      <c r="A78" s="48" t="s">
        <v>7</v>
      </c>
      <c r="B78" s="24">
        <v>0.46</v>
      </c>
      <c r="C78" s="10">
        <f>$B$5 * B78</f>
        <v>152060130</v>
      </c>
      <c r="D78" s="47"/>
      <c r="E78" s="16"/>
      <c r="F78" s="16"/>
      <c r="G78" s="16"/>
      <c r="H78" s="16"/>
      <c r="I78" s="16"/>
      <c r="J78" s="20">
        <f t="shared" ref="J78:AI78" si="81">J$18*$B$78</f>
        <v>5.75</v>
      </c>
      <c r="K78" s="21">
        <f t="shared" si="81"/>
        <v>11.5</v>
      </c>
      <c r="L78" s="21">
        <f t="shared" si="81"/>
        <v>23</v>
      </c>
      <c r="M78" s="21">
        <f t="shared" si="81"/>
        <v>46</v>
      </c>
      <c r="N78" s="21">
        <f t="shared" si="81"/>
        <v>92</v>
      </c>
      <c r="O78" s="21">
        <f t="shared" si="81"/>
        <v>184</v>
      </c>
      <c r="P78" s="21">
        <f t="shared" si="81"/>
        <v>368</v>
      </c>
      <c r="Q78" s="21">
        <f t="shared" si="81"/>
        <v>736</v>
      </c>
      <c r="R78" s="21">
        <f t="shared" si="81"/>
        <v>1472</v>
      </c>
      <c r="S78" s="21">
        <f t="shared" si="81"/>
        <v>2944</v>
      </c>
      <c r="T78" s="21">
        <f t="shared" si="81"/>
        <v>5888</v>
      </c>
      <c r="U78" s="21">
        <f t="shared" si="81"/>
        <v>11776</v>
      </c>
      <c r="V78" s="21">
        <f t="shared" si="81"/>
        <v>23552</v>
      </c>
      <c r="W78" s="21">
        <f t="shared" si="81"/>
        <v>47104</v>
      </c>
      <c r="X78" s="21">
        <f t="shared" si="81"/>
        <v>94208</v>
      </c>
      <c r="Y78" s="21">
        <f t="shared" si="81"/>
        <v>188416</v>
      </c>
      <c r="Z78" s="21">
        <f t="shared" si="81"/>
        <v>376832</v>
      </c>
      <c r="AA78" s="21">
        <f t="shared" si="81"/>
        <v>753664</v>
      </c>
      <c r="AB78" s="21">
        <f t="shared" si="81"/>
        <v>1507328</v>
      </c>
      <c r="AC78" s="21">
        <f t="shared" si="81"/>
        <v>3014656</v>
      </c>
      <c r="AD78" s="21">
        <f t="shared" si="81"/>
        <v>6029312</v>
      </c>
      <c r="AE78" s="20">
        <f t="shared" si="81"/>
        <v>12058624</v>
      </c>
      <c r="AF78" s="21">
        <f t="shared" si="81"/>
        <v>24117248</v>
      </c>
      <c r="AG78" s="21">
        <f t="shared" si="81"/>
        <v>48234496</v>
      </c>
      <c r="AH78" s="21">
        <f t="shared" si="81"/>
        <v>96468992</v>
      </c>
      <c r="AI78" s="72">
        <f t="shared" si="81"/>
        <v>152060130</v>
      </c>
      <c r="AJ78" s="45"/>
    </row>
    <row r="79" spans="1:36" x14ac:dyDescent="0.25">
      <c r="A79" s="48"/>
      <c r="B79" s="16"/>
      <c r="C79" s="16"/>
      <c r="D79" s="25"/>
      <c r="E79" s="46">
        <v>0.06</v>
      </c>
      <c r="F79" s="16"/>
      <c r="G79" s="16"/>
      <c r="H79" s="16"/>
      <c r="I79" s="16"/>
      <c r="J79" s="29">
        <f t="shared" ref="J79:Z79" si="82">J78*$E$79</f>
        <v>0.34499999999999997</v>
      </c>
      <c r="K79" s="30">
        <f t="shared" si="82"/>
        <v>0.69</v>
      </c>
      <c r="L79" s="30">
        <f t="shared" si="82"/>
        <v>1.38</v>
      </c>
      <c r="M79" s="30">
        <f t="shared" si="82"/>
        <v>2.76</v>
      </c>
      <c r="N79" s="30">
        <f t="shared" si="82"/>
        <v>5.52</v>
      </c>
      <c r="O79" s="30">
        <f t="shared" si="82"/>
        <v>11.04</v>
      </c>
      <c r="P79" s="30">
        <f t="shared" si="82"/>
        <v>22.08</v>
      </c>
      <c r="Q79" s="30">
        <f t="shared" si="82"/>
        <v>44.16</v>
      </c>
      <c r="R79" s="30">
        <f t="shared" si="82"/>
        <v>88.32</v>
      </c>
      <c r="S79" s="30">
        <f t="shared" si="82"/>
        <v>176.64</v>
      </c>
      <c r="T79" s="30">
        <f t="shared" si="82"/>
        <v>353.28</v>
      </c>
      <c r="U79" s="30">
        <f t="shared" si="82"/>
        <v>706.56</v>
      </c>
      <c r="V79" s="30">
        <f t="shared" si="82"/>
        <v>1413.12</v>
      </c>
      <c r="W79" s="30">
        <f t="shared" si="82"/>
        <v>2826.24</v>
      </c>
      <c r="X79" s="30">
        <f t="shared" si="82"/>
        <v>5652.48</v>
      </c>
      <c r="Y79" s="30">
        <f t="shared" si="82"/>
        <v>11304.96</v>
      </c>
      <c r="Z79" s="30">
        <f t="shared" si="82"/>
        <v>22609.919999999998</v>
      </c>
      <c r="AA79" s="30">
        <f>AA78*$E$79</f>
        <v>45219.839999999997</v>
      </c>
      <c r="AB79" s="30">
        <f>AB78*$E$79</f>
        <v>90439.679999999993</v>
      </c>
      <c r="AC79" s="30">
        <f>AC78*$E$79</f>
        <v>180879.35999999999</v>
      </c>
      <c r="AD79" s="30">
        <f t="shared" ref="AD79:AI79" si="83">AD78*$E$79</f>
        <v>361758.71999999997</v>
      </c>
      <c r="AE79" s="29">
        <f t="shared" si="83"/>
        <v>723517.43999999994</v>
      </c>
      <c r="AF79" s="30">
        <f t="shared" si="83"/>
        <v>1447034.8799999999</v>
      </c>
      <c r="AG79" s="30">
        <f t="shared" si="83"/>
        <v>2894069.7599999998</v>
      </c>
      <c r="AH79" s="30">
        <f t="shared" si="83"/>
        <v>5788139.5199999996</v>
      </c>
      <c r="AI79" s="71">
        <f t="shared" si="83"/>
        <v>9123607.7999999989</v>
      </c>
      <c r="AJ79" s="45"/>
    </row>
    <row r="80" spans="1:36" x14ac:dyDescent="0.25">
      <c r="A80" s="48" t="s">
        <v>8</v>
      </c>
      <c r="B80" s="24">
        <v>4.3899999999999998E-3</v>
      </c>
      <c r="C80" s="10">
        <f>$B$5 * B80</f>
        <v>1451182.5449999999</v>
      </c>
      <c r="D80" s="47"/>
      <c r="E80" s="16"/>
      <c r="F80" s="16"/>
      <c r="G80" s="16"/>
      <c r="H80" s="16"/>
      <c r="I80" s="16"/>
      <c r="J80" s="20">
        <f t="shared" ref="J80:AI80" si="84">J$18*$B$80</f>
        <v>5.4875E-2</v>
      </c>
      <c r="K80" s="21">
        <f t="shared" si="84"/>
        <v>0.10975</v>
      </c>
      <c r="L80" s="21">
        <f t="shared" si="84"/>
        <v>0.2195</v>
      </c>
      <c r="M80" s="21">
        <f t="shared" si="84"/>
        <v>0.439</v>
      </c>
      <c r="N80" s="21">
        <f t="shared" si="84"/>
        <v>0.878</v>
      </c>
      <c r="O80" s="21">
        <f t="shared" si="84"/>
        <v>1.756</v>
      </c>
      <c r="P80" s="21">
        <f t="shared" si="84"/>
        <v>3.512</v>
      </c>
      <c r="Q80" s="21">
        <f t="shared" si="84"/>
        <v>7.024</v>
      </c>
      <c r="R80" s="21">
        <f t="shared" si="84"/>
        <v>14.048</v>
      </c>
      <c r="S80" s="21">
        <f t="shared" si="84"/>
        <v>28.096</v>
      </c>
      <c r="T80" s="21">
        <f t="shared" si="84"/>
        <v>56.192</v>
      </c>
      <c r="U80" s="21">
        <f t="shared" si="84"/>
        <v>112.384</v>
      </c>
      <c r="V80" s="21">
        <f t="shared" si="84"/>
        <v>224.768</v>
      </c>
      <c r="W80" s="21">
        <f t="shared" si="84"/>
        <v>449.536</v>
      </c>
      <c r="X80" s="21">
        <f t="shared" si="84"/>
        <v>899.072</v>
      </c>
      <c r="Y80" s="21">
        <f t="shared" si="84"/>
        <v>1798.144</v>
      </c>
      <c r="Z80" s="21">
        <f t="shared" si="84"/>
        <v>3596.288</v>
      </c>
      <c r="AA80" s="21">
        <f t="shared" si="84"/>
        <v>7192.576</v>
      </c>
      <c r="AB80" s="21">
        <f t="shared" si="84"/>
        <v>14385.152</v>
      </c>
      <c r="AC80" s="21">
        <f t="shared" si="84"/>
        <v>28770.304</v>
      </c>
      <c r="AD80" s="21">
        <f t="shared" si="84"/>
        <v>57540.608</v>
      </c>
      <c r="AE80" s="20">
        <f t="shared" si="84"/>
        <v>115081.216</v>
      </c>
      <c r="AF80" s="21">
        <f t="shared" si="84"/>
        <v>230162.432</v>
      </c>
      <c r="AG80" s="21">
        <f t="shared" si="84"/>
        <v>460324.864</v>
      </c>
      <c r="AH80" s="21">
        <f t="shared" si="84"/>
        <v>920649.728</v>
      </c>
      <c r="AI80" s="72">
        <f t="shared" si="84"/>
        <v>1451182.5449999999</v>
      </c>
      <c r="AJ80" s="45"/>
    </row>
    <row r="81" spans="1:36" x14ac:dyDescent="0.25">
      <c r="A81" s="48"/>
      <c r="B81" s="16"/>
      <c r="C81" s="16"/>
      <c r="D81" s="25"/>
      <c r="E81" s="46">
        <v>5.6000000000000001E-2</v>
      </c>
      <c r="F81" s="16"/>
      <c r="G81" s="16"/>
      <c r="H81" s="16"/>
      <c r="I81" s="16"/>
      <c r="J81" s="29">
        <f t="shared" ref="J81:Z81" si="85">J80*$E$81</f>
        <v>3.0730000000000002E-3</v>
      </c>
      <c r="K81" s="30">
        <f t="shared" si="85"/>
        <v>6.1460000000000004E-3</v>
      </c>
      <c r="L81" s="30">
        <f t="shared" si="85"/>
        <v>1.2292000000000001E-2</v>
      </c>
      <c r="M81" s="30">
        <f t="shared" si="85"/>
        <v>2.4584000000000002E-2</v>
      </c>
      <c r="N81" s="30">
        <f t="shared" si="85"/>
        <v>4.9168000000000003E-2</v>
      </c>
      <c r="O81" s="30">
        <f t="shared" si="85"/>
        <v>9.8336000000000007E-2</v>
      </c>
      <c r="P81" s="30">
        <f t="shared" si="85"/>
        <v>0.19667200000000001</v>
      </c>
      <c r="Q81" s="30">
        <f t="shared" si="85"/>
        <v>0.39334400000000003</v>
      </c>
      <c r="R81" s="30">
        <f t="shared" si="85"/>
        <v>0.78668800000000005</v>
      </c>
      <c r="S81" s="30">
        <f t="shared" si="85"/>
        <v>1.5733760000000001</v>
      </c>
      <c r="T81" s="30">
        <f t="shared" si="85"/>
        <v>3.1467520000000002</v>
      </c>
      <c r="U81" s="30">
        <f t="shared" si="85"/>
        <v>6.2935040000000004</v>
      </c>
      <c r="V81" s="30">
        <f t="shared" si="85"/>
        <v>12.587008000000001</v>
      </c>
      <c r="W81" s="30">
        <f t="shared" si="85"/>
        <v>25.174016000000002</v>
      </c>
      <c r="X81" s="30">
        <f t="shared" si="85"/>
        <v>50.348032000000003</v>
      </c>
      <c r="Y81" s="30">
        <f t="shared" si="85"/>
        <v>100.69606400000001</v>
      </c>
      <c r="Z81" s="30">
        <f t="shared" si="85"/>
        <v>201.39212800000001</v>
      </c>
      <c r="AA81" s="30">
        <f>AA80*$E$81</f>
        <v>402.78425600000003</v>
      </c>
      <c r="AB81" s="30">
        <f>AB80*$E$81</f>
        <v>805.56851200000006</v>
      </c>
      <c r="AC81" s="30">
        <f>AC80*$E$81</f>
        <v>1611.1370240000001</v>
      </c>
      <c r="AD81" s="30">
        <f t="shared" ref="AD81:AI81" si="86">AD80*$E$81</f>
        <v>3222.2740480000002</v>
      </c>
      <c r="AE81" s="29">
        <f t="shared" si="86"/>
        <v>6444.5480960000004</v>
      </c>
      <c r="AF81" s="30">
        <f t="shared" si="86"/>
        <v>12889.096192000001</v>
      </c>
      <c r="AG81" s="30">
        <f t="shared" si="86"/>
        <v>25778.192384000002</v>
      </c>
      <c r="AH81" s="30">
        <f t="shared" si="86"/>
        <v>51556.384768000004</v>
      </c>
      <c r="AI81" s="71">
        <f t="shared" si="86"/>
        <v>81266.222519999996</v>
      </c>
      <c r="AJ81" s="45"/>
    </row>
    <row r="82" spans="1:36" x14ac:dyDescent="0.25">
      <c r="A82" s="48" t="s">
        <v>9</v>
      </c>
      <c r="B82" s="24">
        <v>0.155</v>
      </c>
      <c r="C82" s="10">
        <f>$B$5 * B82</f>
        <v>51237652.5</v>
      </c>
      <c r="D82" s="47"/>
      <c r="E82" s="16"/>
      <c r="F82" s="16"/>
      <c r="G82" s="16"/>
      <c r="H82" s="16"/>
      <c r="I82" s="16"/>
      <c r="J82" s="20">
        <f t="shared" ref="J82:AI82" si="87">J$18*$B$82</f>
        <v>1.9375</v>
      </c>
      <c r="K82" s="21">
        <f t="shared" si="87"/>
        <v>3.875</v>
      </c>
      <c r="L82" s="21">
        <f t="shared" si="87"/>
        <v>7.75</v>
      </c>
      <c r="M82" s="21">
        <f t="shared" si="87"/>
        <v>15.5</v>
      </c>
      <c r="N82" s="21">
        <f t="shared" si="87"/>
        <v>31</v>
      </c>
      <c r="O82" s="21">
        <f t="shared" si="87"/>
        <v>62</v>
      </c>
      <c r="P82" s="21">
        <f t="shared" si="87"/>
        <v>124</v>
      </c>
      <c r="Q82" s="21">
        <f t="shared" si="87"/>
        <v>248</v>
      </c>
      <c r="R82" s="21">
        <f t="shared" si="87"/>
        <v>496</v>
      </c>
      <c r="S82" s="21">
        <f t="shared" si="87"/>
        <v>992</v>
      </c>
      <c r="T82" s="21">
        <f t="shared" si="87"/>
        <v>1984</v>
      </c>
      <c r="U82" s="21">
        <f t="shared" si="87"/>
        <v>3968</v>
      </c>
      <c r="V82" s="21">
        <f t="shared" si="87"/>
        <v>7936</v>
      </c>
      <c r="W82" s="21">
        <f t="shared" si="87"/>
        <v>15872</v>
      </c>
      <c r="X82" s="21">
        <f t="shared" si="87"/>
        <v>31744</v>
      </c>
      <c r="Y82" s="21">
        <f t="shared" si="87"/>
        <v>63488</v>
      </c>
      <c r="Z82" s="21">
        <f t="shared" si="87"/>
        <v>126976</v>
      </c>
      <c r="AA82" s="21">
        <f t="shared" si="87"/>
        <v>253952</v>
      </c>
      <c r="AB82" s="21">
        <f t="shared" si="87"/>
        <v>507904</v>
      </c>
      <c r="AC82" s="21">
        <f t="shared" si="87"/>
        <v>1015808</v>
      </c>
      <c r="AD82" s="21">
        <f t="shared" si="87"/>
        <v>2031616</v>
      </c>
      <c r="AE82" s="20">
        <f t="shared" si="87"/>
        <v>4063232</v>
      </c>
      <c r="AF82" s="21">
        <f t="shared" si="87"/>
        <v>8126464</v>
      </c>
      <c r="AG82" s="21">
        <f t="shared" si="87"/>
        <v>16252928</v>
      </c>
      <c r="AH82" s="21">
        <f t="shared" si="87"/>
        <v>32505856</v>
      </c>
      <c r="AI82" s="72">
        <f t="shared" si="87"/>
        <v>51237652.5</v>
      </c>
      <c r="AJ82" s="45"/>
    </row>
    <row r="83" spans="1:36" x14ac:dyDescent="0.25">
      <c r="A83" s="37"/>
      <c r="B83" s="39"/>
      <c r="C83" s="39"/>
      <c r="D83" s="55"/>
      <c r="E83" s="56" t="s">
        <v>10</v>
      </c>
      <c r="F83" s="39"/>
      <c r="G83" s="39"/>
      <c r="H83" s="39"/>
      <c r="I83" s="39"/>
      <c r="J83" s="31" t="s">
        <v>10</v>
      </c>
      <c r="K83" s="32" t="s">
        <v>10</v>
      </c>
      <c r="L83" s="32" t="s">
        <v>10</v>
      </c>
      <c r="M83" s="32" t="s">
        <v>10</v>
      </c>
      <c r="N83" s="32" t="s">
        <v>10</v>
      </c>
      <c r="O83" s="32" t="s">
        <v>10</v>
      </c>
      <c r="P83" s="32" t="s">
        <v>10</v>
      </c>
      <c r="Q83" s="32" t="s">
        <v>10</v>
      </c>
      <c r="R83" s="32" t="s">
        <v>10</v>
      </c>
      <c r="S83" s="32" t="s">
        <v>10</v>
      </c>
      <c r="T83" s="32" t="s">
        <v>10</v>
      </c>
      <c r="U83" s="32" t="s">
        <v>10</v>
      </c>
      <c r="V83" s="32" t="s">
        <v>10</v>
      </c>
      <c r="W83" s="32" t="s">
        <v>10</v>
      </c>
      <c r="X83" s="32" t="s">
        <v>10</v>
      </c>
      <c r="Y83" s="32" t="s">
        <v>10</v>
      </c>
      <c r="Z83" s="32" t="s">
        <v>10</v>
      </c>
      <c r="AA83" s="32" t="s">
        <v>10</v>
      </c>
      <c r="AB83" s="32" t="s">
        <v>10</v>
      </c>
      <c r="AC83" s="32" t="s">
        <v>10</v>
      </c>
      <c r="AD83" s="32" t="s">
        <v>10</v>
      </c>
      <c r="AE83" s="31" t="s">
        <v>10</v>
      </c>
      <c r="AF83" s="32" t="s">
        <v>10</v>
      </c>
      <c r="AG83" s="32" t="s">
        <v>10</v>
      </c>
      <c r="AH83" s="32" t="s">
        <v>10</v>
      </c>
      <c r="AI83" s="73" t="s">
        <v>10</v>
      </c>
      <c r="AJ83" s="45"/>
    </row>
    <row r="84" spans="1:36" x14ac:dyDescent="0.25">
      <c r="A84" s="41"/>
      <c r="B84" s="16"/>
      <c r="C84" s="16"/>
      <c r="D84" s="47"/>
      <c r="E84" s="16"/>
      <c r="F84" s="16"/>
      <c r="G84" s="16"/>
      <c r="H84" s="16"/>
      <c r="I84" s="16"/>
      <c r="J84" s="20">
        <f>SUM(J72,J74,J76,J78,J80,J82)</f>
        <v>15.242374999999999</v>
      </c>
      <c r="K84" s="21">
        <f t="shared" ref="K84:Z84" si="88">SUM(K72,K74,K76,K78,K80,K82)</f>
        <v>30.484749999999998</v>
      </c>
      <c r="L84" s="21">
        <f t="shared" si="88"/>
        <v>60.969499999999996</v>
      </c>
      <c r="M84" s="21">
        <f t="shared" si="88"/>
        <v>121.93899999999999</v>
      </c>
      <c r="N84" s="21">
        <f t="shared" si="88"/>
        <v>243.87799999999999</v>
      </c>
      <c r="O84" s="21">
        <f t="shared" si="88"/>
        <v>487.75599999999997</v>
      </c>
      <c r="P84" s="21">
        <f>SUM(P72,P74,P76,P78,P80,P82)</f>
        <v>975.51199999999994</v>
      </c>
      <c r="Q84" s="21">
        <f t="shared" si="88"/>
        <v>1951.0239999999999</v>
      </c>
      <c r="R84" s="21">
        <f t="shared" si="88"/>
        <v>3902.0479999999998</v>
      </c>
      <c r="S84" s="21">
        <f t="shared" si="88"/>
        <v>7804.0959999999995</v>
      </c>
      <c r="T84" s="21">
        <f t="shared" si="88"/>
        <v>15608.191999999999</v>
      </c>
      <c r="U84" s="21">
        <f t="shared" si="88"/>
        <v>31216.383999999998</v>
      </c>
      <c r="V84" s="21">
        <f t="shared" si="88"/>
        <v>62432.767999999996</v>
      </c>
      <c r="W84" s="21">
        <f t="shared" si="88"/>
        <v>124865.53599999999</v>
      </c>
      <c r="X84" s="21">
        <f t="shared" si="88"/>
        <v>249731.07199999999</v>
      </c>
      <c r="Y84" s="21">
        <f t="shared" si="88"/>
        <v>499462.14399999997</v>
      </c>
      <c r="Z84" s="21">
        <f t="shared" si="88"/>
        <v>998924.28799999994</v>
      </c>
      <c r="AA84" s="21">
        <f t="shared" ref="AA84:AC85" si="89">SUM(AA72,AA74,AA76,AA78,AA80,AA82)</f>
        <v>1997848.5759999999</v>
      </c>
      <c r="AB84" s="21">
        <f t="shared" si="89"/>
        <v>3995697.1519999998</v>
      </c>
      <c r="AC84" s="21">
        <f t="shared" si="89"/>
        <v>7991394.3039999995</v>
      </c>
      <c r="AD84" s="21">
        <f t="shared" ref="AD84:AI84" si="90">SUM(AD72,AD74,AD76,AD78,AD80,AD82)</f>
        <v>15982788.607999999</v>
      </c>
      <c r="AE84" s="20">
        <f t="shared" si="90"/>
        <v>31965577.215999998</v>
      </c>
      <c r="AF84" s="21">
        <f t="shared" si="90"/>
        <v>63931154.431999996</v>
      </c>
      <c r="AG84" s="21">
        <f t="shared" si="90"/>
        <v>127862308.86399999</v>
      </c>
      <c r="AH84" s="21">
        <f t="shared" si="90"/>
        <v>255724617.72799999</v>
      </c>
      <c r="AI84" s="72">
        <f t="shared" si="90"/>
        <v>403088265.04500002</v>
      </c>
      <c r="AJ84" s="45"/>
    </row>
    <row r="85" spans="1:36" x14ac:dyDescent="0.25">
      <c r="A85" s="37" t="s">
        <v>40</v>
      </c>
      <c r="B85" s="39"/>
      <c r="C85" s="39"/>
      <c r="D85" s="39"/>
      <c r="E85" s="39"/>
      <c r="F85" s="39"/>
      <c r="G85" s="39"/>
      <c r="H85" s="39"/>
      <c r="I85" s="39"/>
      <c r="J85" s="31">
        <f>SUM(J73,J75,J77,J79,J81,J83)</f>
        <v>1.0260229999999999</v>
      </c>
      <c r="K85" s="32">
        <f t="shared" ref="K85:Z85" si="91">SUM(K73,K75,K77,K79,K81,K83)</f>
        <v>2.0520459999999998</v>
      </c>
      <c r="L85" s="32">
        <f t="shared" si="91"/>
        <v>4.1040919999999996</v>
      </c>
      <c r="M85" s="32">
        <f t="shared" si="91"/>
        <v>8.2081839999999993</v>
      </c>
      <c r="N85" s="32">
        <f t="shared" si="91"/>
        <v>16.416367999999999</v>
      </c>
      <c r="O85" s="32">
        <f t="shared" si="91"/>
        <v>32.832735999999997</v>
      </c>
      <c r="P85" s="32">
        <f t="shared" si="91"/>
        <v>65.665471999999994</v>
      </c>
      <c r="Q85" s="32">
        <f t="shared" si="91"/>
        <v>131.33094399999999</v>
      </c>
      <c r="R85" s="32">
        <f t="shared" si="91"/>
        <v>262.66188799999998</v>
      </c>
      <c r="S85" s="32">
        <f t="shared" si="91"/>
        <v>525.32377599999995</v>
      </c>
      <c r="T85" s="32">
        <f t="shared" si="91"/>
        <v>1050.6475519999999</v>
      </c>
      <c r="U85" s="32">
        <f t="shared" si="91"/>
        <v>2101.2951039999998</v>
      </c>
      <c r="V85" s="32">
        <f t="shared" si="91"/>
        <v>4202.5902079999996</v>
      </c>
      <c r="W85" s="32">
        <f t="shared" si="91"/>
        <v>8405.1804159999992</v>
      </c>
      <c r="X85" s="32">
        <f t="shared" si="91"/>
        <v>16810.360831999998</v>
      </c>
      <c r="Y85" s="32">
        <f t="shared" si="91"/>
        <v>33620.721663999997</v>
      </c>
      <c r="Z85" s="32">
        <f t="shared" si="91"/>
        <v>67241.443327999994</v>
      </c>
      <c r="AA85" s="32">
        <f t="shared" si="89"/>
        <v>134482.88665599999</v>
      </c>
      <c r="AB85" s="32">
        <f t="shared" si="89"/>
        <v>268965.77331199998</v>
      </c>
      <c r="AC85" s="32">
        <f t="shared" si="89"/>
        <v>537931.54662399995</v>
      </c>
      <c r="AD85" s="32">
        <f t="shared" ref="AD85:AI85" si="92">SUM(AD73,AD75,AD77,AD79,AD81,AD83)</f>
        <v>1075863.0932479999</v>
      </c>
      <c r="AE85" s="31">
        <f t="shared" si="92"/>
        <v>2151726.1864959998</v>
      </c>
      <c r="AF85" s="32">
        <f t="shared" si="92"/>
        <v>4303452.3729919996</v>
      </c>
      <c r="AG85" s="32">
        <f t="shared" si="92"/>
        <v>8606904.7459839992</v>
      </c>
      <c r="AH85" s="32">
        <f t="shared" si="92"/>
        <v>17213809.491967998</v>
      </c>
      <c r="AI85" s="73">
        <f t="shared" si="92"/>
        <v>27133424.480520003</v>
      </c>
      <c r="AJ85" s="45"/>
    </row>
  </sheetData>
  <conditionalFormatting sqref="J29:AJ29">
    <cfRule type="cellIs" dxfId="21" priority="31" operator="greaterThan">
      <formula>$C$8</formula>
    </cfRule>
  </conditionalFormatting>
  <conditionalFormatting sqref="J31:AI31">
    <cfRule type="cellIs" dxfId="20" priority="30" operator="greaterThan">
      <formula>$C$9</formula>
    </cfRule>
  </conditionalFormatting>
  <conditionalFormatting sqref="J49:AI49">
    <cfRule type="cellIs" dxfId="19" priority="29" operator="greaterThan">
      <formula>$C$49</formula>
    </cfRule>
  </conditionalFormatting>
  <conditionalFormatting sqref="J51:AI51">
    <cfRule type="cellIs" dxfId="18" priority="28" operator="greaterThan">
      <formula>$C$51</formula>
    </cfRule>
  </conditionalFormatting>
  <conditionalFormatting sqref="J53:AI53">
    <cfRule type="cellIs" dxfId="17" priority="27" operator="greaterThan">
      <formula>$C$53</formula>
    </cfRule>
  </conditionalFormatting>
  <conditionalFormatting sqref="J55:AI55">
    <cfRule type="cellIs" dxfId="16" priority="19" operator="greaterThan">
      <formula>$C$55</formula>
    </cfRule>
  </conditionalFormatting>
  <conditionalFormatting sqref="J57:AI57">
    <cfRule type="cellIs" dxfId="15" priority="18" operator="greaterThan">
      <formula>$C$57</formula>
    </cfRule>
  </conditionalFormatting>
  <conditionalFormatting sqref="J59:AI59">
    <cfRule type="cellIs" dxfId="14" priority="17" operator="greaterThan">
      <formula>$C$59</formula>
    </cfRule>
  </conditionalFormatting>
  <conditionalFormatting sqref="J61:AI61">
    <cfRule type="cellIs" dxfId="13" priority="16" operator="greaterThan">
      <formula>$C$61</formula>
    </cfRule>
  </conditionalFormatting>
  <conditionalFormatting sqref="J63:AI63">
    <cfRule type="cellIs" dxfId="12" priority="15" operator="greaterThan">
      <formula>$C$63</formula>
    </cfRule>
  </conditionalFormatting>
  <conditionalFormatting sqref="J65:AI65">
    <cfRule type="cellIs" dxfId="11" priority="14" operator="greaterThan">
      <formula>$C$65</formula>
    </cfRule>
  </conditionalFormatting>
  <conditionalFormatting sqref="J20:AI20">
    <cfRule type="cellIs" dxfId="10" priority="13" operator="equal">
      <formula>0</formula>
    </cfRule>
  </conditionalFormatting>
  <conditionalFormatting sqref="J27:AI27 J29:AI29 K31:AI31">
    <cfRule type="cellIs" dxfId="9" priority="12" operator="equal">
      <formula>0</formula>
    </cfRule>
  </conditionalFormatting>
  <conditionalFormatting sqref="D49">
    <cfRule type="cellIs" dxfId="8" priority="9" operator="greaterThan">
      <formula>$B$49</formula>
    </cfRule>
  </conditionalFormatting>
  <conditionalFormatting sqref="D51">
    <cfRule type="cellIs" dxfId="7" priority="8" operator="greaterThan">
      <formula>$B$51</formula>
    </cfRule>
  </conditionalFormatting>
  <conditionalFormatting sqref="D53">
    <cfRule type="cellIs" dxfId="6" priority="7" operator="greaterThan">
      <formula>$B$53</formula>
    </cfRule>
  </conditionalFormatting>
  <conditionalFormatting sqref="D55">
    <cfRule type="cellIs" dxfId="5" priority="6" operator="greaterThan">
      <formula>$B$55</formula>
    </cfRule>
  </conditionalFormatting>
  <conditionalFormatting sqref="D57">
    <cfRule type="cellIs" dxfId="4" priority="5" operator="greaterThan">
      <formula>$B$57</formula>
    </cfRule>
  </conditionalFormatting>
  <conditionalFormatting sqref="D59">
    <cfRule type="cellIs" dxfId="3" priority="4" operator="greaterThan">
      <formula>$B$59</formula>
    </cfRule>
  </conditionalFormatting>
  <conditionalFormatting sqref="D61">
    <cfRule type="cellIs" dxfId="2" priority="3" operator="greaterThan">
      <formula>$B$61</formula>
    </cfRule>
  </conditionalFormatting>
  <conditionalFormatting sqref="D63">
    <cfRule type="cellIs" dxfId="1" priority="2" operator="greaterThan">
      <formula>$B$63</formula>
    </cfRule>
  </conditionalFormatting>
  <conditionalFormatting sqref="D65">
    <cfRule type="cellIs" dxfId="0" priority="1" operator="greaterThan">
      <formula>$B$65</formula>
    </cfRule>
  </conditionalFormatting>
  <hyperlinks>
    <hyperlink ref="E48" r:id="rId1" location="case-fatality-rate-of-covid-19-by-age" xr:uid="{0058192C-B05A-45D2-8597-C1F9B3D9241E}"/>
    <hyperlink ref="E71" r:id="rId2" location="case-fatality-rate-of-covid-19-by-preexisting-health-conditions" xr:uid="{110A2613-24A6-4768-B90C-571B307D13E2}"/>
    <hyperlink ref="A42" r:id="rId3" xr:uid="{168ADFE7-28CA-4E37-B04A-0F894FC4F702}"/>
  </hyperlinks>
  <pageMargins left="0.7" right="0.7" top="0.75" bottom="0.75" header="0.3" footer="0.3"/>
  <pageSetup paperSize="9" orientation="portrait" horizontalDpi="0" verticalDpi="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G39" sqref="G39"/>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9" t="s">
        <v>119</v>
      </c>
      <c r="C3" s="163">
        <f>Projections!B5</f>
        <v>330565500</v>
      </c>
      <c r="J3" s="2"/>
    </row>
    <row r="4" spans="2:10" x14ac:dyDescent="0.25">
      <c r="B4" s="180" t="s">
        <v>136</v>
      </c>
      <c r="C4" s="163">
        <f>Projections!J18</f>
        <v>12.5</v>
      </c>
      <c r="J4" s="2"/>
    </row>
    <row r="5" spans="2:10" x14ac:dyDescent="0.25">
      <c r="B5" s="180" t="s">
        <v>137</v>
      </c>
      <c r="C5" s="161">
        <f>Projections!J17</f>
        <v>43887</v>
      </c>
      <c r="J5" s="2"/>
    </row>
    <row r="6" spans="2:10" x14ac:dyDescent="0.25">
      <c r="B6" s="180" t="s">
        <v>120</v>
      </c>
      <c r="C6" s="163">
        <v>435128</v>
      </c>
    </row>
    <row r="7" spans="2:10" x14ac:dyDescent="0.25">
      <c r="B7" s="180" t="s">
        <v>122</v>
      </c>
      <c r="C7" s="161">
        <f ca="1">NOW()</f>
        <v>43931.574975115742</v>
      </c>
    </row>
    <row r="8" spans="2:10" x14ac:dyDescent="0.25">
      <c r="B8" s="180" t="s">
        <v>138</v>
      </c>
      <c r="C8" s="162">
        <f ca="1">C7-C5</f>
        <v>44.574975115741836</v>
      </c>
    </row>
    <row r="9" spans="2:10" x14ac:dyDescent="0.25">
      <c r="B9" s="180" t="s">
        <v>121</v>
      </c>
      <c r="C9" s="164">
        <f ca="1">C8/(LOG(C6/C4)/LOG(2))</f>
        <v>2.9544848476506362</v>
      </c>
      <c r="D9" t="s">
        <v>98</v>
      </c>
      <c r="F9" t="s">
        <v>139</v>
      </c>
    </row>
    <row r="10" spans="2:10" x14ac:dyDescent="0.25">
      <c r="B10" s="180" t="s">
        <v>126</v>
      </c>
      <c r="C10" s="163">
        <f>Projections!C8</f>
        <v>793357.2</v>
      </c>
    </row>
    <row r="11" spans="2:10" x14ac:dyDescent="0.25">
      <c r="B11" s="181" t="s">
        <v>127</v>
      </c>
      <c r="C11" s="168">
        <f>Projections!C9</f>
        <v>114706.22850000001</v>
      </c>
    </row>
    <row r="12" spans="2:10" s="69" customFormat="1" x14ac:dyDescent="0.25">
      <c r="B12" s="62" t="s">
        <v>167</v>
      </c>
      <c r="C12" s="169">
        <f>C6/Projections!B6</f>
        <v>4351280</v>
      </c>
    </row>
    <row r="13" spans="2:10" s="69" customFormat="1" x14ac:dyDescent="0.25">
      <c r="B13" s="48" t="s">
        <v>168</v>
      </c>
      <c r="C13" s="170">
        <f ca="1">(C4/Projections!B6)*(2^(((C7-21)-C5)/C9))</f>
        <v>31546.018572390865</v>
      </c>
    </row>
    <row r="14" spans="2:10" s="69" customFormat="1" x14ac:dyDescent="0.25">
      <c r="B14" s="49" t="s">
        <v>169</v>
      </c>
      <c r="C14" s="151">
        <f ca="1">C12-C13</f>
        <v>4319733.981427609</v>
      </c>
      <c r="E14" s="166"/>
      <c r="F14" s="167" t="s">
        <v>143</v>
      </c>
      <c r="G14" s="165"/>
    </row>
    <row r="15" spans="2:10" x14ac:dyDescent="0.25">
      <c r="B15" s="4" t="s">
        <v>140</v>
      </c>
      <c r="C15" s="64">
        <f>C6*Projections!B10</f>
        <v>352453.68000000005</v>
      </c>
      <c r="I15" s="160"/>
    </row>
    <row r="16" spans="2:10" x14ac:dyDescent="0.25">
      <c r="B16" s="41" t="s">
        <v>150</v>
      </c>
      <c r="C16" s="83">
        <f ca="1">(C4*Projections!B10)*(2^(((C7-21)-C5)/C9))</f>
        <v>2555.22750436366</v>
      </c>
      <c r="I16" s="160"/>
    </row>
    <row r="17" spans="2:9" x14ac:dyDescent="0.25">
      <c r="B17" s="41" t="s">
        <v>141</v>
      </c>
      <c r="C17" s="83">
        <f ca="1">C15-C16</f>
        <v>349898.45249563642</v>
      </c>
      <c r="F17" t="s">
        <v>144</v>
      </c>
      <c r="I17" s="160"/>
    </row>
    <row r="18" spans="2:9" x14ac:dyDescent="0.25">
      <c r="B18" s="4" t="s">
        <v>146</v>
      </c>
      <c r="C18" s="64">
        <f>C6*Projections!B11</f>
        <v>60917.920000000006</v>
      </c>
    </row>
    <row r="19" spans="2:9" x14ac:dyDescent="0.25">
      <c r="B19" s="41" t="s">
        <v>151</v>
      </c>
      <c r="C19" s="83">
        <f ca="1">(C4*Projections!B11)*(2^(((C7-49)-C5)/C9))</f>
        <v>0.61969209450321072</v>
      </c>
    </row>
    <row r="20" spans="2:9" x14ac:dyDescent="0.25">
      <c r="B20" s="41" t="s">
        <v>145</v>
      </c>
      <c r="C20" s="83">
        <f ca="1">C18-C19</f>
        <v>60917.300307905505</v>
      </c>
      <c r="F20" t="s">
        <v>149</v>
      </c>
    </row>
    <row r="21" spans="2:9" x14ac:dyDescent="0.25">
      <c r="B21" s="4" t="s">
        <v>147</v>
      </c>
      <c r="C21" s="64">
        <f>C6*Projections!B12</f>
        <v>21756.400000000001</v>
      </c>
      <c r="I21" s="160"/>
    </row>
    <row r="22" spans="2:9" x14ac:dyDescent="0.25">
      <c r="B22" s="41" t="s">
        <v>152</v>
      </c>
      <c r="C22" s="83">
        <f ca="1">(C4*Projections!B12)*(2^(((C7-49)-C5)/C9))</f>
        <v>0.22131860517971808</v>
      </c>
      <c r="I22" s="160"/>
    </row>
    <row r="23" spans="2:9" x14ac:dyDescent="0.25">
      <c r="B23" s="41" t="s">
        <v>148</v>
      </c>
      <c r="C23" s="83">
        <f ca="1">C21-C22</f>
        <v>21756.17868139482</v>
      </c>
      <c r="I23" s="160"/>
    </row>
    <row r="24" spans="2:9" x14ac:dyDescent="0.25">
      <c r="B24" s="4" t="s">
        <v>153</v>
      </c>
      <c r="C24" s="64">
        <f>C6*Projections!B13</f>
        <v>15229.480000000001</v>
      </c>
    </row>
    <row r="25" spans="2:9" x14ac:dyDescent="0.25">
      <c r="B25" s="37" t="s">
        <v>154</v>
      </c>
      <c r="C25" s="61">
        <f ca="1">(C4*Projections!B13)*(2^(((C7-42)-C5)/C9))</f>
        <v>0.80046090051518304</v>
      </c>
      <c r="F25" t="s">
        <v>155</v>
      </c>
    </row>
    <row r="26" spans="2:9" x14ac:dyDescent="0.25">
      <c r="B26" s="41" t="s">
        <v>131</v>
      </c>
      <c r="C26" s="173">
        <f ca="1">C9*(LOG(C10/C21)/LOG(2))</f>
        <v>15.329222931907909</v>
      </c>
      <c r="D26" t="s">
        <v>98</v>
      </c>
      <c r="F26" s="69" t="s">
        <v>156</v>
      </c>
    </row>
    <row r="27" spans="2:9" x14ac:dyDescent="0.25">
      <c r="B27" s="37" t="s">
        <v>128</v>
      </c>
      <c r="C27" s="172">
        <f ca="1">C7+C26</f>
        <v>43946.904198047647</v>
      </c>
      <c r="F27" t="s">
        <v>157</v>
      </c>
    </row>
    <row r="28" spans="2:9" x14ac:dyDescent="0.25">
      <c r="B28" s="4" t="s">
        <v>132</v>
      </c>
      <c r="C28" s="171">
        <f ca="1">C9*(LOG(C11/C21)/LOG(2))</f>
        <v>7.0861309147416822</v>
      </c>
      <c r="D28" t="s">
        <v>98</v>
      </c>
    </row>
    <row r="29" spans="2:9" x14ac:dyDescent="0.25">
      <c r="B29" s="37" t="s">
        <v>129</v>
      </c>
      <c r="C29" s="172">
        <f ca="1">C7+C28</f>
        <v>43938.661106030486</v>
      </c>
      <c r="F29" t="s">
        <v>157</v>
      </c>
    </row>
    <row r="30" spans="2:9" x14ac:dyDescent="0.25">
      <c r="B30" s="4" t="s">
        <v>133</v>
      </c>
      <c r="C30" s="171">
        <f ca="1">C9*(LOG((C3*0.6)/C12)/LOG(2))</f>
        <v>16.280354610285656</v>
      </c>
      <c r="D30" t="s">
        <v>98</v>
      </c>
    </row>
    <row r="31" spans="2:9" x14ac:dyDescent="0.25">
      <c r="B31" s="37" t="s">
        <v>130</v>
      </c>
      <c r="C31" s="172">
        <f ca="1">C7+C30</f>
        <v>43947.85532972603</v>
      </c>
    </row>
    <row r="34" spans="2:6" x14ac:dyDescent="0.25">
      <c r="B34" s="4" t="s">
        <v>134</v>
      </c>
      <c r="C34" s="161">
        <f ca="1">C7+30</f>
        <v>43961.574975115742</v>
      </c>
      <c r="F34" t="s">
        <v>170</v>
      </c>
    </row>
    <row r="35" spans="2:6" x14ac:dyDescent="0.25">
      <c r="B35" s="41" t="s">
        <v>135</v>
      </c>
      <c r="C35" s="83">
        <f ca="1">C6*(2^((C34-C7)/C9))</f>
        <v>495783416.71214348</v>
      </c>
      <c r="F35" t="s">
        <v>142</v>
      </c>
    </row>
    <row r="36" spans="2:6" x14ac:dyDescent="0.25">
      <c r="B36" s="41" t="s">
        <v>194</v>
      </c>
      <c r="C36" s="83">
        <f ca="1">C35/Projections!B6</f>
        <v>4957834167.1214342</v>
      </c>
    </row>
    <row r="37" spans="2:6" x14ac:dyDescent="0.25">
      <c r="B37" s="41" t="s">
        <v>74</v>
      </c>
      <c r="C37" s="83">
        <f ca="1">C35*Projections!B10</f>
        <v>401584567.53683627</v>
      </c>
    </row>
    <row r="38" spans="2:6" x14ac:dyDescent="0.25">
      <c r="B38" s="41" t="s">
        <v>123</v>
      </c>
      <c r="C38" s="83">
        <f ca="1">C35*Projections!B11</f>
        <v>69409678.339700088</v>
      </c>
    </row>
    <row r="39" spans="2:6" x14ac:dyDescent="0.25">
      <c r="B39" s="41" t="s">
        <v>124</v>
      </c>
      <c r="C39" s="83">
        <f ca="1">C35*Projections!B12</f>
        <v>24789170.835607175</v>
      </c>
    </row>
    <row r="40" spans="2:6" x14ac:dyDescent="0.25">
      <c r="B40" s="37" t="s">
        <v>125</v>
      </c>
      <c r="C40" s="61">
        <f ca="1">C35*Projections!B13</f>
        <v>17352419.584925022</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264" t="s">
        <v>189</v>
      </c>
      <c r="B2" s="248"/>
      <c r="C2" s="76"/>
    </row>
    <row r="3" spans="1:4" x14ac:dyDescent="0.25">
      <c r="A3" s="264"/>
      <c r="B3" s="248" t="s">
        <v>190</v>
      </c>
      <c r="C3" s="76"/>
    </row>
    <row r="4" spans="1:4" x14ac:dyDescent="0.25">
      <c r="A4" s="263" t="s">
        <v>47</v>
      </c>
      <c r="B4" s="251">
        <v>308745538</v>
      </c>
      <c r="C4" s="76"/>
    </row>
    <row r="5" spans="1:4" x14ac:dyDescent="0.25">
      <c r="A5" s="263"/>
      <c r="B5" s="249">
        <v>1</v>
      </c>
      <c r="C5" s="76"/>
    </row>
    <row r="6" spans="1:4" x14ac:dyDescent="0.25">
      <c r="A6" s="263" t="s">
        <v>21</v>
      </c>
      <c r="B6" s="251">
        <v>20201362</v>
      </c>
      <c r="C6" s="76"/>
    </row>
    <row r="7" spans="1:4" x14ac:dyDescent="0.25">
      <c r="A7" s="263"/>
      <c r="B7" s="250">
        <f>B6/$B$4</f>
        <v>6.5430458139932701E-2</v>
      </c>
      <c r="C7" s="77"/>
    </row>
    <row r="8" spans="1:4" x14ac:dyDescent="0.25">
      <c r="A8" s="263" t="s">
        <v>22</v>
      </c>
      <c r="B8" s="251">
        <v>20348657</v>
      </c>
      <c r="C8" s="76"/>
    </row>
    <row r="9" spans="1:4" x14ac:dyDescent="0.25">
      <c r="A9" s="263"/>
      <c r="B9" s="250">
        <f>B8/$B$4</f>
        <v>6.590753386045696E-2</v>
      </c>
      <c r="C9" s="251">
        <f>B6+B8</f>
        <v>40550019</v>
      </c>
      <c r="D9" s="1">
        <f>C9/$B$4</f>
        <v>0.13133799200038965</v>
      </c>
    </row>
    <row r="10" spans="1:4" x14ac:dyDescent="0.25">
      <c r="A10" s="263" t="s">
        <v>23</v>
      </c>
      <c r="B10" s="251">
        <v>20677194</v>
      </c>
      <c r="C10" s="76"/>
    </row>
    <row r="11" spans="1:4" x14ac:dyDescent="0.25">
      <c r="A11" s="263"/>
      <c r="B11" s="250">
        <f>B10/$B$4</f>
        <v>6.6971636688074182E-2</v>
      </c>
      <c r="C11" s="76"/>
    </row>
    <row r="12" spans="1:4" x14ac:dyDescent="0.25">
      <c r="A12" s="263" t="s">
        <v>24</v>
      </c>
      <c r="B12" s="251">
        <v>22040343</v>
      </c>
      <c r="C12" s="76"/>
    </row>
    <row r="13" spans="1:4" x14ac:dyDescent="0.25">
      <c r="A13" s="263"/>
      <c r="B13" s="250">
        <f>B12/$B$4</f>
        <v>7.13867579844992E-2</v>
      </c>
      <c r="C13" s="251">
        <f>B10+B12</f>
        <v>42717537</v>
      </c>
      <c r="D13" s="1">
        <f>C13/$B$4</f>
        <v>0.13835839467257338</v>
      </c>
    </row>
    <row r="14" spans="1:4" x14ac:dyDescent="0.25">
      <c r="A14" s="263" t="s">
        <v>25</v>
      </c>
      <c r="B14" s="251">
        <v>21585999</v>
      </c>
      <c r="C14" s="76"/>
    </row>
    <row r="15" spans="1:4" x14ac:dyDescent="0.25">
      <c r="A15" s="263"/>
      <c r="B15" s="250">
        <f>B14/$B$4</f>
        <v>6.9915177203305853E-2</v>
      </c>
      <c r="C15" s="76"/>
    </row>
    <row r="16" spans="1:4" x14ac:dyDescent="0.25">
      <c r="A16" s="263" t="s">
        <v>26</v>
      </c>
      <c r="B16" s="251">
        <v>21101849</v>
      </c>
      <c r="C16" s="76"/>
    </row>
    <row r="17" spans="1:4" x14ac:dyDescent="0.25">
      <c r="A17" s="263"/>
      <c r="B17" s="250">
        <f>B16/$B$4</f>
        <v>6.8347057375125531E-2</v>
      </c>
      <c r="C17" s="251">
        <f>B14+B16</f>
        <v>42687848</v>
      </c>
      <c r="D17" s="1">
        <f>C17/$B$4</f>
        <v>0.13826223457843137</v>
      </c>
    </row>
    <row r="18" spans="1:4" x14ac:dyDescent="0.25">
      <c r="A18" s="263" t="s">
        <v>27</v>
      </c>
      <c r="B18" s="251">
        <v>19962099</v>
      </c>
      <c r="C18" s="76"/>
    </row>
    <row r="19" spans="1:4" x14ac:dyDescent="0.25">
      <c r="A19" s="263"/>
      <c r="B19" s="250">
        <f>B18/$B$4</f>
        <v>6.465550604977488E-2</v>
      </c>
      <c r="C19" s="77"/>
    </row>
    <row r="20" spans="1:4" x14ac:dyDescent="0.25">
      <c r="A20" s="263" t="s">
        <v>28</v>
      </c>
      <c r="B20" s="251">
        <v>20179642</v>
      </c>
      <c r="C20" s="76"/>
    </row>
    <row r="21" spans="1:4" x14ac:dyDescent="0.25">
      <c r="A21" s="263"/>
      <c r="B21" s="250">
        <f>B20/$B$4</f>
        <v>6.5360108945121009E-2</v>
      </c>
      <c r="C21" s="251">
        <f>B18+B20</f>
        <v>40141741</v>
      </c>
      <c r="D21" s="1">
        <f>C21/$B$4</f>
        <v>0.13001561499489589</v>
      </c>
    </row>
    <row r="22" spans="1:4" x14ac:dyDescent="0.25">
      <c r="A22" s="263" t="s">
        <v>29</v>
      </c>
      <c r="B22" s="251">
        <v>20890964</v>
      </c>
      <c r="C22" s="76"/>
    </row>
    <row r="23" spans="1:4" x14ac:dyDescent="0.25">
      <c r="A23" s="263"/>
      <c r="B23" s="250">
        <f>B22/$B$4</f>
        <v>6.7664019163898012E-2</v>
      </c>
      <c r="C23" s="76"/>
    </row>
    <row r="24" spans="1:4" x14ac:dyDescent="0.25">
      <c r="A24" s="263" t="s">
        <v>30</v>
      </c>
      <c r="B24" s="251">
        <v>22708591</v>
      </c>
      <c r="C24" s="76"/>
    </row>
    <row r="25" spans="1:4" x14ac:dyDescent="0.25">
      <c r="A25" s="263"/>
      <c r="B25" s="250">
        <f>B24/$B$4</f>
        <v>7.3551155255885833E-2</v>
      </c>
      <c r="C25" s="251">
        <f>B22+B24</f>
        <v>43599555</v>
      </c>
      <c r="D25" s="1">
        <f>C25/$B$4</f>
        <v>0.14121517441978385</v>
      </c>
    </row>
    <row r="26" spans="1:4" x14ac:dyDescent="0.25">
      <c r="A26" s="263" t="s">
        <v>31</v>
      </c>
      <c r="B26" s="251">
        <v>22298125</v>
      </c>
      <c r="C26" s="76"/>
    </row>
    <row r="27" spans="1:4" x14ac:dyDescent="0.25">
      <c r="A27" s="263"/>
      <c r="B27" s="250">
        <f>B26/$B$4</f>
        <v>7.2221691508299629E-2</v>
      </c>
      <c r="C27" s="76"/>
    </row>
    <row r="28" spans="1:4" x14ac:dyDescent="0.25">
      <c r="A28" s="263" t="s">
        <v>32</v>
      </c>
      <c r="B28" s="251">
        <v>19664805</v>
      </c>
      <c r="C28" s="76"/>
    </row>
    <row r="29" spans="1:4" x14ac:dyDescent="0.25">
      <c r="A29" s="263"/>
      <c r="B29" s="250">
        <f>B28/$B$4</f>
        <v>6.3692596587420158E-2</v>
      </c>
      <c r="C29" s="251">
        <f>B26+B28</f>
        <v>41962930</v>
      </c>
      <c r="D29" s="1">
        <f>C29/$B$4</f>
        <v>0.13591428809571979</v>
      </c>
    </row>
    <row r="30" spans="1:4" x14ac:dyDescent="0.25">
      <c r="A30" s="263" t="s">
        <v>33</v>
      </c>
      <c r="B30" s="251">
        <v>16817924</v>
      </c>
      <c r="C30" s="76"/>
    </row>
    <row r="31" spans="1:4" x14ac:dyDescent="0.25">
      <c r="A31" s="263"/>
      <c r="B31" s="250">
        <f>B30/$B$4</f>
        <v>5.4471796123576693E-2</v>
      </c>
      <c r="C31" s="77"/>
    </row>
    <row r="32" spans="1:4" x14ac:dyDescent="0.25">
      <c r="A32" s="263" t="s">
        <v>34</v>
      </c>
      <c r="B32" s="251">
        <v>12435263</v>
      </c>
      <c r="C32" s="76"/>
    </row>
    <row r="33" spans="1:4" x14ac:dyDescent="0.25">
      <c r="A33" s="263"/>
      <c r="B33" s="250">
        <f>B32/$B$4</f>
        <v>4.027673753782314E-2</v>
      </c>
      <c r="C33" s="251">
        <f>B30+B32</f>
        <v>29253187</v>
      </c>
      <c r="D33" s="1">
        <f>C33/$B$4</f>
        <v>9.4748533661399834E-2</v>
      </c>
    </row>
    <row r="34" spans="1:4" x14ac:dyDescent="0.25">
      <c r="A34" s="263" t="s">
        <v>35</v>
      </c>
      <c r="B34" s="251">
        <v>9278166</v>
      </c>
      <c r="C34" s="76"/>
    </row>
    <row r="35" spans="1:4" x14ac:dyDescent="0.25">
      <c r="A35" s="263"/>
      <c r="B35" s="250">
        <f>B34/$B$4</f>
        <v>3.0051174375190486E-2</v>
      </c>
      <c r="C35" s="76"/>
    </row>
    <row r="36" spans="1:4" x14ac:dyDescent="0.25">
      <c r="A36" s="263" t="s">
        <v>36</v>
      </c>
      <c r="B36" s="251">
        <v>7317795</v>
      </c>
      <c r="C36" s="76"/>
    </row>
    <row r="37" spans="1:4" x14ac:dyDescent="0.25">
      <c r="A37" s="263"/>
      <c r="B37" s="250">
        <f>B36/$B$4</f>
        <v>2.370170285667416E-2</v>
      </c>
      <c r="C37" s="251">
        <f>B34+B36</f>
        <v>16595961</v>
      </c>
      <c r="D37" s="1">
        <f>C37/$B$4</f>
        <v>5.3752877231864643E-2</v>
      </c>
    </row>
    <row r="38" spans="1:4" x14ac:dyDescent="0.25">
      <c r="A38" s="263" t="s">
        <v>37</v>
      </c>
      <c r="B38" s="251">
        <v>5743327</v>
      </c>
      <c r="C38" s="76"/>
    </row>
    <row r="39" spans="1:4" x14ac:dyDescent="0.25">
      <c r="A39" s="263"/>
      <c r="B39" s="250">
        <f>B38/$B$4</f>
        <v>1.8602137660690663E-2</v>
      </c>
      <c r="C39" s="76"/>
    </row>
    <row r="40" spans="1:4" x14ac:dyDescent="0.25">
      <c r="A40" s="263" t="s">
        <v>188</v>
      </c>
      <c r="B40" s="251">
        <v>5493433</v>
      </c>
      <c r="C40" s="76"/>
    </row>
    <row r="41" spans="1:4" x14ac:dyDescent="0.25">
      <c r="A41" s="263"/>
      <c r="B41" s="250">
        <f>B40/$B$4</f>
        <v>1.7792752684250939E-2</v>
      </c>
      <c r="C41" s="251">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24:A25"/>
    <mergeCell ref="A2:A3"/>
    <mergeCell ref="A4:A5"/>
    <mergeCell ref="A6:A7"/>
    <mergeCell ref="A8:A9"/>
    <mergeCell ref="A10:A11"/>
    <mergeCell ref="A12:A13"/>
    <mergeCell ref="A14:A15"/>
    <mergeCell ref="A16:A17"/>
    <mergeCell ref="A18:A19"/>
    <mergeCell ref="A20:A21"/>
    <mergeCell ref="A22:A23"/>
    <mergeCell ref="A38:A39"/>
    <mergeCell ref="A40:A41"/>
    <mergeCell ref="A26:A27"/>
    <mergeCell ref="A28:A29"/>
    <mergeCell ref="A30:A31"/>
    <mergeCell ref="A32:A33"/>
    <mergeCell ref="A34:A35"/>
    <mergeCell ref="A36:A37"/>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191</v>
      </c>
    </row>
    <row r="2" spans="1:3" x14ac:dyDescent="0.25">
      <c r="A2" t="s">
        <v>192</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2020-04-10T03:50:02Z</dcterms:modified>
</cp:coreProperties>
</file>